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VENTA" sheetId="1" r:id="rId5"/>
    <sheet state="visible" name="Precios" sheetId="2" r:id="rId6"/>
    <sheet state="visible" name="Pagos" sheetId="3" r:id="rId7"/>
    <sheet state="visible" name="Gastos_Personales" sheetId="4" r:id="rId8"/>
    <sheet state="visible" name="Comisiones" sheetId="5" r:id="rId9"/>
    <sheet state="visible" name="Mayo" sheetId="6" r:id="rId10"/>
    <sheet state="visible" name="Abril" sheetId="7" r:id="rId11"/>
    <sheet state="visible" name="Enero" sheetId="8" r:id="rId12"/>
    <sheet state="visible" name="Febrero" sheetId="9" r:id="rId13"/>
    <sheet state="visible" name="Marzo" sheetId="10" r:id="rId14"/>
    <sheet state="visible" name="Junio" sheetId="11" r:id="rId15"/>
    <sheet state="visible" name="Julio" sheetId="12" r:id="rId16"/>
    <sheet state="visible" name="Agosto" sheetId="13" r:id="rId17"/>
    <sheet state="visible" name="Septiembre" sheetId="14" r:id="rId18"/>
    <sheet state="visible" name="Octubre" sheetId="15" r:id="rId19"/>
    <sheet state="visible" name="Noviembre" sheetId="16" r:id="rId20"/>
    <sheet state="visible" name="Diciembre" sheetId="17" r:id="rId21"/>
    <sheet state="visible" name="Marcas" sheetId="18" r:id="rId22"/>
    <sheet state="visible" name="Parametros" sheetId="19" r:id="rId23"/>
    <sheet state="visible" name="Lists" sheetId="20" r:id="rId24"/>
  </sheets>
  <definedNames/>
  <calcPr/>
</workbook>
</file>

<file path=xl/sharedStrings.xml><?xml version="1.0" encoding="utf-8"?>
<sst xmlns="http://schemas.openxmlformats.org/spreadsheetml/2006/main" count="3711" uniqueCount="672">
  <si>
    <t>Mes</t>
  </si>
  <si>
    <t>Mayo</t>
  </si>
  <si>
    <t>Nombre prenda</t>
  </si>
  <si>
    <t>Talla</t>
  </si>
  <si>
    <t>Propietario prenda</t>
  </si>
  <si>
    <t>Vendedor</t>
  </si>
  <si>
    <t>Precio venta (BRUTO)</t>
  </si>
  <si>
    <t>Tipo de pago</t>
  </si>
  <si>
    <t>Marca (Tienda/externa)</t>
  </si>
  <si>
    <t>Observaciones</t>
  </si>
  <si>
    <t xml:space="preserve">
</t>
  </si>
  <si>
    <t>SEASON</t>
  </si>
  <si>
    <t>$</t>
  </si>
  <si>
    <t>nube</t>
  </si>
  <si>
    <t>SCAMMERS</t>
  </si>
  <si>
    <t>POP DISASTER</t>
  </si>
  <si>
    <t>SHORTS</t>
  </si>
  <si>
    <t>HOODIE</t>
  </si>
  <si>
    <t xml:space="preserve">IDIOT </t>
  </si>
  <si>
    <t xml:space="preserve">PANTALONES </t>
  </si>
  <si>
    <t xml:space="preserve">POLERON ZIP
</t>
  </si>
  <si>
    <t>MILEY</t>
  </si>
  <si>
    <t>MANGA LARGA</t>
  </si>
  <si>
    <t>BUZO</t>
  </si>
  <si>
    <t>RATA FOUNDRY</t>
  </si>
  <si>
    <t>BBY TEE</t>
  </si>
  <si>
    <t>JEANS</t>
  </si>
  <si>
    <t>PATOS FOUNDRY</t>
  </si>
  <si>
    <t>TAK TOP</t>
  </si>
  <si>
    <t xml:space="preserve">POLERON JAPON
</t>
  </si>
  <si>
    <t xml:space="preserve">POLERA JAPON
</t>
  </si>
  <si>
    <t>TAKASHI CLOUT</t>
  </si>
  <si>
    <t>HOODIE BORDADO  (ROJO Y NEGRO)</t>
  </si>
  <si>
    <t>NUBENZ</t>
  </si>
  <si>
    <t>Pagos y saldos mensuales</t>
  </si>
  <si>
    <t>Resumen Tienda - Enero</t>
  </si>
  <si>
    <t>Concepto</t>
  </si>
  <si>
    <t>Valor (CLP)</t>
  </si>
  <si>
    <t>Neto total tienda (todas las ventas)</t>
  </si>
  <si>
    <t>Neto prendas 'Tienda' (propietario)</t>
  </si>
  <si>
    <t>Neto prendas 'Consignacion' (propietario)</t>
  </si>
  <si>
    <t>Total gastos fijos</t>
  </si>
  <si>
    <t>Gasto fijo por integrante (÷5)</t>
  </si>
  <si>
    <t>Pagos fundadores - Enero</t>
  </si>
  <si>
    <t>Integrante</t>
  </si>
  <si>
    <t>Neto prendas propias</t>
  </si>
  <si>
    <t>Cuota gastos fijos</t>
  </si>
  <si>
    <t>Saldo final (a pagar / a depositar)</t>
  </si>
  <si>
    <t>Reembolso gastos personales</t>
  </si>
  <si>
    <t>Aaron</t>
  </si>
  <si>
    <t>Benja R</t>
  </si>
  <si>
    <t>Benja M</t>
  </si>
  <si>
    <t>Juanito</t>
  </si>
  <si>
    <t>Fabio</t>
  </si>
  <si>
    <t>Marcas externas - Enero</t>
  </si>
  <si>
    <t>Marca</t>
  </si>
  <si>
    <t>Ventas brutas marca</t>
  </si>
  <si>
    <t>Base comisión tienda (neto base)</t>
  </si>
  <si>
    <t>% comisión tienda</t>
  </si>
  <si>
    <t>Comisión tienda ($)</t>
  </si>
  <si>
    <t>IVA total marca</t>
  </si>
  <si>
    <t>Resumen Tienda - Febrero</t>
  </si>
  <si>
    <t>Pagos fundadores - Febrero</t>
  </si>
  <si>
    <t>Marcas externas - Febrero</t>
  </si>
  <si>
    <t>Resumen Tienda - Marzo</t>
  </si>
  <si>
    <t>Pagos fundadores - Marzo</t>
  </si>
  <si>
    <t>Marcas externas - Marzo</t>
  </si>
  <si>
    <t>Resumen Tienda - Abril</t>
  </si>
  <si>
    <t>Pagos fundadores - Abril</t>
  </si>
  <si>
    <t>Marcas externas - Abril</t>
  </si>
  <si>
    <t>Resumen Tienda - Mayo</t>
  </si>
  <si>
    <t>Pagos fundadores - Mayo</t>
  </si>
  <si>
    <t>Marcas externas - Mayo</t>
  </si>
  <si>
    <t>Resumen Tienda - Junio</t>
  </si>
  <si>
    <t>Pagos fundadores - Junio</t>
  </si>
  <si>
    <t>Marcas externas - Junio</t>
  </si>
  <si>
    <t>Resumen Tienda - Julio</t>
  </si>
  <si>
    <t>Pagos fundadores - Julio</t>
  </si>
  <si>
    <t>Marcas externas - Julio</t>
  </si>
  <si>
    <t>Resumen Tienda - Agosto</t>
  </si>
  <si>
    <t>Pagos fundadores - Agosto</t>
  </si>
  <si>
    <t>Marcas externas - Agosto</t>
  </si>
  <si>
    <t>Resumen Tienda - Septiembre</t>
  </si>
  <si>
    <t>Pagos fundadores - Septiembre</t>
  </si>
  <si>
    <t>Marcas externas - Septiembre</t>
  </si>
  <si>
    <t>Resumen Tienda - Octubre</t>
  </si>
  <si>
    <t>Pagos fundadores - Octubre</t>
  </si>
  <si>
    <t>Marcas externas - Octubre</t>
  </si>
  <si>
    <t>Resumen Tienda - Noviembre</t>
  </si>
  <si>
    <t>Pagos fundadores - Noviembre</t>
  </si>
  <si>
    <t>Marcas externas - Noviembre</t>
  </si>
  <si>
    <t>Resumen Tienda - Diciembre</t>
  </si>
  <si>
    <t>Pagos fundadores - Diciembre</t>
  </si>
  <si>
    <t>Marcas externas - Diciembre</t>
  </si>
  <si>
    <t>Fecha</t>
  </si>
  <si>
    <t>Monto CLP</t>
  </si>
  <si>
    <t>Pagado por</t>
  </si>
  <si>
    <t>noviembre</t>
  </si>
  <si>
    <t xml:space="preserve">Computador ventas </t>
  </si>
  <si>
    <t>no</t>
  </si>
  <si>
    <t>Comisiones por vendedor y mes</t>
  </si>
  <si>
    <t>Comisiones - Enero</t>
  </si>
  <si>
    <t>Total bruto ventas</t>
  </si>
  <si>
    <t>Total IVA</t>
  </si>
  <si>
    <t>Total comisiones bancarias</t>
  </si>
  <si>
    <t>Total comisiones vendedor</t>
  </si>
  <si>
    <t>Total neto tienda</t>
  </si>
  <si>
    <t>Nº ventas</t>
  </si>
  <si>
    <t>Ticket prom (bruto)</t>
  </si>
  <si>
    <t>Marenna</t>
  </si>
  <si>
    <t>Juan</t>
  </si>
  <si>
    <t>TOTAL</t>
  </si>
  <si>
    <t>Comisiones - Febrero</t>
  </si>
  <si>
    <t>Comisiones - Marzo</t>
  </si>
  <si>
    <t>Comisiones - Abril</t>
  </si>
  <si>
    <t>Comisiones - Mayo</t>
  </si>
  <si>
    <t>Comisiones - Junio</t>
  </si>
  <si>
    <t>Comisiones - Julio</t>
  </si>
  <si>
    <t>Comisiones - Agosto</t>
  </si>
  <si>
    <t>Comisiones - Septiembre</t>
  </si>
  <si>
    <t>Comisiones - Octubre</t>
  </si>
  <si>
    <t>Comisiones - Noviembre</t>
  </si>
  <si>
    <t>Comisiones - Diciembre</t>
  </si>
  <si>
    <t>Mayo - Ingresos</t>
  </si>
  <si>
    <t>Total ventas brutas</t>
  </si>
  <si>
    <t>IVA (19%)</t>
  </si>
  <si>
    <t>% comisión bancaria</t>
  </si>
  <si>
    <t>$ comisión bancaria</t>
  </si>
  <si>
    <t>Base comisión vendedor</t>
  </si>
  <si>
    <t>% comisión vendedor</t>
  </si>
  <si>
    <t>$ comisión vendedor</t>
  </si>
  <si>
    <t>Neto tienda</t>
  </si>
  <si>
    <t>Total IVA ventas</t>
  </si>
  <si>
    <t>bufanda burberry</t>
  </si>
  <si>
    <t>os</t>
  </si>
  <si>
    <t>Tienda</t>
  </si>
  <si>
    <t>Transferencia</t>
  </si>
  <si>
    <t>pagar 50.000</t>
  </si>
  <si>
    <t>ballerinas ferragamo</t>
  </si>
  <si>
    <t>pagar benja 15.000</t>
  </si>
  <si>
    <t>Total comisiones vendedores (NO se divide)</t>
  </si>
  <si>
    <t>lentes louis vuitton</t>
  </si>
  <si>
    <t>Total neto tienda (NO se divide)</t>
  </si>
  <si>
    <t>zapatillas comme des garcon</t>
  </si>
  <si>
    <t>Número de ventas</t>
  </si>
  <si>
    <t>polera jpg mesh</t>
  </si>
  <si>
    <t>L</t>
  </si>
  <si>
    <t>pagar 40.000 vicente</t>
  </si>
  <si>
    <t>Ticket promedio (NETO)</t>
  </si>
  <si>
    <t>Cartera LV</t>
  </si>
  <si>
    <t>Internet(Shopify)</t>
  </si>
  <si>
    <t>Ventas débito (neto)</t>
  </si>
  <si>
    <t>Lentes Dior</t>
  </si>
  <si>
    <t>Ventas crédito (neto)</t>
  </si>
  <si>
    <t>Lentes LV</t>
  </si>
  <si>
    <t>Moai Influencer 220.000</t>
  </si>
  <si>
    <t>Ventas efectivo (neto)</t>
  </si>
  <si>
    <t>Billetera VVW</t>
  </si>
  <si>
    <t>Ventas transferencia (neto)</t>
  </si>
  <si>
    <t>Ventas Internet(Shopify) (neto)</t>
  </si>
  <si>
    <t>Polera Bully</t>
  </si>
  <si>
    <t>M</t>
  </si>
  <si>
    <t>Pop Disaster 18.750</t>
  </si>
  <si>
    <t xml:space="preserve">Pop disaster
</t>
  </si>
  <si>
    <t>Ventas cuenta común (D+C+T) NETO</t>
  </si>
  <si>
    <t>Jacket Y-3</t>
  </si>
  <si>
    <t>Consignacion</t>
  </si>
  <si>
    <t>Pagar 20.000 amigo Julian</t>
  </si>
  <si>
    <t>IVA compras (manual)</t>
  </si>
  <si>
    <t>Polera Evisu</t>
  </si>
  <si>
    <t>IVA neto (ventas - compras)</t>
  </si>
  <si>
    <t>Sweater MMG Maison Margiela</t>
  </si>
  <si>
    <t>TOTAL PAGOS/CONSIGNACION/MARCAS</t>
  </si>
  <si>
    <t>Chaqueta Diesel</t>
  </si>
  <si>
    <t>Total Liquido</t>
  </si>
  <si>
    <t>Camiseta Dormund</t>
  </si>
  <si>
    <t>Débito</t>
  </si>
  <si>
    <t>Cinturon D&amp;G</t>
  </si>
  <si>
    <t>Bufanda Gris Negra</t>
  </si>
  <si>
    <t>s</t>
  </si>
  <si>
    <t>Pop Disaster 15.000</t>
  </si>
  <si>
    <t>Polera Sin Mangas</t>
  </si>
  <si>
    <t>Pedritos 22.500</t>
  </si>
  <si>
    <t>Pedritos</t>
  </si>
  <si>
    <t>Crewneck Acne Studio</t>
  </si>
  <si>
    <t>Xl</t>
  </si>
  <si>
    <t>Michelle</t>
  </si>
  <si>
    <t>Pulsera Plata</t>
  </si>
  <si>
    <t>Jack Cactus Polera</t>
  </si>
  <si>
    <t>Blaizer Maison Margiela</t>
  </si>
  <si>
    <t>Poleron Encaje S.Archive</t>
  </si>
  <si>
    <t>Season Archive 45.000</t>
  </si>
  <si>
    <t>Season Archive</t>
  </si>
  <si>
    <t>Pusera Fabinho</t>
  </si>
  <si>
    <t>Lentes Chanel</t>
  </si>
  <si>
    <t>Bufanda P. Disaster</t>
  </si>
  <si>
    <t>Billetera Lv</t>
  </si>
  <si>
    <t>Mayo - Gastos Fijos</t>
  </si>
  <si>
    <t>Mayo - Gastos Extra</t>
  </si>
  <si>
    <t>Nombre gasto</t>
  </si>
  <si>
    <t>Monto (CLP)</t>
  </si>
  <si>
    <t>Notas</t>
  </si>
  <si>
    <t>Arriendo (CLP calculado con UF)</t>
  </si>
  <si>
    <t>Gastos comunes</t>
  </si>
  <si>
    <t>ADT</t>
  </si>
  <si>
    <t>Internet</t>
  </si>
  <si>
    <t>Luz (promedio)</t>
  </si>
  <si>
    <t>Agua (promedio)</t>
  </si>
  <si>
    <t>Shopify</t>
  </si>
  <si>
    <t>Total gastos extra</t>
  </si>
  <si>
    <t>Abril - Ingresos</t>
  </si>
  <si>
    <t>POLERON ESSENTIAL ROSADO</t>
  </si>
  <si>
    <t>-</t>
  </si>
  <si>
    <t>Crédito</t>
  </si>
  <si>
    <t>VENTA EXENTA IVA</t>
  </si>
  <si>
    <t>anillo onyx</t>
  </si>
  <si>
    <t>Artista anillo ($37.500)</t>
  </si>
  <si>
    <t>anillo simple</t>
  </si>
  <si>
    <t>Artista anillo ($22.500)</t>
  </si>
  <si>
    <t>poleron burberry</t>
  </si>
  <si>
    <t>Lentes Fendi</t>
  </si>
  <si>
    <t>Cartera Burberry</t>
  </si>
  <si>
    <t>Falda Diesel</t>
  </si>
  <si>
    <t>pagar michelle 20.000</t>
  </si>
  <si>
    <t>vest raro</t>
  </si>
  <si>
    <t>polera heron</t>
  </si>
  <si>
    <t>polera stussy</t>
  </si>
  <si>
    <t>m</t>
  </si>
  <si>
    <t>mivhelle</t>
  </si>
  <si>
    <t>polera ed hardy</t>
  </si>
  <si>
    <t>michelle</t>
  </si>
  <si>
    <t>3 poleras vintage benja</t>
  </si>
  <si>
    <t>Polera IQ</t>
  </si>
  <si>
    <t>Gelattos (22.500)</t>
  </si>
  <si>
    <t>Gelattos</t>
  </si>
  <si>
    <t>INGRESOS 05 DE C/MES</t>
  </si>
  <si>
    <t>Moto con fuego mangalarga</t>
  </si>
  <si>
    <t>INGRESO REAL DE ESTE MES</t>
  </si>
  <si>
    <t>Polera Acne marca en cuello</t>
  </si>
  <si>
    <t>Polera Supreme</t>
  </si>
  <si>
    <t>Polera Stussy</t>
  </si>
  <si>
    <t>Zapato Jeffery West</t>
  </si>
  <si>
    <t>Federico(</t>
  </si>
  <si>
    <t>Polera futbol adidas</t>
  </si>
  <si>
    <t>l</t>
  </si>
  <si>
    <t>Sudadera JPG Jeans Flecos</t>
  </si>
  <si>
    <t>Poleron Sandro</t>
  </si>
  <si>
    <t>Short Dolce*</t>
  </si>
  <si>
    <t>polera supreme big logo</t>
  </si>
  <si>
    <t>polerA OFF WHITE</t>
  </si>
  <si>
    <t>aros fab</t>
  </si>
  <si>
    <t>op</t>
  </si>
  <si>
    <t>hoodie Helmut Blanco</t>
  </si>
  <si>
    <t>Polera Hiddien</t>
  </si>
  <si>
    <t>vest jil sander</t>
  </si>
  <si>
    <t>gorro NY</t>
  </si>
  <si>
    <t>Unica</t>
  </si>
  <si>
    <t>MICHELLE</t>
  </si>
  <si>
    <t>polera APPE</t>
  </si>
  <si>
    <t>polera phillip plein</t>
  </si>
  <si>
    <t>XS</t>
  </si>
  <si>
    <t>boxer pedritos</t>
  </si>
  <si>
    <t>S</t>
  </si>
  <si>
    <t>Pedritos (18.750)</t>
  </si>
  <si>
    <t>camiseta chile</t>
  </si>
  <si>
    <t>cartera prada</t>
  </si>
  <si>
    <t xml:space="preserve">70.000 para julian </t>
  </si>
  <si>
    <t>Poleron Stussy</t>
  </si>
  <si>
    <t>Polera Vivian West</t>
  </si>
  <si>
    <t>Chaqueta Season Archive</t>
  </si>
  <si>
    <t>Season Archive (60.000)</t>
  </si>
  <si>
    <t>anillo plata marc chilena</t>
  </si>
  <si>
    <t>Anillos ($22.500)</t>
  </si>
  <si>
    <t>poleron season</t>
  </si>
  <si>
    <t>Season Archive (41.250)</t>
  </si>
  <si>
    <t>Aritos Fabio</t>
  </si>
  <si>
    <t>lentes dior</t>
  </si>
  <si>
    <t>dior vintage</t>
  </si>
  <si>
    <t>polera pabe shark</t>
  </si>
  <si>
    <t>lentes gucci</t>
  </si>
  <si>
    <t>abrigo burberry</t>
  </si>
  <si>
    <t>pago consignacion 120000</t>
  </si>
  <si>
    <t>totebag vivienne</t>
  </si>
  <si>
    <t>consignacion pagar 80000</t>
  </si>
  <si>
    <t>crewneck stussy</t>
  </si>
  <si>
    <t>chaqueta season</t>
  </si>
  <si>
    <t>Season Archive (63.750)</t>
  </si>
  <si>
    <t>prta pasaporte prada</t>
  </si>
  <si>
    <t>pagar martin $20000</t>
  </si>
  <si>
    <t>jeans Diesel</t>
  </si>
  <si>
    <t>pagar julian 30mil</t>
  </si>
  <si>
    <t>Prada Parkita</t>
  </si>
  <si>
    <t>Efectivo</t>
  </si>
  <si>
    <t>lentes billonare</t>
  </si>
  <si>
    <t>pagar 220.0000</t>
  </si>
  <si>
    <t>Abril - Gastos Fijos</t>
  </si>
  <si>
    <t>Abril - Gastos Extra</t>
  </si>
  <si>
    <t>Enero - Ingresos</t>
  </si>
  <si>
    <t>Enero - Gastos Fijos</t>
  </si>
  <si>
    <t>Enero - Gastos Extra</t>
  </si>
  <si>
    <t>Febrero - Ingresos</t>
  </si>
  <si>
    <t>chaqueta JPG</t>
  </si>
  <si>
    <t>polera Vivienne Westwood</t>
  </si>
  <si>
    <t>xs</t>
  </si>
  <si>
    <t>pagado</t>
  </si>
  <si>
    <t xml:space="preserve">chaqueta JPG </t>
  </si>
  <si>
    <t>polera dyg</t>
  </si>
  <si>
    <t>bolso wear pedritos</t>
  </si>
  <si>
    <t>Pedritos (30.000)</t>
  </si>
  <si>
    <t>Kenzo</t>
  </si>
  <si>
    <t>polera pop disaster raton punk</t>
  </si>
  <si>
    <t>PopDistaster (18.750)</t>
  </si>
  <si>
    <t>SACAI</t>
  </si>
  <si>
    <t>LeSang We understand..</t>
  </si>
  <si>
    <t>polera bape</t>
  </si>
  <si>
    <t>polera kenzo</t>
  </si>
  <si>
    <t>polera idiot</t>
  </si>
  <si>
    <t>Popdisaster (18.750)</t>
  </si>
  <si>
    <t>poleera cactus</t>
  </si>
  <si>
    <t>falda jill sanderss</t>
  </si>
  <si>
    <t>pantalon armani</t>
  </si>
  <si>
    <t>polera pique burberry</t>
  </si>
  <si>
    <t>Short Lee</t>
  </si>
  <si>
    <t>Lentes Gucci</t>
  </si>
  <si>
    <t>short pedritos tartan</t>
  </si>
  <si>
    <t>Pedritos (37.500)</t>
  </si>
  <si>
    <t>gorro pedritos denim</t>
  </si>
  <si>
    <t>pedritos (13.500)</t>
  </si>
  <si>
    <t>chaqueta stussy 90s</t>
  </si>
  <si>
    <t>polera louis vuitton</t>
  </si>
  <si>
    <t>polera baby milo</t>
  </si>
  <si>
    <t>polera le sang</t>
  </si>
  <si>
    <t>polera medalla light</t>
  </si>
  <si>
    <t>gelattos 10.000</t>
  </si>
  <si>
    <t>revista 20s 2</t>
  </si>
  <si>
    <t>0s</t>
  </si>
  <si>
    <t>camisa versace</t>
  </si>
  <si>
    <t>polera noah</t>
  </si>
  <si>
    <t>vest margiela</t>
  </si>
  <si>
    <t>crewneck acne studios</t>
  </si>
  <si>
    <t>nike court</t>
  </si>
  <si>
    <t>PANTALON JACK</t>
  </si>
  <si>
    <t>Polera Human Made</t>
  </si>
  <si>
    <t>polera 4 fantasticos</t>
  </si>
  <si>
    <t>gelatos 100.000</t>
  </si>
  <si>
    <t>poleron supreme</t>
  </si>
  <si>
    <t>pantalon guess</t>
  </si>
  <si>
    <t>PANTALÓN LEVIS</t>
  </si>
  <si>
    <t>pulseras plata</t>
  </si>
  <si>
    <t>camiseta livepool</t>
  </si>
  <si>
    <t>polera UNITY manga larga</t>
  </si>
  <si>
    <t>XL</t>
  </si>
  <si>
    <t>Lentes Armani</t>
  </si>
  <si>
    <t>polera yeezus</t>
  </si>
  <si>
    <t>polera LèSang</t>
  </si>
  <si>
    <t>polera prada</t>
  </si>
  <si>
    <t>Pulseras Fabio</t>
  </si>
  <si>
    <t>Chaqueta Moschino</t>
  </si>
  <si>
    <t>200.000 para Federico (aun abierto)</t>
  </si>
  <si>
    <t xml:space="preserve">Polera Vintage </t>
  </si>
  <si>
    <t>80.000 Gelatto</t>
  </si>
  <si>
    <t>Polera Valentino</t>
  </si>
  <si>
    <t>y3 polera</t>
  </si>
  <si>
    <t>Polera BBC</t>
  </si>
  <si>
    <t>XXL</t>
  </si>
  <si>
    <t>Camisa Bape Cuadrille</t>
  </si>
  <si>
    <t>Polera D&amp;G</t>
  </si>
  <si>
    <t>Polera LÈSANG</t>
  </si>
  <si>
    <t>PANTALON G STAR</t>
  </si>
  <si>
    <t>Polera LÉSANG</t>
  </si>
  <si>
    <t>POLERA MONCLER</t>
  </si>
  <si>
    <t>FABIO Y BENJA R</t>
  </si>
  <si>
    <t>MONCLER PARKA</t>
  </si>
  <si>
    <t>S-M</t>
  </si>
  <si>
    <t>POLERA LESANG</t>
  </si>
  <si>
    <t>PANTALONES PEDRITOS JEANS</t>
  </si>
  <si>
    <t>UN</t>
  </si>
  <si>
    <t>MICHELLE/PEDRITOS (52.500)</t>
  </si>
  <si>
    <t>POLERA POP DISASTER IDIOT</t>
  </si>
  <si>
    <t>MICHELLE/ POPD (18.750)</t>
  </si>
  <si>
    <t>Febrero - Gastos Fijos</t>
  </si>
  <si>
    <t>Febrero - Gastos Extra</t>
  </si>
  <si>
    <t xml:space="preserve"> </t>
  </si>
  <si>
    <t>pulsera plata</t>
  </si>
  <si>
    <t>polera pedritos ken kagami</t>
  </si>
  <si>
    <t>pedritos (26.250)</t>
  </si>
  <si>
    <t>supreme moai manga larga</t>
  </si>
  <si>
    <t>Lentes GUCCI</t>
  </si>
  <si>
    <t>bufanda pop disaster</t>
  </si>
  <si>
    <t>Pop disaster (11.250)</t>
  </si>
  <si>
    <t>polera pop disaster</t>
  </si>
  <si>
    <t>M youth</t>
  </si>
  <si>
    <t>pop disaster (18.750)</t>
  </si>
  <si>
    <t>collar vivienne</t>
  </si>
  <si>
    <t>OS</t>
  </si>
  <si>
    <t>camiseta colo colo</t>
  </si>
  <si>
    <t>Polera Cactus Jack</t>
  </si>
  <si>
    <t>Bayer Munchen* (Ultima 05/03)</t>
  </si>
  <si>
    <t>pantalon season lineas</t>
  </si>
  <si>
    <t>Season Archive (56.250)</t>
  </si>
  <si>
    <t>chaqueta season azul raw</t>
  </si>
  <si>
    <t>Ed Hardy Polera Blanca</t>
  </si>
  <si>
    <t>pantalon season</t>
  </si>
  <si>
    <t>PANT SEASON ARCHIVE</t>
  </si>
  <si>
    <t>polera yankees</t>
  </si>
  <si>
    <t>traje de perro</t>
  </si>
  <si>
    <t>polera Burberry</t>
  </si>
  <si>
    <t>botas ugg</t>
  </si>
  <si>
    <t>bolso LV</t>
  </si>
  <si>
    <t>pagar 350.000</t>
  </si>
  <si>
    <t>chaqueta season mujer negra</t>
  </si>
  <si>
    <t>polera pedritos roja pedidos</t>
  </si>
  <si>
    <t>baby s</t>
  </si>
  <si>
    <t>pedritos(18.750)</t>
  </si>
  <si>
    <t>pantalon season cuadrille</t>
  </si>
  <si>
    <t>season Archive (60.000)</t>
  </si>
  <si>
    <t>polera pedritos negra</t>
  </si>
  <si>
    <t>bby S</t>
  </si>
  <si>
    <t>polera patos</t>
  </si>
  <si>
    <t>polera season palomas</t>
  </si>
  <si>
    <t>pop disaster(18.750)</t>
  </si>
  <si>
    <t>lentes prada</t>
  </si>
  <si>
    <t>season archive (56.250)</t>
  </si>
  <si>
    <t>cartera Chanel</t>
  </si>
  <si>
    <t>season archive (60.000)</t>
  </si>
  <si>
    <t>balerina vw</t>
  </si>
  <si>
    <t>polera Le sang</t>
  </si>
  <si>
    <t>chaqueta azul</t>
  </si>
  <si>
    <t>chaqueta negra</t>
  </si>
  <si>
    <t>polera CP company</t>
  </si>
  <si>
    <t>a pagar 100.000</t>
  </si>
  <si>
    <t>chaqueta season hombre</t>
  </si>
  <si>
    <t>season archive(60.000)</t>
  </si>
  <si>
    <t>polera vultures</t>
  </si>
  <si>
    <t>Malla Jean paul gaultier</t>
  </si>
  <si>
    <t>Marena descuenta sueldo</t>
  </si>
  <si>
    <t>polera season</t>
  </si>
  <si>
    <t>Season Archive (15.000)</t>
  </si>
  <si>
    <t>polera noob destroyer</t>
  </si>
  <si>
    <t>camiseta seleccion nacional</t>
  </si>
  <si>
    <t>consignacion 120.000</t>
  </si>
  <si>
    <t>polera season ornamento</t>
  </si>
  <si>
    <t>pulser plata</t>
  </si>
  <si>
    <t>chaqueta jpg negra</t>
  </si>
  <si>
    <t>pantalon flare</t>
  </si>
  <si>
    <t>season Archive (48.750)</t>
  </si>
  <si>
    <t>chaqueta hombre</t>
  </si>
  <si>
    <t>pantalon hombre lienas</t>
  </si>
  <si>
    <t>Season Archive (53.500)</t>
  </si>
  <si>
    <t>pantalon hombre cuadrille</t>
  </si>
  <si>
    <t>Season Archive (15,000)</t>
  </si>
  <si>
    <t>pantalon jean</t>
  </si>
  <si>
    <t>pulsera plata fabio</t>
  </si>
  <si>
    <t>poleron pleasures</t>
  </si>
  <si>
    <t>Hoodie jwanderson</t>
  </si>
  <si>
    <t>Hoodie blank</t>
  </si>
  <si>
    <t>consignacion gelattos $10,000</t>
  </si>
  <si>
    <t>cartera LV</t>
  </si>
  <si>
    <t xml:space="preserve">michelle </t>
  </si>
  <si>
    <t>chaqueta mujer negra</t>
  </si>
  <si>
    <t>polera moschino</t>
  </si>
  <si>
    <t>parca moncler</t>
  </si>
  <si>
    <t>pagar a bastian 200.000</t>
  </si>
  <si>
    <t>Camiseta ARG</t>
  </si>
  <si>
    <t>CITYBAG BALENCIAGA</t>
  </si>
  <si>
    <t>Cartera Citybag BL</t>
  </si>
  <si>
    <t>Zapatilla Nike Monarch Martin Rose</t>
  </si>
  <si>
    <t>Polera Bape</t>
  </si>
  <si>
    <t>POLERA BAPE</t>
  </si>
  <si>
    <t>LENTES PRADA</t>
  </si>
  <si>
    <t>chaqueta hombre azul</t>
  </si>
  <si>
    <t>tacones Louis vuitton</t>
  </si>
  <si>
    <t>pagar julian 200</t>
  </si>
  <si>
    <t>polera chile</t>
  </si>
  <si>
    <t>lentes cartier</t>
  </si>
  <si>
    <t>zapatillas acw</t>
  </si>
  <si>
    <t>Pantalon Diesel</t>
  </si>
  <si>
    <t>Falda GGYL</t>
  </si>
  <si>
    <t>gorro lanvin</t>
  </si>
  <si>
    <t>chaqueta Helmut</t>
  </si>
  <si>
    <t>Charqueta Armani</t>
  </si>
  <si>
    <t>polera guess</t>
  </si>
  <si>
    <t>chaleco polo</t>
  </si>
  <si>
    <t>Marzo - Gastos Fijos</t>
  </si>
  <si>
    <t>Marzo - Gastos Extra</t>
  </si>
  <si>
    <t>Junio - Ingresos</t>
  </si>
  <si>
    <t>Junio - Gastos Fijos</t>
  </si>
  <si>
    <t>Junio - Gastos Extra</t>
  </si>
  <si>
    <t>Julio - Ingresos</t>
  </si>
  <si>
    <t>Julio - Gastos Fijos</t>
  </si>
  <si>
    <t>Julio - Gastos Extra</t>
  </si>
  <si>
    <t>Agosto - Ingresos</t>
  </si>
  <si>
    <t>Agosto - Gastos Fijos</t>
  </si>
  <si>
    <t>Agosto - Gastos Extra</t>
  </si>
  <si>
    <t>Septiembre - Ingresos</t>
  </si>
  <si>
    <t>Septiembre - Gastos Fijos</t>
  </si>
  <si>
    <t>Septiembre - Gastos Extra</t>
  </si>
  <si>
    <t>Octubre - Ingresos</t>
  </si>
  <si>
    <t>polera Season</t>
  </si>
  <si>
    <t>Nubenz Rosado</t>
  </si>
  <si>
    <t>Nube</t>
  </si>
  <si>
    <t>Jeans Nube</t>
  </si>
  <si>
    <t>nubenz Rosado</t>
  </si>
  <si>
    <t>xl</t>
  </si>
  <si>
    <t>nubenz rosado</t>
  </si>
  <si>
    <t>nubenz azul</t>
  </si>
  <si>
    <t>Zapatillas Gucci</t>
  </si>
  <si>
    <t>Zip Scammers</t>
  </si>
  <si>
    <t>Scammers</t>
  </si>
  <si>
    <t>Nubenz rosado</t>
  </si>
  <si>
    <t>polera Random</t>
  </si>
  <si>
    <t>supreme pillama</t>
  </si>
  <si>
    <t>Jeans Azules</t>
  </si>
  <si>
    <t>POlera Sasha</t>
  </si>
  <si>
    <t>Camisa Burberry</t>
  </si>
  <si>
    <t>Burberry polera</t>
  </si>
  <si>
    <t>pantalon Baloon</t>
  </si>
  <si>
    <t>pantalon baloon</t>
  </si>
  <si>
    <t>polera</t>
  </si>
  <si>
    <t>Chaleco Marni</t>
  </si>
  <si>
    <t>polera Chile</t>
  </si>
  <si>
    <t>polera Ronaldinho</t>
  </si>
  <si>
    <t>Chaqueta Prada</t>
  </si>
  <si>
    <t>Nubenz</t>
  </si>
  <si>
    <t>Zip</t>
  </si>
  <si>
    <t>polera Bape</t>
  </si>
  <si>
    <t>Adidas Jeremy scott</t>
  </si>
  <si>
    <t>Geo basket</t>
  </si>
  <si>
    <t>pantalon Nube</t>
  </si>
  <si>
    <t>baby tee</t>
  </si>
  <si>
    <t>zip</t>
  </si>
  <si>
    <t>polera Futbol</t>
  </si>
  <si>
    <t>polera futbol</t>
  </si>
  <si>
    <t>poleron cp company</t>
  </si>
  <si>
    <t>Polera</t>
  </si>
  <si>
    <t>polera militar</t>
  </si>
  <si>
    <t>Short levis</t>
  </si>
  <si>
    <t>Zapatos dolce Gabanna</t>
  </si>
  <si>
    <t>pantalones g star</t>
  </si>
  <si>
    <t>polera BBC</t>
  </si>
  <si>
    <t>pantalon</t>
  </si>
  <si>
    <t>Octubre - Gastos Fijos</t>
  </si>
  <si>
    <t>Octubre - Gastos Extra</t>
  </si>
  <si>
    <t>Noviembre - Ingresos</t>
  </si>
  <si>
    <t>Polera Polo RL</t>
  </si>
  <si>
    <t>esto no es obligatorio</t>
  </si>
  <si>
    <t>polera margiela</t>
  </si>
  <si>
    <t>hoodie</t>
  </si>
  <si>
    <t>camisa real tree</t>
  </si>
  <si>
    <t>pantalon D&amp;g</t>
  </si>
  <si>
    <t>POLERA PALOMA</t>
  </si>
  <si>
    <t>POLERA KAWS</t>
  </si>
  <si>
    <t>POLERA VERSACE</t>
  </si>
  <si>
    <t>CREWNECK MARGIELA</t>
  </si>
  <si>
    <t>ZIP BORDADO</t>
  </si>
  <si>
    <t>CAMISA SOX</t>
  </si>
  <si>
    <t>ZIP BORDADO ROJO</t>
  </si>
  <si>
    <t>BUZO GRIS</t>
  </si>
  <si>
    <t>POLERA BARÇA</t>
  </si>
  <si>
    <t>polera manchester</t>
  </si>
  <si>
    <t>polera dragones</t>
  </si>
  <si>
    <t>chaqueta Moncler</t>
  </si>
  <si>
    <t>polera sin mangas</t>
  </si>
  <si>
    <t>poleron carthartt</t>
  </si>
  <si>
    <t>poleron Ami</t>
  </si>
  <si>
    <t>polera Supreme</t>
  </si>
  <si>
    <t>zip azul</t>
  </si>
  <si>
    <t>CREWNECK BALENCI</t>
  </si>
  <si>
    <t>ZIP NEGRO BRODADO</t>
  </si>
  <si>
    <t>ZIP BORDADO NEGRO</t>
  </si>
  <si>
    <t>POLERA YZY</t>
  </si>
  <si>
    <t>JEANS CARHARTT</t>
  </si>
  <si>
    <t>PIQUÉ POLO</t>
  </si>
  <si>
    <t>HALF ZIP POLO</t>
  </si>
  <si>
    <t>BUZO NEGRO</t>
  </si>
  <si>
    <t>ZIP NEGRO</t>
  </si>
  <si>
    <t>SHORT CAMO</t>
  </si>
  <si>
    <t>POLERA TOKYO</t>
  </si>
  <si>
    <t>cortavientos PSG</t>
  </si>
  <si>
    <t>pantalones balloon</t>
  </si>
  <si>
    <t>baby tee azul</t>
  </si>
  <si>
    <t>baby tee paloma</t>
  </si>
  <si>
    <t>polera futbol alemania</t>
  </si>
  <si>
    <t>polera stretch barça</t>
  </si>
  <si>
    <t>stussy</t>
  </si>
  <si>
    <t>poloera roja nike</t>
  </si>
  <si>
    <t>Y3 Ferrari</t>
  </si>
  <si>
    <t>shorts levis</t>
  </si>
  <si>
    <t>dickies</t>
  </si>
  <si>
    <t>polera peyo</t>
  </si>
  <si>
    <t>buzo negro</t>
  </si>
  <si>
    <t>poleron negro cierre</t>
  </si>
  <si>
    <t>Buzo nube plomo</t>
  </si>
  <si>
    <t>buzo gris</t>
  </si>
  <si>
    <t>polera Moschino</t>
  </si>
  <si>
    <t>TRANSFE DIRECTA A JUANITO</t>
  </si>
  <si>
    <t>Zip up azul</t>
  </si>
  <si>
    <t>pantalon Rayado</t>
  </si>
  <si>
    <t>baby tee azul season</t>
  </si>
  <si>
    <t>big stitch red hoodie</t>
  </si>
  <si>
    <t>gorro stussy gris</t>
  </si>
  <si>
    <t>x</t>
  </si>
  <si>
    <t>miley</t>
  </si>
  <si>
    <t>Noviembre - Gastos Fijos</t>
  </si>
  <si>
    <t>Noviembre - Gastos Extra</t>
  </si>
  <si>
    <t xml:space="preserve">Mensualidades </t>
  </si>
  <si>
    <t>Computador</t>
  </si>
  <si>
    <t>Ferreteria</t>
  </si>
  <si>
    <t>materiales</t>
  </si>
  <si>
    <t xml:space="preserve">insumos aseo </t>
  </si>
  <si>
    <t>Diciembre - Ingresos</t>
  </si>
  <si>
    <t>VESTIDO JAQUEMOUS</t>
  </si>
  <si>
    <t>POLERA CDG CELSTE</t>
  </si>
  <si>
    <t>POLERA AMI</t>
  </si>
  <si>
    <t>STUSSY</t>
  </si>
  <si>
    <t>VULTURE BLANCA</t>
  </si>
  <si>
    <t>VULTURE NEGRA</t>
  </si>
  <si>
    <t>POLERON BAPE SHARK</t>
  </si>
  <si>
    <t>ARCT ERYX</t>
  </si>
  <si>
    <t>BILLETERA PRADA</t>
  </si>
  <si>
    <t>NT</t>
  </si>
  <si>
    <t>POLERA BALENCIAGA</t>
  </si>
  <si>
    <t>STONE ISLAND</t>
  </si>
  <si>
    <t>POLERON CHILE</t>
  </si>
  <si>
    <t>PANTALON CORTEIZ</t>
  </si>
  <si>
    <t>CAMISETA REAL</t>
  </si>
  <si>
    <t>POLERA REAL</t>
  </si>
  <si>
    <t>BOLSO PRADA</t>
  </si>
  <si>
    <t>PANTALON DYG</t>
  </si>
  <si>
    <t>polera cdg</t>
  </si>
  <si>
    <t>fabio benja aron</t>
  </si>
  <si>
    <t>zip stone island</t>
  </si>
  <si>
    <t>dolce &amp; gabbana</t>
  </si>
  <si>
    <t>032c</t>
  </si>
  <si>
    <t>polera supreme</t>
  </si>
  <si>
    <t>polera appe blanca</t>
  </si>
  <si>
    <t>buzo essential</t>
  </si>
  <si>
    <t>polera roberto cavalli</t>
  </si>
  <si>
    <t>polera blanca</t>
  </si>
  <si>
    <t>poleron allyx</t>
  </si>
  <si>
    <t>pantalones dyg</t>
  </si>
  <si>
    <t>polera helmut</t>
  </si>
  <si>
    <t>camisa cp</t>
  </si>
  <si>
    <t>crewneck nude</t>
  </si>
  <si>
    <t>poleron helmut</t>
  </si>
  <si>
    <t>camiseta</t>
  </si>
  <si>
    <t>polera number nine</t>
  </si>
  <si>
    <t>polera edhardy</t>
  </si>
  <si>
    <t>helmut lang chaqueta</t>
  </si>
  <si>
    <t>poleron off white</t>
  </si>
  <si>
    <t>polera bbc</t>
  </si>
  <si>
    <t>polera givenchy</t>
  </si>
  <si>
    <t>pantalon h2</t>
  </si>
  <si>
    <t>poleron offwhite</t>
  </si>
  <si>
    <t>fabio benja</t>
  </si>
  <si>
    <t>camisa polo</t>
  </si>
  <si>
    <t>camisa spook</t>
  </si>
  <si>
    <t>polera human make</t>
  </si>
  <si>
    <t>pañuelo cartier</t>
  </si>
  <si>
    <t>burucia camiseta</t>
  </si>
  <si>
    <t>´polera acne</t>
  </si>
  <si>
    <t>Diciembre - Gastos Fijos</t>
  </si>
  <si>
    <t>Diciembre - Gastos Extra</t>
  </si>
  <si>
    <t>Comisión tienda (%)</t>
  </si>
  <si>
    <t>Paga IVA (info)</t>
  </si>
  <si>
    <t>SI</t>
  </si>
  <si>
    <t>NO</t>
  </si>
  <si>
    <t>Valor UF (CLP)</t>
  </si>
  <si>
    <t>Arriendo (UF)</t>
  </si>
  <si>
    <t>TipoPago</t>
  </si>
  <si>
    <t>Vendedores</t>
  </si>
  <si>
    <t>Propietarios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</si>
</sst>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&quot;$&quot;#,##0"/>
    <numFmt numFmtId="166" formatCode="&quot;$&quot;#,##0.00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6.0"/>
      <color theme="1"/>
      <name val="Calibri"/>
    </font>
    <font>
      <sz val="15.0"/>
      <color theme="1"/>
      <name val="Calibri"/>
    </font>
    <font>
      <sz val="15.0"/>
      <color theme="1"/>
      <name val="Arial"/>
    </font>
    <font>
      <color theme="1"/>
      <name val="Calibri"/>
      <scheme val="minor"/>
    </font>
    <font/>
    <font>
      <color rgb="FFFFFFFF"/>
      <name val="Calibri"/>
      <scheme val="minor"/>
    </font>
    <font>
      <b/>
      <sz val="24.0"/>
      <color theme="1"/>
      <name val="Calibri"/>
    </font>
    <font>
      <sz val="20.0"/>
      <color theme="1"/>
      <name val="Calibri"/>
    </font>
    <font>
      <b/>
      <sz val="20.0"/>
      <color theme="1"/>
      <name val="Calibri"/>
      <scheme val="minor"/>
    </font>
    <font>
      <b/>
      <sz val="24.0"/>
      <color theme="1"/>
      <name val="Calibri"/>
      <scheme val="minor"/>
    </font>
    <font>
      <sz val="20.0"/>
      <color theme="1"/>
      <name val="Calibri"/>
      <scheme val="minor"/>
    </font>
    <font>
      <sz val="20.0"/>
      <color rgb="FFF4CCCC"/>
      <name val="Calibri"/>
    </font>
    <font>
      <b/>
      <sz val="11.0"/>
      <color theme="1"/>
      <name val="Calibri"/>
    </font>
    <font>
      <b/>
      <sz val="17.0"/>
      <color theme="1"/>
      <name val="Calibri"/>
    </font>
    <font>
      <b/>
      <sz val="15.0"/>
      <color theme="1"/>
      <name val="Calibri"/>
    </font>
    <font>
      <b/>
      <sz val="18.0"/>
      <color theme="1"/>
      <name val="Calibri"/>
    </font>
    <font>
      <b/>
      <sz val="13.0"/>
      <color theme="1"/>
      <name val="Calibri"/>
    </font>
    <font>
      <b/>
      <sz val="20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rgb="FFE3D4F8"/>
        <bgColor rgb="FFE3D4F8"/>
      </patternFill>
    </fill>
    <fill>
      <patternFill patternType="solid">
        <fgColor rgb="FFF1E9FF"/>
        <bgColor rgb="FFF1E9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EAF4E7"/>
        <bgColor rgb="FFEAF4E7"/>
      </patternFill>
    </fill>
    <fill>
      <patternFill patternType="solid">
        <fgColor rgb="FFC6E6C3"/>
        <bgColor rgb="FFC6E6C3"/>
      </patternFill>
    </fill>
    <fill>
      <patternFill patternType="solid">
        <fgColor rgb="FFD9D2E9"/>
        <bgColor rgb="FFD9D2E9"/>
      </patternFill>
    </fill>
    <fill>
      <patternFill patternType="solid">
        <fgColor rgb="FFD9EAFE"/>
        <bgColor rgb="FFD9EAFE"/>
      </patternFill>
    </fill>
    <fill>
      <patternFill patternType="solid">
        <fgColor rgb="FFFBE4C8"/>
        <bgColor rgb="FFFBE4C8"/>
      </patternFill>
    </fill>
    <fill>
      <patternFill patternType="solid">
        <fgColor rgb="FFE3F0FF"/>
        <bgColor rgb="FFE3F0FF"/>
      </patternFill>
    </fill>
    <fill>
      <patternFill patternType="solid">
        <fgColor rgb="FFFFF1DC"/>
        <bgColor rgb="FFFFF1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1" fillId="3" fontId="3" numFmtId="0" xfId="0" applyBorder="1" applyFill="1" applyFont="1"/>
    <xf borderId="2" fillId="4" fontId="4" numFmtId="0" xfId="0" applyAlignment="1" applyBorder="1" applyFill="1" applyFont="1">
      <alignment readingOrder="0"/>
    </xf>
    <xf borderId="2" fillId="4" fontId="5" numFmtId="0" xfId="0" applyAlignment="1" applyBorder="1" applyFont="1">
      <alignment readingOrder="0"/>
    </xf>
    <xf borderId="2" fillId="4" fontId="4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2" fillId="5" fontId="6" numFmtId="0" xfId="0" applyAlignment="1" applyBorder="1" applyFill="1" applyFont="1">
      <alignment readingOrder="0"/>
    </xf>
    <xf borderId="3" fillId="0" fontId="7" numFmtId="0" xfId="0" applyBorder="1" applyFont="1"/>
    <xf borderId="0" fillId="6" fontId="6" numFmtId="0" xfId="0" applyAlignment="1" applyFill="1" applyFont="1">
      <alignment readingOrder="0"/>
    </xf>
    <xf borderId="0" fillId="7" fontId="8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2" fillId="0" fontId="6" numFmtId="0" xfId="0" applyAlignment="1" applyBorder="1" applyFont="1">
      <alignment readingOrder="0"/>
    </xf>
    <xf borderId="1" fillId="0" fontId="6" numFmtId="165" xfId="0" applyBorder="1" applyFont="1" applyNumberFormat="1"/>
    <xf borderId="1" fillId="0" fontId="6" numFmtId="166" xfId="0" applyAlignment="1" applyBorder="1" applyFont="1" applyNumberFormat="1">
      <alignment readingOrder="0"/>
    </xf>
    <xf borderId="2" fillId="0" fontId="6" numFmtId="0" xfId="0" applyBorder="1" applyFont="1"/>
    <xf borderId="0" fillId="0" fontId="6" numFmtId="165" xfId="0" applyAlignment="1" applyFont="1" applyNumberFormat="1">
      <alignment readingOrder="0"/>
    </xf>
    <xf borderId="1" fillId="0" fontId="6" numFmtId="165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1" fillId="9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ill="1" applyFont="1">
      <alignment horizontal="left" vertical="center"/>
    </xf>
    <xf borderId="1" fillId="10" fontId="10" numFmtId="3" xfId="0" applyAlignment="1" applyBorder="1" applyFont="1" applyNumberFormat="1">
      <alignment horizontal="right" vertical="center"/>
    </xf>
    <xf borderId="0" fillId="0" fontId="11" numFmtId="0" xfId="0" applyAlignment="1" applyFont="1">
      <alignment horizontal="center" shrinkToFit="0" vertical="center" wrapText="1"/>
    </xf>
    <xf borderId="0" fillId="0" fontId="6" numFmtId="0" xfId="0" applyFont="1"/>
    <xf borderId="1" fillId="10" fontId="10" numFmtId="10" xfId="0" applyAlignment="1" applyBorder="1" applyFont="1" applyNumberFormat="1">
      <alignment horizontal="right" vertical="center"/>
    </xf>
    <xf borderId="1" fillId="11" fontId="12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readingOrder="0" vertical="center"/>
    </xf>
    <xf borderId="1" fillId="0" fontId="13" numFmtId="0" xfId="0" applyAlignment="1" applyBorder="1" applyFont="1">
      <alignment vertical="center"/>
    </xf>
    <xf borderId="1" fillId="0" fontId="13" numFmtId="165" xfId="0" applyAlignment="1" applyBorder="1" applyFont="1" applyNumberFormat="1">
      <alignment readingOrder="0" vertical="center"/>
    </xf>
    <xf borderId="1" fillId="12" fontId="10" numFmtId="3" xfId="0" applyAlignment="1" applyBorder="1" applyFill="1" applyFont="1" applyNumberFormat="1">
      <alignment horizontal="right" vertical="center"/>
    </xf>
    <xf borderId="1" fillId="13" fontId="10" numFmtId="0" xfId="0" applyAlignment="1" applyBorder="1" applyFill="1" applyFont="1">
      <alignment horizontal="left" vertical="center"/>
    </xf>
    <xf borderId="1" fillId="13" fontId="10" numFmtId="3" xfId="0" applyAlignment="1" applyBorder="1" applyFont="1" applyNumberFormat="1">
      <alignment horizontal="right" vertical="center"/>
    </xf>
    <xf borderId="1" fillId="14" fontId="10" numFmtId="0" xfId="0" applyAlignment="1" applyBorder="1" applyFill="1" applyFont="1">
      <alignment horizontal="center" shrinkToFit="0" vertical="center" wrapText="1"/>
    </xf>
    <xf borderId="1" fillId="13" fontId="10" numFmtId="0" xfId="0" applyAlignment="1" applyBorder="1" applyFont="1">
      <alignment readingOrder="0"/>
    </xf>
    <xf borderId="1" fillId="13" fontId="10" numFmtId="3" xfId="0" applyAlignment="1" applyBorder="1" applyFont="1" applyNumberFormat="1">
      <alignment readingOrder="0"/>
    </xf>
    <xf borderId="1" fillId="13" fontId="10" numFmtId="0" xfId="0" applyAlignment="1" applyBorder="1" applyFont="1">
      <alignment horizontal="right" vertical="center"/>
    </xf>
    <xf borderId="1" fillId="13" fontId="14" numFmtId="0" xfId="0" applyAlignment="1" applyBorder="1" applyFont="1">
      <alignment readingOrder="0"/>
    </xf>
    <xf borderId="1" fillId="13" fontId="10" numFmtId="0" xfId="0" applyBorder="1" applyFont="1"/>
    <xf borderId="1" fillId="13" fontId="10" numFmtId="3" xfId="0" applyAlignment="1" applyBorder="1" applyFont="1" applyNumberFormat="1">
      <alignment readingOrder="0"/>
    </xf>
    <xf borderId="1" fillId="15" fontId="15" numFmtId="0" xfId="0" applyAlignment="1" applyBorder="1" applyFill="1" applyFont="1">
      <alignment readingOrder="0"/>
    </xf>
    <xf borderId="1" fillId="15" fontId="16" numFmtId="165" xfId="0" applyBorder="1" applyFont="1" applyNumberFormat="1"/>
    <xf borderId="7" fillId="15" fontId="17" numFmtId="0" xfId="0" applyAlignment="1" applyBorder="1" applyFont="1">
      <alignment readingOrder="0"/>
    </xf>
    <xf borderId="7" fillId="15" fontId="18" numFmtId="3" xfId="0" applyBorder="1" applyFont="1" applyNumberFormat="1"/>
    <xf borderId="8" fillId="0" fontId="7" numFmtId="0" xfId="0" applyBorder="1" applyFont="1"/>
    <xf borderId="1" fillId="13" fontId="10" numFmtId="3" xfId="0" applyBorder="1" applyFont="1" applyNumberFormat="1"/>
    <xf borderId="4" fillId="16" fontId="9" numFmtId="0" xfId="0" applyAlignment="1" applyBorder="1" applyFill="1" applyFont="1">
      <alignment horizontal="center" shrinkToFit="0" vertical="center" wrapText="1"/>
    </xf>
    <xf borderId="4" fillId="17" fontId="9" numFmtId="0" xfId="0" applyAlignment="1" applyBorder="1" applyFill="1" applyFont="1">
      <alignment horizontal="center" shrinkToFit="0" vertical="center" wrapText="1"/>
    </xf>
    <xf borderId="1" fillId="16" fontId="10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shrinkToFit="0" vertical="center" wrapText="1"/>
    </xf>
    <xf borderId="1" fillId="18" fontId="10" numFmtId="0" xfId="0" applyBorder="1" applyFill="1" applyFont="1"/>
    <xf borderId="1" fillId="18" fontId="10" numFmtId="3" xfId="0" applyBorder="1" applyFont="1" applyNumberFormat="1"/>
    <xf borderId="1" fillId="19" fontId="10" numFmtId="0" xfId="0" applyBorder="1" applyFill="1" applyFont="1"/>
    <xf borderId="1" fillId="18" fontId="10" numFmtId="0" xfId="0" applyAlignment="1" applyBorder="1" applyFont="1">
      <alignment horizontal="right" vertical="center"/>
    </xf>
    <xf borderId="1" fillId="19" fontId="10" numFmtId="0" xfId="0" applyAlignment="1" applyBorder="1" applyFont="1">
      <alignment horizontal="right" vertical="center"/>
    </xf>
    <xf borderId="1" fillId="19" fontId="10" numFmtId="3" xfId="0" applyBorder="1" applyFont="1" applyNumberFormat="1"/>
    <xf borderId="1" fillId="3" fontId="19" numFmtId="0" xfId="0" applyAlignment="1" applyBorder="1" applyFont="1">
      <alignment readingOrder="0"/>
    </xf>
    <xf borderId="1" fillId="3" fontId="17" numFmtId="3" xfId="0" applyBorder="1" applyFont="1" applyNumberFormat="1"/>
    <xf borderId="1" fillId="3" fontId="20" numFmtId="3" xfId="0" applyAlignment="1" applyBorder="1" applyFont="1" applyNumberForma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1" fillId="18" fontId="10" numFmtId="0" xfId="0" applyAlignment="1" applyBorder="1" applyFont="1">
      <alignment readingOrder="0"/>
    </xf>
    <xf borderId="1" fillId="18" fontId="10" numFmtId="3" xfId="0" applyAlignment="1" applyBorder="1" applyFont="1" applyNumberFormat="1">
      <alignment readingOrder="0"/>
    </xf>
    <xf borderId="1" fillId="10" fontId="10" numFmtId="0" xfId="0" applyBorder="1" applyFont="1"/>
    <xf borderId="1" fillId="10" fontId="10" numFmtId="10" xfId="0" applyAlignment="1" applyBorder="1" applyFont="1" applyNumberFormat="1">
      <alignment readingOrder="0"/>
    </xf>
    <xf borderId="1" fillId="10" fontId="10" numFmtId="10" xfId="0" applyBorder="1" applyFont="1" applyNumberFormat="1"/>
    <xf borderId="1" fillId="10" fontId="10" numFmtId="0" xfId="0" applyAlignment="1" applyBorder="1" applyFont="1">
      <alignment readingOrder="0"/>
    </xf>
    <xf borderId="1" fillId="10" fontId="10" numFmtId="9" xfId="0" applyBorder="1" applyFont="1" applyNumberFormat="1"/>
    <xf borderId="0" fillId="0" fontId="10" numFmtId="0" xfId="0" applyFont="1"/>
    <xf borderId="0" fillId="0" fontId="10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180975</xdr:rowOff>
    </xdr:from>
    <xdr:ext cx="3086100" cy="1600200"/>
    <xdr:grpSp>
      <xdr:nvGrpSpPr>
        <xdr:cNvPr id="2" name="Shape 2" title="Drawing"/>
        <xdr:cNvGrpSpPr/>
      </xdr:nvGrpSpPr>
      <xdr:grpSpPr>
        <a:xfrm>
          <a:off x="152400" y="152400"/>
          <a:ext cx="6146000" cy="3157549"/>
          <a:chOff x="152400" y="152400"/>
          <a:chExt cx="6146000" cy="3157549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146000" cy="315754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/>
        </xdr:nvSpPr>
        <xdr:spPr>
          <a:xfrm>
            <a:off x="1107275" y="2202675"/>
            <a:ext cx="4560000" cy="738300"/>
          </a:xfrm>
          <a:prstGeom prst="flowChartAlternateProcess">
            <a:avLst/>
          </a:prstGeom>
          <a:gradFill>
            <a:gsLst>
              <a:gs pos="0">
                <a:srgbClr val="FFFF00"/>
              </a:gs>
              <a:gs pos="52000">
                <a:srgbClr val="FF0000"/>
              </a:gs>
              <a:gs pos="100000">
                <a:srgbClr val="00FF00"/>
              </a:gs>
            </a:gsLst>
            <a:lin ang="5400012" scaled="0"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813127" y="2225475"/>
            <a:ext cx="30054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300">
                <a:latin typeface="Impact"/>
                <a:ea typeface="Impact"/>
                <a:cs typeface="Impact"/>
                <a:sym typeface="Impact"/>
              </a:rPr>
              <a:t>Registrar Venta</a:t>
            </a:r>
            <a:endParaRPr sz="3300"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6.29"/>
    <col customWidth="1" min="3" max="6" width="14.4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7.0" customHeight="1">
      <c r="A3" s="3" t="s">
        <v>2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" t="s">
        <v>3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3" t="s">
        <v>4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3" t="s">
        <v>5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3" t="s">
        <v>6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3" t="s">
        <v>7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3" t="s">
        <v>8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3" t="s">
        <v>9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1"/>
      <c r="B11" s="7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dataValidations>
    <dataValidation type="list" allowBlank="1" showErrorMessage="1" sqref="B8">
      <formula1>"Débito,Crédito,Efectivo,Transferencia,Internet(Shopify)"</formula1>
    </dataValidation>
    <dataValidation type="list" allowBlank="1" showErrorMessage="1" sqref="B9">
      <formula1>Marcas!$A$2:$A$50</formula1>
    </dataValidation>
    <dataValidation type="list" allowBlank="1" showErrorMessage="1" sqref="B2">
      <formula1>"Enero,Febrero,Marzo,Abril,Mayo,Junio,Julio,Agosto,Septiembre,Octubre,Noviembre,Diciembre"</formula1>
    </dataValidation>
    <dataValidation type="list" allowBlank="1" showErrorMessage="1" sqref="B6">
      <formula1>"Aaron,Benja R,Michelle,Fabio,Marenna"</formula1>
    </dataValidation>
    <dataValidation type="list" allowBlank="1" showErrorMessage="1" sqref="B5">
      <formula1>"Aaron,Benja R,Michelle,Fabio,Consignación,Tienda,Stelari"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11</v>
      </c>
      <c r="B1" s="9"/>
      <c r="C1" s="10" t="s">
        <v>12</v>
      </c>
      <c r="D1" s="11" t="s">
        <v>13</v>
      </c>
      <c r="F1" s="10" t="s">
        <v>12</v>
      </c>
      <c r="G1" s="12" t="s">
        <v>14</v>
      </c>
      <c r="I1" s="10" t="s">
        <v>12</v>
      </c>
      <c r="J1" s="13" t="s">
        <v>15</v>
      </c>
      <c r="K1" s="9"/>
      <c r="L1" s="10" t="s">
        <v>12</v>
      </c>
    </row>
    <row r="2">
      <c r="A2" s="13" t="s">
        <v>16</v>
      </c>
      <c r="B2" s="9"/>
      <c r="C2" s="14"/>
      <c r="D2" s="13" t="s">
        <v>17</v>
      </c>
      <c r="E2" s="9"/>
      <c r="F2" s="15">
        <v>35000.0</v>
      </c>
      <c r="G2" s="16"/>
      <c r="H2" s="9"/>
      <c r="J2" s="13" t="s">
        <v>18</v>
      </c>
      <c r="K2" s="9"/>
      <c r="L2" s="17">
        <v>25000.0</v>
      </c>
    </row>
    <row r="3">
      <c r="A3" s="13" t="s">
        <v>19</v>
      </c>
      <c r="B3" s="9"/>
      <c r="C3" s="18">
        <v>75000.0</v>
      </c>
      <c r="D3" s="13" t="s">
        <v>20</v>
      </c>
      <c r="E3" s="9"/>
      <c r="F3" s="15">
        <v>40000.0</v>
      </c>
      <c r="G3" s="16"/>
      <c r="H3" s="9"/>
      <c r="J3" s="13" t="s">
        <v>21</v>
      </c>
      <c r="K3" s="9"/>
      <c r="L3" s="17">
        <v>25000.0</v>
      </c>
    </row>
    <row r="4">
      <c r="A4" s="13" t="s">
        <v>22</v>
      </c>
      <c r="B4" s="9"/>
      <c r="C4" s="14"/>
      <c r="D4" s="13" t="s">
        <v>23</v>
      </c>
      <c r="E4" s="9"/>
      <c r="F4" s="15">
        <v>30000.0</v>
      </c>
      <c r="G4" s="16"/>
      <c r="H4" s="9"/>
      <c r="J4" s="13" t="s">
        <v>24</v>
      </c>
      <c r="K4" s="9"/>
      <c r="L4" s="17">
        <v>25000.0</v>
      </c>
    </row>
    <row r="5">
      <c r="A5" s="13" t="s">
        <v>25</v>
      </c>
      <c r="B5" s="9"/>
      <c r="C5" s="18">
        <v>20000.0</v>
      </c>
      <c r="D5" s="13" t="s">
        <v>26</v>
      </c>
      <c r="E5" s="9"/>
      <c r="F5" s="15">
        <v>42000.0</v>
      </c>
      <c r="G5" s="16"/>
      <c r="H5" s="9"/>
      <c r="J5" s="13" t="s">
        <v>27</v>
      </c>
      <c r="K5" s="9"/>
      <c r="L5" s="17">
        <v>25000.0</v>
      </c>
    </row>
    <row r="6">
      <c r="A6" s="13" t="s">
        <v>28</v>
      </c>
      <c r="B6" s="9"/>
      <c r="C6" s="18">
        <v>25000.0</v>
      </c>
      <c r="D6" s="13" t="s">
        <v>29</v>
      </c>
      <c r="E6" s="9"/>
      <c r="F6" s="15">
        <v>36000.0</v>
      </c>
      <c r="G6" s="16"/>
      <c r="H6" s="9"/>
    </row>
    <row r="7">
      <c r="D7" s="13" t="s">
        <v>30</v>
      </c>
      <c r="E7" s="9"/>
      <c r="F7" s="15">
        <v>23000.0</v>
      </c>
    </row>
    <row r="8">
      <c r="D8" s="13" t="s">
        <v>31</v>
      </c>
      <c r="E8" s="9"/>
      <c r="F8" s="15">
        <v>40000.0</v>
      </c>
    </row>
    <row r="9">
      <c r="D9" s="13" t="s">
        <v>32</v>
      </c>
      <c r="E9" s="9"/>
      <c r="F9" s="15">
        <v>40000.0</v>
      </c>
    </row>
    <row r="10">
      <c r="D10" s="13" t="s">
        <v>33</v>
      </c>
      <c r="E10" s="9"/>
      <c r="F10" s="18">
        <v>45000.0</v>
      </c>
    </row>
    <row r="12">
      <c r="E12" s="19" t="s">
        <v>10</v>
      </c>
    </row>
  </sheetData>
  <mergeCells count="27">
    <mergeCell ref="A1:B1"/>
    <mergeCell ref="D1:E1"/>
    <mergeCell ref="G1:H1"/>
    <mergeCell ref="J1:K1"/>
    <mergeCell ref="D2:E2"/>
    <mergeCell ref="G2:H2"/>
    <mergeCell ref="J2:K2"/>
    <mergeCell ref="J3:K3"/>
    <mergeCell ref="J4:K4"/>
    <mergeCell ref="J5:K5"/>
    <mergeCell ref="D4:E4"/>
    <mergeCell ref="D5:E5"/>
    <mergeCell ref="D6:E6"/>
    <mergeCell ref="D7:E7"/>
    <mergeCell ref="D8:E8"/>
    <mergeCell ref="D9:E9"/>
    <mergeCell ref="D10:E10"/>
    <mergeCell ref="A5:B5"/>
    <mergeCell ref="A6:B6"/>
    <mergeCell ref="A2:B2"/>
    <mergeCell ref="A3:B3"/>
    <mergeCell ref="D3:E3"/>
    <mergeCell ref="G3:H3"/>
    <mergeCell ref="A4:B4"/>
    <mergeCell ref="G4:H4"/>
    <mergeCell ref="G5:H5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24.0"/>
    <col customWidth="1" min="4" max="4" width="54.14"/>
    <col customWidth="1" min="5" max="6" width="28.0"/>
  </cols>
  <sheetData>
    <row r="1" ht="31.5" customHeight="1">
      <c r="A1" s="20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1" t="s">
        <v>35</v>
      </c>
      <c r="B3" s="22"/>
      <c r="C3" s="22"/>
      <c r="D3" s="22"/>
      <c r="E3" s="22"/>
      <c r="F3" s="2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24" t="s">
        <v>36</v>
      </c>
      <c r="B4" s="24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25" t="s">
        <v>38</v>
      </c>
      <c r="B5" s="26">
        <f>SUM(Enero!$M$4:Enero!$M$103)</f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25" t="s">
        <v>39</v>
      </c>
      <c r="B6" s="26">
        <f>SUMIF(Enero!$C$4:$C$103,"Tienda",Enero!$M$4:$M$103)</f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5" t="s">
        <v>40</v>
      </c>
      <c r="B7" s="26">
        <f>SUMIF(Enero!$C$4:$C$103,"Consignacion",Enero!$M$4:$M$103)</f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25" t="s">
        <v>41</v>
      </c>
      <c r="B8" s="26">
        <f>Enero!$B$130</f>
        <v>1751960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25" t="s">
        <v>42</v>
      </c>
      <c r="B9" s="26">
        <f>Enero!$B$131</f>
        <v>350392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1" t="s">
        <v>43</v>
      </c>
      <c r="B11" s="22"/>
      <c r="C11" s="22"/>
      <c r="D11" s="22"/>
      <c r="E11" s="22"/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24" t="s">
        <v>44</v>
      </c>
      <c r="B12" s="24" t="s">
        <v>45</v>
      </c>
      <c r="C12" s="24" t="s">
        <v>46</v>
      </c>
      <c r="D12" s="24" t="s">
        <v>47</v>
      </c>
      <c r="E12" s="27" t="s">
        <v>48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25" t="s">
        <v>49</v>
      </c>
      <c r="B13" s="26">
        <f>SUMIF(Enero!$C$4:$C$103,A13,Enero!$M$4:$M$103)</f>
        <v>0</v>
      </c>
      <c r="C13" s="26">
        <f t="shared" ref="C13:C17" si="1">$B$9</f>
        <v>350392</v>
      </c>
      <c r="D13" s="26">
        <f t="shared" ref="D13:D17" si="2">B13-C13+E13</f>
        <v>-350392</v>
      </c>
      <c r="E13" s="28">
        <f>SUMIFS(Gastos_Personales!$D:$D,Gastos_Personales!$E:$E,A13,Gastos_Personales!$A:$A,"Enero")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25" t="s">
        <v>50</v>
      </c>
      <c r="B14" s="26">
        <f>SUMIF(Enero!$C$4:$C$103,A14,Enero!$M$4:$M$103)</f>
        <v>0</v>
      </c>
      <c r="C14" s="26">
        <f t="shared" si="1"/>
        <v>350392</v>
      </c>
      <c r="D14" s="26">
        <f t="shared" si="2"/>
        <v>-350392</v>
      </c>
      <c r="E14" s="28">
        <f>SUMIFS(Gastos_Personales!$D:$D,Gastos_Personales!$E:$E,A14,Gastos_Personales!$A:$A,"Enero")</f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25" t="s">
        <v>51</v>
      </c>
      <c r="B15" s="26">
        <f>SUMIF(Enero!$C$4:$C$103,A15,Enero!$M$4:$M$103)</f>
        <v>0</v>
      </c>
      <c r="C15" s="26">
        <f t="shared" si="1"/>
        <v>350392</v>
      </c>
      <c r="D15" s="26">
        <f t="shared" si="2"/>
        <v>-350392</v>
      </c>
      <c r="E15" s="28">
        <f>SUMIFS(Gastos_Personales!$D:$D,Gastos_Personales!$E:$E,A15,Gastos_Personales!$A:$A,"Enero")</f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25" t="s">
        <v>52</v>
      </c>
      <c r="B16" s="26">
        <f>SUMIF(Enero!$C$4:$C$103,A16,Enero!$M$4:$M$103)</f>
        <v>0</v>
      </c>
      <c r="C16" s="26">
        <f t="shared" si="1"/>
        <v>350392</v>
      </c>
      <c r="D16" s="26">
        <f t="shared" si="2"/>
        <v>-350392</v>
      </c>
      <c r="E16" s="28">
        <f>SUMIFS(Gastos_Personales!$D:$D,Gastos_Personales!$E:$E,A16,Gastos_Personales!$A:$A,"Enero")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25" t="s">
        <v>53</v>
      </c>
      <c r="B17" s="26">
        <f>SUMIF(Enero!$C$4:$C$103,A17,Enero!$M$4:$M$103)</f>
        <v>0</v>
      </c>
      <c r="C17" s="26">
        <f t="shared" si="1"/>
        <v>350392</v>
      </c>
      <c r="D17" s="26">
        <f t="shared" si="2"/>
        <v>-350392</v>
      </c>
      <c r="E17" s="28">
        <f>SUMIFS(Gastos_Personales!$D:$D,Gastos_Personales!$E:$E,A17,Gastos_Personales!$A:$A,"Enero")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1" t="s">
        <v>54</v>
      </c>
      <c r="B19" s="22"/>
      <c r="C19" s="22"/>
      <c r="D19" s="22"/>
      <c r="E19" s="22"/>
      <c r="F19" s="2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24" t="s">
        <v>55</v>
      </c>
      <c r="B20" s="24" t="s">
        <v>56</v>
      </c>
      <c r="C20" s="24" t="s">
        <v>57</v>
      </c>
      <c r="D20" s="24" t="s">
        <v>58</v>
      </c>
      <c r="E20" s="24" t="s">
        <v>59</v>
      </c>
      <c r="F20" s="24" t="s">
        <v>60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25" t="str">
        <f>Marcas!$A$2</f>
        <v>Nube</v>
      </c>
      <c r="B21" s="26">
        <f>IF(A21="","",SUMIF(Enero!$O$4:$O$103,A21,Enero!$E$4:$E$103))</f>
        <v>0</v>
      </c>
      <c r="C21" s="26">
        <f>IF(A21="","",SUMIF(Enero!$O$4:$O$103,A21,Enero!$J$4:$J$103))</f>
        <v>0</v>
      </c>
      <c r="D21" s="29">
        <f>IF(A21="","",Marcas!$B$2)</f>
        <v>0.25</v>
      </c>
      <c r="E21" s="26">
        <f t="shared" ref="E21:E30" si="3">IF(A21="","",C21*D21)</f>
        <v>0</v>
      </c>
      <c r="F21" s="26">
        <f>IF(A21="","",SUMIF(Enero!$O$4:$O$103,A21,Enero!$G$4:$G$103))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25" t="str">
        <f>Marcas!$A$3</f>
        <v>Season Archive</v>
      </c>
      <c r="B22" s="26">
        <f>IF(A22="","",SUMIF(Enero!$O$4:$O$103,A22,Enero!$E$4:$E$103))</f>
        <v>0</v>
      </c>
      <c r="C22" s="26">
        <f>IF(A22="","",SUMIF(Enero!$O$4:$O$103,A22,Enero!$J$4:$J$103))</f>
        <v>0</v>
      </c>
      <c r="D22" s="29">
        <f>IF(A22="","",Marcas!$B$3)</f>
        <v>0.25</v>
      </c>
      <c r="E22" s="26">
        <f t="shared" si="3"/>
        <v>0</v>
      </c>
      <c r="F22" s="26">
        <f>IF(A22="","",SUMIF(Enero!$O$4:$O$103,A22,Enero!$G$4:$G$103))</f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25" t="str">
        <f>Marcas!$A$4</f>
        <v>Gelattos</v>
      </c>
      <c r="B23" s="26">
        <f>IF(A23="","",SUMIF(Enero!$O$4:$O$103,A23,Enero!$E$4:$E$103))</f>
        <v>0</v>
      </c>
      <c r="C23" s="26">
        <f>IF(A23="","",SUMIF(Enero!$O$4:$O$103,A23,Enero!$J$4:$J$103))</f>
        <v>0</v>
      </c>
      <c r="D23" s="29">
        <f>IF(A23="","",Marcas!$B$4)</f>
        <v>0.25</v>
      </c>
      <c r="E23" s="26">
        <f t="shared" si="3"/>
        <v>0</v>
      </c>
      <c r="F23" s="26">
        <f>IF(A23="","",SUMIF(Enero!$O$4:$O$103,A23,Enero!$G$4:$G$103))</f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25" t="str">
        <f>Marcas!$A$5</f>
        <v>Tienda</v>
      </c>
      <c r="B24" s="26">
        <f>IF(A24="","",SUMIF(Enero!$O$4:$O$103,A24,Enero!$E$4:$E$103))</f>
        <v>0</v>
      </c>
      <c r="C24" s="26">
        <f>IF(A24="","",SUMIF(Enero!$O$4:$O$103,A24,Enero!$J$4:$J$103))</f>
        <v>0</v>
      </c>
      <c r="D24" s="29">
        <f>IF(A24="","",Marcas!$B$5)</f>
        <v>0</v>
      </c>
      <c r="E24" s="26">
        <f t="shared" si="3"/>
        <v>0</v>
      </c>
      <c r="F24" s="26">
        <f>IF(A24="","",SUMIF(Enero!$O$4:$O$103,A24,Enero!$G$4:$G$103))</f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25" t="str">
        <f>Marcas!$A$6</f>
        <v>Pop disaster
</v>
      </c>
      <c r="B25" s="26">
        <f>IF(A25="","",SUMIF(Enero!$O$4:$O$103,A25,Enero!$E$4:$E$103))</f>
        <v>0</v>
      </c>
      <c r="C25" s="26">
        <f>IF(A25="","",SUMIF(Enero!$O$4:$O$103,A25,Enero!$J$4:$J$103))</f>
        <v>0</v>
      </c>
      <c r="D25" s="29">
        <f>IF(A25="","",Marcas!$B$6)</f>
        <v>0.25</v>
      </c>
      <c r="E25" s="26">
        <f t="shared" si="3"/>
        <v>0</v>
      </c>
      <c r="F25" s="26">
        <f>IF(A25="","",SUMIF(Enero!$O$4:$O$103,A25,Enero!$G$4:$G$103))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25" t="str">
        <f>Marcas!$A$7</f>
        <v>Pedritos</v>
      </c>
      <c r="B26" s="26">
        <f>IF(A26="","",SUMIF(Enero!$O$4:$O$103,A26,Enero!$E$4:$E$103))</f>
        <v>0</v>
      </c>
      <c r="C26" s="26">
        <f>IF(A26="","",SUMIF(Enero!$O$4:$O$103,A26,Enero!$J$4:$J$103))</f>
        <v>0</v>
      </c>
      <c r="D26" s="29">
        <f>IF(A26="","",Marcas!$B$7)</f>
        <v>0.25</v>
      </c>
      <c r="E26" s="26">
        <f t="shared" si="3"/>
        <v>0</v>
      </c>
      <c r="F26" s="26">
        <f>IF(A26="","",SUMIF(Enero!$O$4:$O$103,A26,Enero!$G$4:$G$103))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25" t="str">
        <f>Marcas!$A$8</f>
        <v/>
      </c>
      <c r="B27" s="26" t="str">
        <f>IF(A27="","",SUMIF(Enero!$O$4:$O$103,A27,Enero!$E$4:$E$103))</f>
        <v/>
      </c>
      <c r="C27" s="26" t="str">
        <f>IF(A27="","",SUMIF(Enero!$O$4:$O$103,A27,Enero!$J$4:$J$103))</f>
        <v/>
      </c>
      <c r="D27" s="29" t="str">
        <f>IF(A27="","",Marcas!$B$8)</f>
        <v/>
      </c>
      <c r="E27" s="26" t="str">
        <f t="shared" si="3"/>
        <v/>
      </c>
      <c r="F27" s="26" t="str">
        <f>IF(A27="","",SUMIF(Enero!$O$4:$O$103,A27,Enero!$G$4:$G$103))</f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25" t="str">
        <f>Marcas!$A$9</f>
        <v/>
      </c>
      <c r="B28" s="26" t="str">
        <f>IF(A28="","",SUMIF(Enero!$O$4:$O$103,A28,Enero!$E$4:$E$103))</f>
        <v/>
      </c>
      <c r="C28" s="26" t="str">
        <f>IF(A28="","",SUMIF(Enero!$O$4:$O$103,A28,Enero!$J$4:$J$103))</f>
        <v/>
      </c>
      <c r="D28" s="29" t="str">
        <f>IF(A28="","",Marcas!$B$9)</f>
        <v/>
      </c>
      <c r="E28" s="26" t="str">
        <f t="shared" si="3"/>
        <v/>
      </c>
      <c r="F28" s="26" t="str">
        <f>IF(A28="","",SUMIF(Enero!$O$4:$O$103,A28,Enero!$G$4:$G$103))</f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25" t="str">
        <f>Marcas!$A$10</f>
        <v/>
      </c>
      <c r="B29" s="26" t="str">
        <f>IF(A29="","",SUMIF(Enero!$O$4:$O$103,A29,Enero!$E$4:$E$103))</f>
        <v/>
      </c>
      <c r="C29" s="26" t="str">
        <f>IF(A29="","",SUMIF(Enero!$O$4:$O$103,A29,Enero!$J$4:$J$103))</f>
        <v/>
      </c>
      <c r="D29" s="29" t="str">
        <f>IF(A29="","",Marcas!$B$10)</f>
        <v/>
      </c>
      <c r="E29" s="26" t="str">
        <f t="shared" si="3"/>
        <v/>
      </c>
      <c r="F29" s="26" t="str">
        <f>IF(A29="","",SUMIF(Enero!$O$4:$O$103,A29,Enero!$G$4:$G$103))</f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25" t="str">
        <f>Marcas!$A$11</f>
        <v/>
      </c>
      <c r="B30" s="26" t="str">
        <f>IF(A30="","",SUMIF(Enero!$O$4:$O$103,A30,Enero!$E$4:$E$103))</f>
        <v/>
      </c>
      <c r="C30" s="26" t="str">
        <f>IF(A30="","",SUMIF(Enero!$O$4:$O$103,A30,Enero!$J$4:$J$103))</f>
        <v/>
      </c>
      <c r="D30" s="29" t="str">
        <f>IF(A30="","",Marcas!$B$11)</f>
        <v/>
      </c>
      <c r="E30" s="26" t="str">
        <f t="shared" si="3"/>
        <v/>
      </c>
      <c r="F30" s="26" t="str">
        <f>IF(A30="","",SUMIF(Enero!$O$4:$O$103,A30,Enero!$G$4:$G$103))</f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21" t="s">
        <v>61</v>
      </c>
      <c r="B34" s="22"/>
      <c r="C34" s="22"/>
      <c r="D34" s="22"/>
      <c r="E34" s="22"/>
      <c r="F34" s="2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24" t="s">
        <v>36</v>
      </c>
      <c r="B35" s="24" t="s">
        <v>37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25" t="s">
        <v>38</v>
      </c>
      <c r="B36" s="26">
        <f>SUM(Febrero!$M$4:Febrero!$M$103)</f>
        <v>2546018.688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25" t="s">
        <v>39</v>
      </c>
      <c r="B37" s="26">
        <f>SUMIF(Febrero!$C$4:$C$103,"Tienda",Febrero!$M$4:$M$103)</f>
        <v>727487.8866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25" t="s">
        <v>40</v>
      </c>
      <c r="B38" s="26">
        <f>SUMIF(Febrero!$C$4:$C$103,"Consignacion",Febrero!$M$4:$M$103)</f>
        <v>363200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25" t="s">
        <v>41</v>
      </c>
      <c r="B39" s="26">
        <f>Febrero!$B$130</f>
        <v>1751960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25" t="s">
        <v>42</v>
      </c>
      <c r="B40" s="26">
        <f>Febrero!$B$131</f>
        <v>350392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3.75" customHeight="1">
      <c r="A42" s="21" t="s">
        <v>62</v>
      </c>
      <c r="B42" s="22"/>
      <c r="C42" s="22"/>
      <c r="D42" s="22"/>
      <c r="E42" s="22"/>
      <c r="F42" s="2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24" t="s">
        <v>44</v>
      </c>
      <c r="B43" s="24" t="s">
        <v>45</v>
      </c>
      <c r="C43" s="24" t="s">
        <v>46</v>
      </c>
      <c r="D43" s="24" t="s">
        <v>47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25" t="s">
        <v>49</v>
      </c>
      <c r="B44" s="26">
        <f>SUMIF(Febrero!$C$4:$C$103,A44,Febrero!$M$4:$M$103)</f>
        <v>186000</v>
      </c>
      <c r="C44" s="26">
        <f t="shared" ref="C44:C48" si="4">$B$40</f>
        <v>350392</v>
      </c>
      <c r="D44" s="26">
        <f t="shared" ref="D44:D48" si="5">B44-C44</f>
        <v>-164392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25" t="s">
        <v>50</v>
      </c>
      <c r="B45" s="26">
        <f>SUMIF(Febrero!$C$4:$C$103,A45,Febrero!$M$4:$M$103)</f>
        <v>969870.8015</v>
      </c>
      <c r="C45" s="26">
        <f t="shared" si="4"/>
        <v>350392</v>
      </c>
      <c r="D45" s="26">
        <f t="shared" si="5"/>
        <v>619478.8015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25" t="s">
        <v>51</v>
      </c>
      <c r="B46" s="26">
        <f>SUMIF(Febrero!$C$4:$C$103,A46,Febrero!$M$4:$M$103)</f>
        <v>0</v>
      </c>
      <c r="C46" s="26">
        <f t="shared" si="4"/>
        <v>350392</v>
      </c>
      <c r="D46" s="26">
        <f t="shared" si="5"/>
        <v>-350392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25" t="s">
        <v>52</v>
      </c>
      <c r="B47" s="26">
        <f>SUMIF(Febrero!$C$4:$C$103,A47,Febrero!$M$4:$M$103)</f>
        <v>0</v>
      </c>
      <c r="C47" s="26">
        <f t="shared" si="4"/>
        <v>350392</v>
      </c>
      <c r="D47" s="26">
        <f t="shared" si="5"/>
        <v>-350392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25" t="s">
        <v>53</v>
      </c>
      <c r="B48" s="26">
        <f>SUMIF(Febrero!$C$4:$C$103,A48,Febrero!$M$4:$M$103)</f>
        <v>299460</v>
      </c>
      <c r="C48" s="26">
        <f t="shared" si="4"/>
        <v>350392</v>
      </c>
      <c r="D48" s="26">
        <f t="shared" si="5"/>
        <v>-50932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75" customHeight="1">
      <c r="A50" s="21" t="s">
        <v>63</v>
      </c>
      <c r="B50" s="22"/>
      <c r="C50" s="22"/>
      <c r="D50" s="22"/>
      <c r="E50" s="22"/>
      <c r="F50" s="2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24" t="s">
        <v>55</v>
      </c>
      <c r="B51" s="24" t="s">
        <v>56</v>
      </c>
      <c r="C51" s="24" t="s">
        <v>57</v>
      </c>
      <c r="D51" s="24" t="s">
        <v>58</v>
      </c>
      <c r="E51" s="24" t="s">
        <v>59</v>
      </c>
      <c r="F51" s="24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25" t="str">
        <f>Marcas!$A$2</f>
        <v>Nube</v>
      </c>
      <c r="B52" s="26">
        <f>IF(A52="","",SUMIF(Febrero!$O$4:$O$103,A52,Febrero!$E$4:$E$103))</f>
        <v>0</v>
      </c>
      <c r="C52" s="26">
        <f>IF(A52="","",SUMIF(Febrero!$O$4:$O$103,A52,Febrero!$J$4:$J$103))</f>
        <v>0</v>
      </c>
      <c r="D52" s="29">
        <f>IF(A52="","",Marcas!$B$2)</f>
        <v>0.25</v>
      </c>
      <c r="E52" s="26">
        <f t="shared" ref="E52:E61" si="6">IF(A52="","",C52*D52)</f>
        <v>0</v>
      </c>
      <c r="F52" s="26">
        <f>IF(A52="","",SUMIF(Febrero!$O$4:$O$103,A52,Febrero!$G$4:$G$103))</f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25" t="str">
        <f>Marcas!$A$3</f>
        <v>Season Archive</v>
      </c>
      <c r="B53" s="26">
        <f>IF(A53="","",SUMIF(Febrero!$O$4:$O$103,A53,Febrero!$E$4:$E$103))</f>
        <v>0</v>
      </c>
      <c r="C53" s="26">
        <f>IF(A53="","",SUMIF(Febrero!$O$4:$O$103,A53,Febrero!$J$4:$J$103))</f>
        <v>0</v>
      </c>
      <c r="D53" s="29">
        <f>IF(A53="","",Marcas!$B$3)</f>
        <v>0.25</v>
      </c>
      <c r="E53" s="26">
        <f t="shared" si="6"/>
        <v>0</v>
      </c>
      <c r="F53" s="26">
        <f>IF(A53="","",SUMIF(Febrero!$O$4:$O$103,A53,Febrero!$G$4:$G$103))</f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25" t="str">
        <f>Marcas!$A$4</f>
        <v>Gelattos</v>
      </c>
      <c r="B54" s="26">
        <f>IF(A54="","",SUMIF(Febrero!$O$4:$O$103,A54,Febrero!$E$4:$E$103))</f>
        <v>290000</v>
      </c>
      <c r="C54" s="26">
        <f>IF(A54="","",SUMIF(Febrero!$O$4:$O$103,A54,Febrero!$J$4:$J$103))</f>
        <v>290000</v>
      </c>
      <c r="D54" s="29">
        <f>IF(A54="","",Marcas!$B$4)</f>
        <v>0.25</v>
      </c>
      <c r="E54" s="26">
        <f t="shared" si="6"/>
        <v>72500</v>
      </c>
      <c r="F54" s="26">
        <f>IF(A54="","",SUMIF(Febrero!$O$4:$O$103,A54,Febrero!$G$4:$G$103))</f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25" t="str">
        <f>Marcas!$A$5</f>
        <v>Tienda</v>
      </c>
      <c r="B55" s="26">
        <f>IF(A55="","",SUMIF(Febrero!$O$4:$O$103,A55,Febrero!$E$4:$E$103))</f>
        <v>2098600</v>
      </c>
      <c r="C55" s="26">
        <f>IF(A55="","",SUMIF(Febrero!$O$4:$O$103,A55,Febrero!$J$4:$J$103))</f>
        <v>2088305.987</v>
      </c>
      <c r="D55" s="29">
        <f>IF(A55="","",Marcas!$B$5)</f>
        <v>0</v>
      </c>
      <c r="E55" s="26">
        <f t="shared" si="6"/>
        <v>0</v>
      </c>
      <c r="F55" s="26">
        <f>IF(A55="","",SUMIF(Febrero!$O$4:$O$103,A55,Febrero!$G$4:$G$103))</f>
        <v>8781.512605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25" t="str">
        <f>Marcas!$A$6</f>
        <v>Pop disaster
</v>
      </c>
      <c r="B56" s="26">
        <f>IF(A56="","",SUMIF(Febrero!$O$4:$O$103,A56,Febrero!$E$4:$E$103))</f>
        <v>75000</v>
      </c>
      <c r="C56" s="26">
        <f>IF(A56="","",SUMIF(Febrero!$O$4:$O$103,A56,Febrero!$J$4:$J$103))</f>
        <v>75000</v>
      </c>
      <c r="D56" s="29">
        <f>IF(A56="","",Marcas!$B$6)</f>
        <v>0.25</v>
      </c>
      <c r="E56" s="26">
        <f t="shared" si="6"/>
        <v>18750</v>
      </c>
      <c r="F56" s="26">
        <f>IF(A56="","",SUMIF(Febrero!$O$4:$O$103,A56,Febrero!$G$4:$G$103))</f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25" t="str">
        <f>Marcas!$A$7</f>
        <v>Pedritos</v>
      </c>
      <c r="B57" s="26">
        <f>IF(A57="","",SUMIF(Febrero!$O$4:$O$103,A57,Febrero!$E$4:$E$103))</f>
        <v>178000</v>
      </c>
      <c r="C57" s="26">
        <f>IF(A57="","",SUMIF(Febrero!$O$4:$O$103,A57,Febrero!$J$4:$J$103))</f>
        <v>178000</v>
      </c>
      <c r="D57" s="29">
        <f>IF(A57="","",Marcas!$B$7)</f>
        <v>0.25</v>
      </c>
      <c r="E57" s="26">
        <f t="shared" si="6"/>
        <v>44500</v>
      </c>
      <c r="F57" s="26">
        <f>IF(A57="","",SUMIF(Febrero!$O$4:$O$103,A57,Febrero!$G$4:$G$103))</f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25" t="str">
        <f>Marcas!$A$8</f>
        <v/>
      </c>
      <c r="B58" s="26" t="str">
        <f>IF(A58="","",SUMIF(Febrero!$O$4:$O$103,A58,Febrero!$E$4:$E$103))</f>
        <v/>
      </c>
      <c r="C58" s="26" t="str">
        <f>IF(A58="","",SUMIF(Febrero!$O$4:$O$103,A58,Febrero!$J$4:$J$103))</f>
        <v/>
      </c>
      <c r="D58" s="29" t="str">
        <f>IF(A58="","",Marcas!$B$8)</f>
        <v/>
      </c>
      <c r="E58" s="26" t="str">
        <f t="shared" si="6"/>
        <v/>
      </c>
      <c r="F58" s="26" t="str">
        <f>IF(A58="","",SUMIF(Febrero!$O$4:$O$103,A58,Febrero!$G$4:$G$103))</f>
        <v/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25" t="str">
        <f>Marcas!$A$9</f>
        <v/>
      </c>
      <c r="B59" s="26" t="str">
        <f>IF(A59="","",SUMIF(Febrero!$O$4:$O$103,A59,Febrero!$E$4:$E$103))</f>
        <v/>
      </c>
      <c r="C59" s="26" t="str">
        <f>IF(A59="","",SUMIF(Febrero!$O$4:$O$103,A59,Febrero!$J$4:$J$103))</f>
        <v/>
      </c>
      <c r="D59" s="29" t="str">
        <f>IF(A59="","",Marcas!$B$9)</f>
        <v/>
      </c>
      <c r="E59" s="26" t="str">
        <f t="shared" si="6"/>
        <v/>
      </c>
      <c r="F59" s="26" t="str">
        <f>IF(A59="","",SUMIF(Febrero!$O$4:$O$103,A59,Febrero!$G$4:$G$103))</f>
        <v/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25" t="str">
        <f>Marcas!$A$10</f>
        <v/>
      </c>
      <c r="B60" s="26" t="str">
        <f>IF(A60="","",SUMIF(Febrero!$O$4:$O$103,A60,Febrero!$E$4:$E$103))</f>
        <v/>
      </c>
      <c r="C60" s="26" t="str">
        <f>IF(A60="","",SUMIF(Febrero!$O$4:$O$103,A60,Febrero!$J$4:$J$103))</f>
        <v/>
      </c>
      <c r="D60" s="29" t="str">
        <f>IF(A60="","",Marcas!$B$10)</f>
        <v/>
      </c>
      <c r="E60" s="26" t="str">
        <f t="shared" si="6"/>
        <v/>
      </c>
      <c r="F60" s="26" t="str">
        <f>IF(A60="","",SUMIF(Febrero!$O$4:$O$103,A60,Febrero!$G$4:$G$103))</f>
        <v/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25" t="str">
        <f>Marcas!$A$11</f>
        <v/>
      </c>
      <c r="B61" s="26" t="str">
        <f>IF(A61="","",SUMIF(Febrero!$O$4:$O$103,A61,Febrero!$E$4:$E$103))</f>
        <v/>
      </c>
      <c r="C61" s="26" t="str">
        <f>IF(A61="","",SUMIF(Febrero!$O$4:$O$103,A61,Febrero!$J$4:$J$103))</f>
        <v/>
      </c>
      <c r="D61" s="29" t="str">
        <f>IF(A61="","",Marcas!$B$11)</f>
        <v/>
      </c>
      <c r="E61" s="26" t="str">
        <f t="shared" si="6"/>
        <v/>
      </c>
      <c r="F61" s="26" t="str">
        <f>IF(A61="","",SUMIF(Febrero!$O$4:$O$103,A61,Febrero!$G$4:$G$103))</f>
        <v/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0.25" customHeight="1">
      <c r="A65" s="21" t="s">
        <v>64</v>
      </c>
      <c r="B65" s="22"/>
      <c r="C65" s="22"/>
      <c r="D65" s="22"/>
      <c r="E65" s="22"/>
      <c r="F65" s="2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24" t="s">
        <v>36</v>
      </c>
      <c r="B66" s="24" t="s">
        <v>37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25" t="s">
        <v>38</v>
      </c>
      <c r="B67" s="26">
        <f>SUM(Marzo!$M$4:Marzo!$M$103)</f>
        <v>8911812.064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25" t="s">
        <v>39</v>
      </c>
      <c r="B68" s="26">
        <f>SUMIF(Marzo!$C$4:$C$103,"Tienda",Marzo!$M$4:$M$103)</f>
        <v>7011930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25" t="s">
        <v>40</v>
      </c>
      <c r="B69" s="26">
        <f>SUMIF(Marzo!$C$4:$C$103,"Consignacion",Marzo!$M$4:$M$103)</f>
        <v>651000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25" t="s">
        <v>41</v>
      </c>
      <c r="B70" s="26">
        <f>Marzo!$B$130</f>
        <v>1751960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25" t="s">
        <v>42</v>
      </c>
      <c r="B71" s="26">
        <f>Marzo!$B$131</f>
        <v>350392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2.25" customHeight="1">
      <c r="A73" s="21" t="s">
        <v>65</v>
      </c>
      <c r="B73" s="22"/>
      <c r="C73" s="22"/>
      <c r="D73" s="22"/>
      <c r="E73" s="22"/>
      <c r="F73" s="2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24" t="s">
        <v>44</v>
      </c>
      <c r="B74" s="24" t="s">
        <v>45</v>
      </c>
      <c r="C74" s="24" t="s">
        <v>46</v>
      </c>
      <c r="D74" s="24" t="s">
        <v>47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25" t="s">
        <v>49</v>
      </c>
      <c r="B75" s="26">
        <f>SUMIF(Marzo!$C$4:$C$103,A75,Marzo!$M$4:$M$103)</f>
        <v>182054.8582</v>
      </c>
      <c r="C75" s="26">
        <f t="shared" ref="C75:C79" si="7">$B$71</f>
        <v>350392</v>
      </c>
      <c r="D75" s="26">
        <f t="shared" ref="D75:D79" si="8">B75-C75</f>
        <v>-168337.1418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25" t="s">
        <v>50</v>
      </c>
      <c r="B76" s="26">
        <f>SUMIF(Marzo!$C$4:$C$103,A76,Marzo!$M$4:$M$103)</f>
        <v>665936.8015</v>
      </c>
      <c r="C76" s="26">
        <f t="shared" si="7"/>
        <v>350392</v>
      </c>
      <c r="D76" s="26">
        <f t="shared" si="8"/>
        <v>315544.8015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25" t="s">
        <v>51</v>
      </c>
      <c r="B77" s="26">
        <f>SUMIF(Marzo!$C$4:$C$103,A77,Marzo!$M$4:$M$103)</f>
        <v>0</v>
      </c>
      <c r="C77" s="26">
        <f t="shared" si="7"/>
        <v>350392</v>
      </c>
      <c r="D77" s="26">
        <f t="shared" si="8"/>
        <v>-350392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25" t="s">
        <v>52</v>
      </c>
      <c r="B78" s="26">
        <f>SUMIF(Marzo!$C$4:$C$103,A78,Marzo!$M$4:$M$103)</f>
        <v>0</v>
      </c>
      <c r="C78" s="26">
        <f t="shared" si="7"/>
        <v>350392</v>
      </c>
      <c r="D78" s="26">
        <f t="shared" si="8"/>
        <v>-350392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25" t="s">
        <v>53</v>
      </c>
      <c r="B79" s="26">
        <f>SUMIF(Marzo!$C$4:$C$103,A79,Marzo!$M$4:$M$103)</f>
        <v>400890.4044</v>
      </c>
      <c r="C79" s="26">
        <f t="shared" si="7"/>
        <v>350392</v>
      </c>
      <c r="D79" s="26">
        <f t="shared" si="8"/>
        <v>50498.40441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1.5" customHeight="1">
      <c r="A81" s="21" t="s">
        <v>66</v>
      </c>
      <c r="B81" s="22"/>
      <c r="C81" s="22"/>
      <c r="D81" s="22"/>
      <c r="E81" s="22"/>
      <c r="F81" s="2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24" t="s">
        <v>55</v>
      </c>
      <c r="B82" s="24" t="s">
        <v>56</v>
      </c>
      <c r="C82" s="24" t="s">
        <v>57</v>
      </c>
      <c r="D82" s="24" t="s">
        <v>58</v>
      </c>
      <c r="E82" s="24" t="s">
        <v>59</v>
      </c>
      <c r="F82" s="24" t="s">
        <v>60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25" t="str">
        <f>Marcas!$A$2</f>
        <v>Nube</v>
      </c>
      <c r="B83" s="26">
        <f>IF(A83="","",SUMIF(Marzo!$O$4:$O$103,A83,Marzo!$E$4:$E$103))</f>
        <v>0</v>
      </c>
      <c r="C83" s="26">
        <f>IF(A83="","",SUMIF(Marzo!$O$4:$O$103,A83,Marzo!$J$4:$J$103))</f>
        <v>0</v>
      </c>
      <c r="D83" s="29">
        <f>IF(A83="","",Marcas!$B$2)</f>
        <v>0.25</v>
      </c>
      <c r="E83" s="26">
        <f t="shared" ref="E83:E92" si="9">IF(A83="","",C83*D83)</f>
        <v>0</v>
      </c>
      <c r="F83" s="26">
        <f>IF(A83="","",SUMIF(Marzo!$O$4:$O$103,A83,Marzo!$G$4:$G$103))</f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25" t="str">
        <f>Marcas!$A$3</f>
        <v>Season Archive</v>
      </c>
      <c r="B84" s="26">
        <f>IF(A84="","",SUMIF(Marzo!$O$4:$O$103,A84,Marzo!$E$4:$E$103))</f>
        <v>1595000</v>
      </c>
      <c r="C84" s="26">
        <f>IF(A84="","",SUMIF(Marzo!$O$4:$O$103,A84,Marzo!$J$4:$J$103))</f>
        <v>1595000</v>
      </c>
      <c r="D84" s="29">
        <f>IF(A84="","",Marcas!$B$3)</f>
        <v>0.25</v>
      </c>
      <c r="E84" s="26">
        <f t="shared" si="9"/>
        <v>398750</v>
      </c>
      <c r="F84" s="26">
        <f>IF(A84="","",SUMIF(Marzo!$O$4:$O$103,A84,Marzo!$G$4:$G$103))</f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25" t="str">
        <f>Marcas!$A$4</f>
        <v>Gelattos</v>
      </c>
      <c r="B85" s="26">
        <f>IF(A85="","",SUMIF(Marzo!$O$4:$O$103,A85,Marzo!$E$4:$E$103))</f>
        <v>0</v>
      </c>
      <c r="C85" s="26">
        <f>IF(A85="","",SUMIF(Marzo!$O$4:$O$103,A85,Marzo!$J$4:$J$103))</f>
        <v>0</v>
      </c>
      <c r="D85" s="29">
        <f>IF(A85="","",Marcas!$B$4)</f>
        <v>0.25</v>
      </c>
      <c r="E85" s="26">
        <f t="shared" si="9"/>
        <v>0</v>
      </c>
      <c r="F85" s="26">
        <f>IF(A85="","",SUMIF(Marzo!$O$4:$O$103,A85,Marzo!$G$4:$G$103))</f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25" t="str">
        <f>Marcas!$A$5</f>
        <v>Tienda</v>
      </c>
      <c r="B86" s="26">
        <f>IF(A86="","",SUMIF(Marzo!$O$4:$O$103,A86,Marzo!$E$4:$E$103))</f>
        <v>7790000</v>
      </c>
      <c r="C86" s="26">
        <f>IF(A86="","",SUMIF(Marzo!$O$4:$O$103,A86,Marzo!$J$4:$J$103))</f>
        <v>7714117.962</v>
      </c>
      <c r="D86" s="29">
        <f>IF(A86="","",Marcas!$B$5)</f>
        <v>0</v>
      </c>
      <c r="E86" s="26">
        <f t="shared" si="9"/>
        <v>0</v>
      </c>
      <c r="F86" s="26">
        <f>IF(A86="","",SUMIF(Marzo!$O$4:$O$103,A86,Marzo!$G$4:$G$103))</f>
        <v>26344.53782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25" t="str">
        <f>Marcas!$A$6</f>
        <v>Pop disaster
</v>
      </c>
      <c r="B87" s="26">
        <f>IF(A87="","",SUMIF(Marzo!$O$4:$O$103,A87,Marzo!$E$4:$E$103))</f>
        <v>65000</v>
      </c>
      <c r="C87" s="26">
        <f>IF(A87="","",SUMIF(Marzo!$O$4:$O$103,A87,Marzo!$J$4:$J$103))</f>
        <v>65000</v>
      </c>
      <c r="D87" s="29">
        <f>IF(A87="","",Marcas!$B$6)</f>
        <v>0.25</v>
      </c>
      <c r="E87" s="26">
        <f t="shared" si="9"/>
        <v>16250</v>
      </c>
      <c r="F87" s="26">
        <f>IF(A87="","",SUMIF(Marzo!$O$4:$O$103,A87,Marzo!$G$4:$G$103))</f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25" t="str">
        <f>Marcas!$A$7</f>
        <v>Pedritos</v>
      </c>
      <c r="B88" s="26">
        <f>IF(A88="","",SUMIF(Marzo!$O$4:$O$103,A88,Marzo!$E$4:$E$103))</f>
        <v>75000</v>
      </c>
      <c r="C88" s="26">
        <f>IF(A88="","",SUMIF(Marzo!$O$4:$O$103,A88,Marzo!$J$4:$J$103))</f>
        <v>75000</v>
      </c>
      <c r="D88" s="29">
        <f>IF(A88="","",Marcas!$B$7)</f>
        <v>0.25</v>
      </c>
      <c r="E88" s="26">
        <f t="shared" si="9"/>
        <v>18750</v>
      </c>
      <c r="F88" s="26">
        <f>IF(A88="","",SUMIF(Marzo!$O$4:$O$103,A88,Marzo!$G$4:$G$103))</f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25" t="str">
        <f>Marcas!$A$8</f>
        <v/>
      </c>
      <c r="B89" s="26" t="str">
        <f>IF(A89="","",SUMIF(Marzo!$O$4:$O$103,A89,Marzo!$E$4:$E$103))</f>
        <v/>
      </c>
      <c r="C89" s="26" t="str">
        <f>IF(A89="","",SUMIF(Marzo!$O$4:$O$103,A89,Marzo!$J$4:$J$103))</f>
        <v/>
      </c>
      <c r="D89" s="29" t="str">
        <f>IF(A89="","",Marcas!$B$8)</f>
        <v/>
      </c>
      <c r="E89" s="26" t="str">
        <f t="shared" si="9"/>
        <v/>
      </c>
      <c r="F89" s="26" t="str">
        <f>IF(A89="","",SUMIF(Marzo!$O$4:$O$103,A89,Marzo!$G$4:$G$103))</f>
        <v/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25" t="str">
        <f>Marcas!$A$9</f>
        <v/>
      </c>
      <c r="B90" s="26" t="str">
        <f>IF(A90="","",SUMIF(Marzo!$O$4:$O$103,A90,Marzo!$E$4:$E$103))</f>
        <v/>
      </c>
      <c r="C90" s="26" t="str">
        <f>IF(A90="","",SUMIF(Marzo!$O$4:$O$103,A90,Marzo!$J$4:$J$103))</f>
        <v/>
      </c>
      <c r="D90" s="29" t="str">
        <f>IF(A90="","",Marcas!$B$9)</f>
        <v/>
      </c>
      <c r="E90" s="26" t="str">
        <f t="shared" si="9"/>
        <v/>
      </c>
      <c r="F90" s="26" t="str">
        <f>IF(A90="","",SUMIF(Marzo!$O$4:$O$103,A90,Marzo!$G$4:$G$103))</f>
        <v/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25" t="str">
        <f>Marcas!$A$10</f>
        <v/>
      </c>
      <c r="B91" s="26" t="str">
        <f>IF(A91="","",SUMIF(Marzo!$O$4:$O$103,A91,Marzo!$E$4:$E$103))</f>
        <v/>
      </c>
      <c r="C91" s="26" t="str">
        <f>IF(A91="","",SUMIF(Marzo!$O$4:$O$103,A91,Marzo!$J$4:$J$103))</f>
        <v/>
      </c>
      <c r="D91" s="29" t="str">
        <f>IF(A91="","",Marcas!$B$10)</f>
        <v/>
      </c>
      <c r="E91" s="26" t="str">
        <f t="shared" si="9"/>
        <v/>
      </c>
      <c r="F91" s="26" t="str">
        <f>IF(A91="","",SUMIF(Marzo!$O$4:$O$103,A91,Marzo!$G$4:$G$103))</f>
        <v/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25" t="str">
        <f>Marcas!$A$11</f>
        <v/>
      </c>
      <c r="B92" s="26" t="str">
        <f>IF(A92="","",SUMIF(Marzo!$O$4:$O$103,A92,Marzo!$E$4:$E$103))</f>
        <v/>
      </c>
      <c r="C92" s="26" t="str">
        <f>IF(A92="","",SUMIF(Marzo!$O$4:$O$103,A92,Marzo!$J$4:$J$103))</f>
        <v/>
      </c>
      <c r="D92" s="29" t="str">
        <f>IF(A92="","",Marcas!$B$11)</f>
        <v/>
      </c>
      <c r="E92" s="26" t="str">
        <f t="shared" si="9"/>
        <v/>
      </c>
      <c r="F92" s="26" t="str">
        <f>IF(A92="","",SUMIF(Marzo!$O$4:$O$103,A92,Marzo!$G$4:$G$103))</f>
        <v/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1" t="s">
        <v>67</v>
      </c>
      <c r="B96" s="22"/>
      <c r="C96" s="22"/>
      <c r="D96" s="22"/>
      <c r="E96" s="22"/>
      <c r="F96" s="2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24" t="s">
        <v>36</v>
      </c>
      <c r="B97" s="24" t="s">
        <v>37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25" t="s">
        <v>38</v>
      </c>
      <c r="B98" s="26">
        <f>SUM(Abril!$M$4:Abril!$M$103)</f>
        <v>3643451.643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25" t="s">
        <v>39</v>
      </c>
      <c r="B99" s="26">
        <f>SUMIF(Abril!$C$4:$C$103,"Tienda",Abril!$M$4:$M$103)</f>
        <v>2480716.785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25" t="s">
        <v>40</v>
      </c>
      <c r="B100" s="26">
        <f>SUMIF(Abril!$C$4:$C$103,"Consignacion",Abril!$M$4:$M$103)</f>
        <v>267150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25" t="s">
        <v>41</v>
      </c>
      <c r="B101" s="26">
        <f>Abril!$B$130</f>
        <v>1751960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25" t="s">
        <v>42</v>
      </c>
      <c r="B102" s="26">
        <f>Abril!$B$131</f>
        <v>350392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1" t="s">
        <v>68</v>
      </c>
      <c r="B104" s="22"/>
      <c r="C104" s="22"/>
      <c r="D104" s="22"/>
      <c r="E104" s="22"/>
      <c r="F104" s="2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24" t="s">
        <v>44</v>
      </c>
      <c r="B105" s="24" t="s">
        <v>45</v>
      </c>
      <c r="C105" s="24" t="s">
        <v>46</v>
      </c>
      <c r="D105" s="24" t="s">
        <v>47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25" t="s">
        <v>49</v>
      </c>
      <c r="B106" s="26">
        <f>SUMIF(Abril!$C$4:$C$103,A106,Abril!$M$4:$M$103)</f>
        <v>378750</v>
      </c>
      <c r="C106" s="26">
        <f t="shared" ref="C106:C110" si="10">$B$102</f>
        <v>350392</v>
      </c>
      <c r="D106" s="26">
        <f t="shared" ref="D106:D110" si="11">B106-C106</f>
        <v>28358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25" t="s">
        <v>50</v>
      </c>
      <c r="B107" s="26">
        <f>SUMIF(Abril!$C$4:$C$103,A107,Abril!$M$4:$M$103)</f>
        <v>209934.8582</v>
      </c>
      <c r="C107" s="26">
        <f t="shared" si="10"/>
        <v>350392</v>
      </c>
      <c r="D107" s="26">
        <f t="shared" si="11"/>
        <v>-140457.1418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25" t="s">
        <v>51</v>
      </c>
      <c r="B108" s="26">
        <f>SUMIF(Abril!$C$4:$C$103,A108,Abril!$M$4:$M$103)</f>
        <v>0</v>
      </c>
      <c r="C108" s="26">
        <f t="shared" si="10"/>
        <v>350392</v>
      </c>
      <c r="D108" s="26">
        <f t="shared" si="11"/>
        <v>-350392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25" t="s">
        <v>52</v>
      </c>
      <c r="B109" s="26">
        <f>SUMIF(Abril!$C$4:$C$103,A109,Abril!$M$4:$M$103)</f>
        <v>0</v>
      </c>
      <c r="C109" s="26">
        <f t="shared" si="10"/>
        <v>350392</v>
      </c>
      <c r="D109" s="26">
        <f t="shared" si="11"/>
        <v>-350392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25" t="s">
        <v>53</v>
      </c>
      <c r="B110" s="26">
        <f>SUMIF(Abril!$C$4:$C$103,A110,Abril!$M$4:$M$103)</f>
        <v>306900</v>
      </c>
      <c r="C110" s="26">
        <f t="shared" si="10"/>
        <v>350392</v>
      </c>
      <c r="D110" s="26">
        <f t="shared" si="11"/>
        <v>-43492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1" t="s">
        <v>69</v>
      </c>
      <c r="B112" s="22"/>
      <c r="C112" s="22"/>
      <c r="D112" s="22"/>
      <c r="E112" s="22"/>
      <c r="F112" s="2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24" t="s">
        <v>55</v>
      </c>
      <c r="B113" s="24" t="s">
        <v>56</v>
      </c>
      <c r="C113" s="24" t="s">
        <v>57</v>
      </c>
      <c r="D113" s="24" t="s">
        <v>58</v>
      </c>
      <c r="E113" s="24" t="s">
        <v>59</v>
      </c>
      <c r="F113" s="24" t="s">
        <v>60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25" t="str">
        <f>Marcas!$A$2</f>
        <v>Nube</v>
      </c>
      <c r="B114" s="26">
        <f>IF(A114="","",SUMIF(Abril!$O$4:$O$103,A114,Abril!$E$4:$E$103))</f>
        <v>0</v>
      </c>
      <c r="C114" s="26">
        <f>IF(A114="","",SUMIF(Abril!$O$4:$O$103,A114,Abril!$J$4:$J$103))</f>
        <v>0</v>
      </c>
      <c r="D114" s="29">
        <f>IF(A114="","",Marcas!$B$2)</f>
        <v>0.25</v>
      </c>
      <c r="E114" s="26">
        <f t="shared" ref="E114:E123" si="12">IF(A114="","",C114*D114)</f>
        <v>0</v>
      </c>
      <c r="F114" s="26">
        <f>IF(A114="","",SUMIF(Abril!$O$4:$O$103,A114,Abril!$G$4:$G$103))</f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25" t="str">
        <f>Marcas!$A$3</f>
        <v>Season Archive</v>
      </c>
      <c r="B115" s="26">
        <f>IF(A115="","",SUMIF(Abril!$O$4:$O$103,A115,Abril!$E$4:$E$103))</f>
        <v>300000</v>
      </c>
      <c r="C115" s="26">
        <f>IF(A115="","",SUMIF(Abril!$O$4:$O$103,A115,Abril!$J$4:$J$103))</f>
        <v>300000</v>
      </c>
      <c r="D115" s="29">
        <f>IF(A115="","",Marcas!$B$3)</f>
        <v>0.25</v>
      </c>
      <c r="E115" s="26">
        <f t="shared" si="12"/>
        <v>75000</v>
      </c>
      <c r="F115" s="26">
        <f>IF(A115="","",SUMIF(Abril!$O$4:$O$103,A115,Abril!$G$4:$G$103))</f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25" t="str">
        <f>Marcas!$A$4</f>
        <v>Gelattos</v>
      </c>
      <c r="B116" s="26">
        <f>IF(A116="","",SUMIF(Abril!$O$4:$O$103,A116,Abril!$E$4:$E$103))</f>
        <v>30000</v>
      </c>
      <c r="C116" s="26">
        <f>IF(A116="","",SUMIF(Abril!$O$4:$O$103,A116,Abril!$J$4:$J$103))</f>
        <v>30000</v>
      </c>
      <c r="D116" s="29">
        <f>IF(A116="","",Marcas!$B$4)</f>
        <v>0.25</v>
      </c>
      <c r="E116" s="26">
        <f t="shared" si="12"/>
        <v>7500</v>
      </c>
      <c r="F116" s="26">
        <f>IF(A116="","",SUMIF(Abril!$O$4:$O$103,A116,Abril!$G$4:$G$103))</f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25" t="str">
        <f>Marcas!$A$5</f>
        <v>Tienda</v>
      </c>
      <c r="B117" s="26">
        <f>IF(A117="","",SUMIF(Abril!$O$4:$O$103,A117,Abril!$E$4:$E$103))</f>
        <v>3221000</v>
      </c>
      <c r="C117" s="26">
        <f>IF(A117="","",SUMIF(Abril!$O$4:$O$103,A117,Abril!$J$4:$J$103))</f>
        <v>3179583.95</v>
      </c>
      <c r="D117" s="29">
        <f>IF(A117="","",Marcas!$B$5)</f>
        <v>0</v>
      </c>
      <c r="E117" s="26">
        <f t="shared" si="12"/>
        <v>0</v>
      </c>
      <c r="F117" s="26">
        <f>IF(A117="","",SUMIF(Abril!$O$4:$O$103,A117,Abril!$G$4:$G$103))</f>
        <v>35126.05042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25" t="str">
        <f>Marcas!$A$6</f>
        <v>Pop disaster
</v>
      </c>
      <c r="B118" s="26">
        <f>IF(A118="","",SUMIF(Abril!$O$4:$O$103,A118,Abril!$E$4:$E$103))</f>
        <v>0</v>
      </c>
      <c r="C118" s="26">
        <f>IF(A118="","",SUMIF(Abril!$O$4:$O$103,A118,Abril!$J$4:$J$103))</f>
        <v>0</v>
      </c>
      <c r="D118" s="29">
        <f>IF(A118="","",Marcas!$B$6)</f>
        <v>0.25</v>
      </c>
      <c r="E118" s="26">
        <f t="shared" si="12"/>
        <v>0</v>
      </c>
      <c r="F118" s="26">
        <f>IF(A118="","",SUMIF(Abril!$O$4:$O$103,A118,Abril!$G$4:$G$103))</f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25" t="str">
        <f>Marcas!$A$7</f>
        <v>Pedritos</v>
      </c>
      <c r="B119" s="26">
        <f>IF(A119="","",SUMIF(Abril!$O$4:$O$103,A119,Abril!$E$4:$E$103))</f>
        <v>25000</v>
      </c>
      <c r="C119" s="26">
        <f>IF(A119="","",SUMIF(Abril!$O$4:$O$103,A119,Abril!$J$4:$J$103))</f>
        <v>25000</v>
      </c>
      <c r="D119" s="29">
        <f>IF(A119="","",Marcas!$B$7)</f>
        <v>0.25</v>
      </c>
      <c r="E119" s="26">
        <f t="shared" si="12"/>
        <v>6250</v>
      </c>
      <c r="F119" s="26">
        <f>IF(A119="","",SUMIF(Abril!$O$4:$O$103,A119,Abril!$G$4:$G$103))</f>
        <v>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25" t="str">
        <f>Marcas!$A$8</f>
        <v/>
      </c>
      <c r="B120" s="26" t="str">
        <f>IF(A120="","",SUMIF(Abril!$O$4:$O$103,A120,Abril!$E$4:$E$103))</f>
        <v/>
      </c>
      <c r="C120" s="26" t="str">
        <f>IF(A120="","",SUMIF(Abril!$O$4:$O$103,A120,Abril!$J$4:$J$103))</f>
        <v/>
      </c>
      <c r="D120" s="29" t="str">
        <f>IF(A120="","",Marcas!$B$8)</f>
        <v/>
      </c>
      <c r="E120" s="26" t="str">
        <f t="shared" si="12"/>
        <v/>
      </c>
      <c r="F120" s="26" t="str">
        <f>IF(A120="","",SUMIF(Abril!$O$4:$O$103,A120,Abril!$G$4:$G$103))</f>
        <v/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25" t="str">
        <f>Marcas!$A$9</f>
        <v/>
      </c>
      <c r="B121" s="26" t="str">
        <f>IF(A121="","",SUMIF(Abril!$O$4:$O$103,A121,Abril!$E$4:$E$103))</f>
        <v/>
      </c>
      <c r="C121" s="26" t="str">
        <f>IF(A121="","",SUMIF(Abril!$O$4:$O$103,A121,Abril!$J$4:$J$103))</f>
        <v/>
      </c>
      <c r="D121" s="29" t="str">
        <f>IF(A121="","",Marcas!$B$9)</f>
        <v/>
      </c>
      <c r="E121" s="26" t="str">
        <f t="shared" si="12"/>
        <v/>
      </c>
      <c r="F121" s="26" t="str">
        <f>IF(A121="","",SUMIF(Abril!$O$4:$O$103,A121,Abril!$G$4:$G$103))</f>
        <v/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25" t="str">
        <f>Marcas!$A$10</f>
        <v/>
      </c>
      <c r="B122" s="26" t="str">
        <f>IF(A122="","",SUMIF(Abril!$O$4:$O$103,A122,Abril!$E$4:$E$103))</f>
        <v/>
      </c>
      <c r="C122" s="26" t="str">
        <f>IF(A122="","",SUMIF(Abril!$O$4:$O$103,A122,Abril!$J$4:$J$103))</f>
        <v/>
      </c>
      <c r="D122" s="29" t="str">
        <f>IF(A122="","",Marcas!$B$10)</f>
        <v/>
      </c>
      <c r="E122" s="26" t="str">
        <f t="shared" si="12"/>
        <v/>
      </c>
      <c r="F122" s="26" t="str">
        <f>IF(A122="","",SUMIF(Abril!$O$4:$O$103,A122,Abril!$G$4:$G$103))</f>
        <v/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25" t="str">
        <f>Marcas!$A$11</f>
        <v/>
      </c>
      <c r="B123" s="26" t="str">
        <f>IF(A123="","",SUMIF(Abril!$O$4:$O$103,A123,Abril!$E$4:$E$103))</f>
        <v/>
      </c>
      <c r="C123" s="26" t="str">
        <f>IF(A123="","",SUMIF(Abril!$O$4:$O$103,A123,Abril!$J$4:$J$103))</f>
        <v/>
      </c>
      <c r="D123" s="29" t="str">
        <f>IF(A123="","",Marcas!$B$11)</f>
        <v/>
      </c>
      <c r="E123" s="26" t="str">
        <f t="shared" si="12"/>
        <v/>
      </c>
      <c r="F123" s="26" t="str">
        <f>IF(A123="","",SUMIF(Abril!$O$4:$O$103,A123,Abril!$G$4:$G$103))</f>
        <v/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1" t="s">
        <v>70</v>
      </c>
      <c r="B127" s="22"/>
      <c r="C127" s="22"/>
      <c r="D127" s="22"/>
      <c r="E127" s="22"/>
      <c r="F127" s="2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24" t="s">
        <v>36</v>
      </c>
      <c r="B128" s="24" t="s">
        <v>37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25" t="s">
        <v>38</v>
      </c>
      <c r="B129" s="26">
        <f>SUM(Mayo!$M$4:Mayo!$M$103)</f>
        <v>2619525.819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25" t="s">
        <v>39</v>
      </c>
      <c r="B130" s="26">
        <f>SUMIF(Mayo!$C$4:$C$103,"Tienda",Mayo!$M$4:$M$103)</f>
        <v>2250681.933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25" t="s">
        <v>40</v>
      </c>
      <c r="B131" s="26">
        <f>SUMIF(Mayo!$C$4:$C$103,"Consignacion",Mayo!$M$4:$M$103)</f>
        <v>88350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25" t="s">
        <v>41</v>
      </c>
      <c r="B132" s="26">
        <f>Mayo!$B$130</f>
        <v>1751960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25" t="s">
        <v>42</v>
      </c>
      <c r="B133" s="26">
        <f>Mayo!$B$131</f>
        <v>350392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1" t="s">
        <v>71</v>
      </c>
      <c r="B135" s="22"/>
      <c r="C135" s="22"/>
      <c r="D135" s="22"/>
      <c r="E135" s="22"/>
      <c r="F135" s="2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24" t="s">
        <v>44</v>
      </c>
      <c r="B136" s="24" t="s">
        <v>45</v>
      </c>
      <c r="C136" s="24" t="s">
        <v>46</v>
      </c>
      <c r="D136" s="24" t="s">
        <v>47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25" t="s">
        <v>49</v>
      </c>
      <c r="B137" s="26">
        <f>SUMIF(Mayo!$C$4:$C$103,A137,Mayo!$M$4:$M$103)</f>
        <v>0</v>
      </c>
      <c r="C137" s="26">
        <f t="shared" ref="C137:C141" si="13">$B$133</f>
        <v>350392</v>
      </c>
      <c r="D137" s="26">
        <f t="shared" ref="D137:D141" si="14">B137-C137</f>
        <v>-350392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25" t="s">
        <v>50</v>
      </c>
      <c r="B138" s="26">
        <f>SUMIF(Mayo!$C$4:$C$103,A138,Mayo!$M$4:$M$103)</f>
        <v>102300</v>
      </c>
      <c r="C138" s="26">
        <f t="shared" si="13"/>
        <v>350392</v>
      </c>
      <c r="D138" s="26">
        <f t="shared" si="14"/>
        <v>-248092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25" t="s">
        <v>51</v>
      </c>
      <c r="B139" s="26">
        <f>SUMIF(Mayo!$C$4:$C$103,A139,Mayo!$M$4:$M$103)</f>
        <v>0</v>
      </c>
      <c r="C139" s="26">
        <f t="shared" si="13"/>
        <v>350392</v>
      </c>
      <c r="D139" s="26">
        <f t="shared" si="14"/>
        <v>-350392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25" t="s">
        <v>52</v>
      </c>
      <c r="B140" s="26">
        <f>SUMIF(Mayo!$C$4:$C$103,A140,Mayo!$M$4:$M$103)</f>
        <v>0</v>
      </c>
      <c r="C140" s="26">
        <f t="shared" si="13"/>
        <v>350392</v>
      </c>
      <c r="D140" s="26">
        <f t="shared" si="14"/>
        <v>-350392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25" t="s">
        <v>53</v>
      </c>
      <c r="B141" s="26">
        <f>SUMIF(Mayo!$C$4:$C$103,A141,Mayo!$M$4:$M$103)</f>
        <v>178193.8866</v>
      </c>
      <c r="C141" s="26">
        <f t="shared" si="13"/>
        <v>350392</v>
      </c>
      <c r="D141" s="26">
        <f t="shared" si="14"/>
        <v>-172198.1134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1" t="s">
        <v>72</v>
      </c>
      <c r="B143" s="22"/>
      <c r="C143" s="22"/>
      <c r="D143" s="22"/>
      <c r="E143" s="22"/>
      <c r="F143" s="2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24" t="s">
        <v>55</v>
      </c>
      <c r="B144" s="24" t="s">
        <v>56</v>
      </c>
      <c r="C144" s="24" t="s">
        <v>57</v>
      </c>
      <c r="D144" s="24" t="s">
        <v>58</v>
      </c>
      <c r="E144" s="24" t="s">
        <v>59</v>
      </c>
      <c r="F144" s="24" t="s">
        <v>60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25" t="str">
        <f>Marcas!$A$2</f>
        <v>Nube</v>
      </c>
      <c r="B145" s="26">
        <f>IF(A145="","",SUMIF(Mayo!$O$4:$O$103,A145,Mayo!$E$4:$E$103))</f>
        <v>0</v>
      </c>
      <c r="C145" s="26">
        <f>IF(A145="","",SUMIF(Mayo!$O$4:$O$103,A145,Mayo!$J$4:$J$103))</f>
        <v>0</v>
      </c>
      <c r="D145" s="29">
        <f>IF(A145="","",Marcas!$B$2)</f>
        <v>0.25</v>
      </c>
      <c r="E145" s="26">
        <f t="shared" ref="E145:E154" si="15">IF(A145="","",C145*D145)</f>
        <v>0</v>
      </c>
      <c r="F145" s="26">
        <f>IF(A145="","",SUMIF(Mayo!$O$4:$O$103,A145,Mayo!$G$4:$G$103))</f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25" t="str">
        <f>Marcas!$A$3</f>
        <v>Season Archive</v>
      </c>
      <c r="B146" s="26">
        <f>IF(A146="","",SUMIF(Mayo!$O$4:$O$103,A146,Mayo!$E$4:$E$103))</f>
        <v>60000</v>
      </c>
      <c r="C146" s="26">
        <f>IF(A146="","",SUMIF(Mayo!$O$4:$O$103,A146,Mayo!$J$4:$J$103))</f>
        <v>60000</v>
      </c>
      <c r="D146" s="29">
        <f>IF(A146="","",Marcas!$B$3)</f>
        <v>0.25</v>
      </c>
      <c r="E146" s="26">
        <f t="shared" si="15"/>
        <v>15000</v>
      </c>
      <c r="F146" s="26">
        <f>IF(A146="","",SUMIF(Mayo!$O$4:$O$103,A146,Mayo!$G$4:$G$103))</f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25" t="str">
        <f>Marcas!$A$4</f>
        <v>Gelattos</v>
      </c>
      <c r="B147" s="26">
        <f>IF(A147="","",SUMIF(Mayo!$O$4:$O$103,A147,Mayo!$E$4:$E$103))</f>
        <v>0</v>
      </c>
      <c r="C147" s="26">
        <f>IF(A147="","",SUMIF(Mayo!$O$4:$O$103,A147,Mayo!$J$4:$J$103))</f>
        <v>0</v>
      </c>
      <c r="D147" s="29">
        <f>IF(A147="","",Marcas!$B$4)</f>
        <v>0.25</v>
      </c>
      <c r="E147" s="26">
        <f t="shared" si="15"/>
        <v>0</v>
      </c>
      <c r="F147" s="26">
        <f>IF(A147="","",SUMIF(Mayo!$O$4:$O$103,A147,Mayo!$G$4:$G$103))</f>
        <v>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25" t="str">
        <f>Marcas!$A$5</f>
        <v>Tienda</v>
      </c>
      <c r="B148" s="26">
        <f>IF(A148="","",SUMIF(Mayo!$O$4:$O$103,A148,Mayo!$E$4:$E$103))</f>
        <v>2340000</v>
      </c>
      <c r="C148" s="26">
        <f>IF(A148="","",SUMIF(Mayo!$O$4:$O$103,A148,Mayo!$J$4:$J$103))</f>
        <v>2321088.655</v>
      </c>
      <c r="D148" s="29">
        <f>IF(A148="","",Marcas!$B$5)</f>
        <v>0</v>
      </c>
      <c r="E148" s="26">
        <f t="shared" si="15"/>
        <v>0</v>
      </c>
      <c r="F148" s="26">
        <f>IF(A148="","",SUMIF(Mayo!$O$4:$O$103,A148,Mayo!$G$4:$G$103))</f>
        <v>18361.34454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25" t="str">
        <f>Marcas!$A$6</f>
        <v>Pop disaster
</v>
      </c>
      <c r="B149" s="26">
        <f>IF(A149="","",SUMIF(Mayo!$O$4:$O$103,A149,Mayo!$E$4:$E$103))</f>
        <v>65000</v>
      </c>
      <c r="C149" s="26">
        <f>IF(A149="","",SUMIF(Mayo!$O$4:$O$103,A149,Mayo!$J$4:$J$103))</f>
        <v>65000</v>
      </c>
      <c r="D149" s="29">
        <f>IF(A149="","",Marcas!$B$6)</f>
        <v>0.25</v>
      </c>
      <c r="E149" s="26">
        <f t="shared" si="15"/>
        <v>16250</v>
      </c>
      <c r="F149" s="26">
        <f>IF(A149="","",SUMIF(Mayo!$O$4:$O$103,A149,Mayo!$G$4:$G$103))</f>
        <v>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25" t="str">
        <f>Marcas!$A$7</f>
        <v>Pedritos</v>
      </c>
      <c r="B150" s="26">
        <f>IF(A150="","",SUMIF(Mayo!$O$4:$O$103,A150,Mayo!$E$4:$E$103))</f>
        <v>30000</v>
      </c>
      <c r="C150" s="26">
        <f>IF(A150="","",SUMIF(Mayo!$O$4:$O$103,A150,Mayo!$J$4:$J$103))</f>
        <v>30000</v>
      </c>
      <c r="D150" s="29">
        <f>IF(A150="","",Marcas!$B$7)</f>
        <v>0.25</v>
      </c>
      <c r="E150" s="26">
        <f t="shared" si="15"/>
        <v>7500</v>
      </c>
      <c r="F150" s="26">
        <f>IF(A150="","",SUMIF(Mayo!$O$4:$O$103,A150,Mayo!$G$4:$G$103))</f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25" t="str">
        <f>Marcas!$A$8</f>
        <v/>
      </c>
      <c r="B151" s="26" t="str">
        <f>IF(A151="","",SUMIF(Mayo!$O$4:$O$103,A151,Mayo!$E$4:$E$103))</f>
        <v/>
      </c>
      <c r="C151" s="26" t="str">
        <f>IF(A151="","",SUMIF(Mayo!$O$4:$O$103,A151,Mayo!$J$4:$J$103))</f>
        <v/>
      </c>
      <c r="D151" s="29" t="str">
        <f>IF(A151="","",Marcas!$B$8)</f>
        <v/>
      </c>
      <c r="E151" s="26" t="str">
        <f t="shared" si="15"/>
        <v/>
      </c>
      <c r="F151" s="26" t="str">
        <f>IF(A151="","",SUMIF(Mayo!$O$4:$O$103,A151,Mayo!$G$4:$G$103))</f>
        <v/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25" t="str">
        <f>Marcas!$A$9</f>
        <v/>
      </c>
      <c r="B152" s="26" t="str">
        <f>IF(A152="","",SUMIF(Mayo!$O$4:$O$103,A152,Mayo!$E$4:$E$103))</f>
        <v/>
      </c>
      <c r="C152" s="26" t="str">
        <f>IF(A152="","",SUMIF(Mayo!$O$4:$O$103,A152,Mayo!$J$4:$J$103))</f>
        <v/>
      </c>
      <c r="D152" s="29" t="str">
        <f>IF(A152="","",Marcas!$B$9)</f>
        <v/>
      </c>
      <c r="E152" s="26" t="str">
        <f t="shared" si="15"/>
        <v/>
      </c>
      <c r="F152" s="26" t="str">
        <f>IF(A152="","",SUMIF(Mayo!$O$4:$O$103,A152,Mayo!$G$4:$G$103))</f>
        <v/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25" t="str">
        <f>Marcas!$A$10</f>
        <v/>
      </c>
      <c r="B153" s="26" t="str">
        <f>IF(A153="","",SUMIF(Mayo!$O$4:$O$103,A153,Mayo!$E$4:$E$103))</f>
        <v/>
      </c>
      <c r="C153" s="26" t="str">
        <f>IF(A153="","",SUMIF(Mayo!$O$4:$O$103,A153,Mayo!$J$4:$J$103))</f>
        <v/>
      </c>
      <c r="D153" s="29" t="str">
        <f>IF(A153="","",Marcas!$B$10)</f>
        <v/>
      </c>
      <c r="E153" s="26" t="str">
        <f t="shared" si="15"/>
        <v/>
      </c>
      <c r="F153" s="26" t="str">
        <f>IF(A153="","",SUMIF(Mayo!$O$4:$O$103,A153,Mayo!$G$4:$G$103))</f>
        <v/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25" t="str">
        <f>Marcas!$A$11</f>
        <v/>
      </c>
      <c r="B154" s="26" t="str">
        <f>IF(A154="","",SUMIF(Mayo!$O$4:$O$103,A154,Mayo!$E$4:$E$103))</f>
        <v/>
      </c>
      <c r="C154" s="26" t="str">
        <f>IF(A154="","",SUMIF(Mayo!$O$4:$O$103,A154,Mayo!$J$4:$J$103))</f>
        <v/>
      </c>
      <c r="D154" s="29" t="str">
        <f>IF(A154="","",Marcas!$B$11)</f>
        <v/>
      </c>
      <c r="E154" s="26" t="str">
        <f t="shared" si="15"/>
        <v/>
      </c>
      <c r="F154" s="26" t="str">
        <f>IF(A154="","",SUMIF(Mayo!$O$4:$O$103,A154,Mayo!$G$4:$G$103))</f>
        <v/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1" t="s">
        <v>73</v>
      </c>
      <c r="B158" s="22"/>
      <c r="C158" s="22"/>
      <c r="D158" s="22"/>
      <c r="E158" s="22"/>
      <c r="F158" s="2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24" t="s">
        <v>36</v>
      </c>
      <c r="B159" s="24" t="s">
        <v>37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25" t="s">
        <v>38</v>
      </c>
      <c r="B160" s="26">
        <f>SUM(Junio!$M$4:Junio!$M$103)</f>
        <v>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25" t="s">
        <v>39</v>
      </c>
      <c r="B161" s="26">
        <f>SUMIF(Junio!$C$4:$C$103,"Tienda",Junio!$M$4:$M$103)</f>
        <v>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25" t="s">
        <v>40</v>
      </c>
      <c r="B162" s="26">
        <f>SUMIF(Junio!$C$4:$C$103,"Consignacion",Junio!$M$4:$M$103)</f>
        <v>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25" t="s">
        <v>41</v>
      </c>
      <c r="B163" s="26">
        <f>Junio!$B$130</f>
        <v>1751960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25" t="s">
        <v>42</v>
      </c>
      <c r="B164" s="26">
        <f>Junio!$B$131</f>
        <v>350392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1" t="s">
        <v>74</v>
      </c>
      <c r="B166" s="22"/>
      <c r="C166" s="22"/>
      <c r="D166" s="22"/>
      <c r="E166" s="22"/>
      <c r="F166" s="2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24" t="s">
        <v>44</v>
      </c>
      <c r="B167" s="24" t="s">
        <v>45</v>
      </c>
      <c r="C167" s="24" t="s">
        <v>46</v>
      </c>
      <c r="D167" s="24" t="s">
        <v>47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25" t="s">
        <v>49</v>
      </c>
      <c r="B168" s="26">
        <f>SUMIF(Junio!$C$4:$C$103,A168,Junio!$M$4:$M$103)</f>
        <v>0</v>
      </c>
      <c r="C168" s="26">
        <f t="shared" ref="C168:C172" si="16">$B$164</f>
        <v>350392</v>
      </c>
      <c r="D168" s="26">
        <f t="shared" ref="D168:D172" si="17">B168-C168</f>
        <v>-350392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25" t="s">
        <v>50</v>
      </c>
      <c r="B169" s="26">
        <f>SUMIF(Junio!$C$4:$C$103,A169,Junio!$M$4:$M$103)</f>
        <v>0</v>
      </c>
      <c r="C169" s="26">
        <f t="shared" si="16"/>
        <v>350392</v>
      </c>
      <c r="D169" s="26">
        <f t="shared" si="17"/>
        <v>-350392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25" t="s">
        <v>51</v>
      </c>
      <c r="B170" s="26">
        <f>SUMIF(Junio!$C$4:$C$103,A170,Junio!$M$4:$M$103)</f>
        <v>0</v>
      </c>
      <c r="C170" s="26">
        <f t="shared" si="16"/>
        <v>350392</v>
      </c>
      <c r="D170" s="26">
        <f t="shared" si="17"/>
        <v>-350392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25" t="s">
        <v>52</v>
      </c>
      <c r="B171" s="26">
        <f>SUMIF(Junio!$C$4:$C$103,A171,Junio!$M$4:$M$103)</f>
        <v>0</v>
      </c>
      <c r="C171" s="26">
        <f t="shared" si="16"/>
        <v>350392</v>
      </c>
      <c r="D171" s="26">
        <f t="shared" si="17"/>
        <v>-350392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25" t="s">
        <v>53</v>
      </c>
      <c r="B172" s="26">
        <f>SUMIF(Junio!$C$4:$C$103,A172,Junio!$M$4:$M$103)</f>
        <v>0</v>
      </c>
      <c r="C172" s="26">
        <f t="shared" si="16"/>
        <v>350392</v>
      </c>
      <c r="D172" s="26">
        <f t="shared" si="17"/>
        <v>-350392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1" t="s">
        <v>75</v>
      </c>
      <c r="B174" s="22"/>
      <c r="C174" s="22"/>
      <c r="D174" s="22"/>
      <c r="E174" s="22"/>
      <c r="F174" s="2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24" t="s">
        <v>55</v>
      </c>
      <c r="B175" s="24" t="s">
        <v>56</v>
      </c>
      <c r="C175" s="24" t="s">
        <v>57</v>
      </c>
      <c r="D175" s="24" t="s">
        <v>58</v>
      </c>
      <c r="E175" s="24" t="s">
        <v>59</v>
      </c>
      <c r="F175" s="24" t="s">
        <v>60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25" t="str">
        <f>Marcas!$A$2</f>
        <v>Nube</v>
      </c>
      <c r="B176" s="26">
        <f>IF(A176="","",SUMIF(Junio!$O$4:$O$103,A176,Junio!$E$4:$E$103))</f>
        <v>0</v>
      </c>
      <c r="C176" s="26">
        <f>IF(A176="","",SUMIF(Junio!$O$4:$O$103,A176,Junio!$J$4:$J$103))</f>
        <v>0</v>
      </c>
      <c r="D176" s="29">
        <f>IF(A176="","",Marcas!$B$2)</f>
        <v>0.25</v>
      </c>
      <c r="E176" s="26">
        <f t="shared" ref="E176:E185" si="18">IF(A176="","",C176*D176)</f>
        <v>0</v>
      </c>
      <c r="F176" s="26">
        <f>IF(A176="","",SUMIF(Junio!$O$4:$O$103,A176,Junio!$G$4:$G$103))</f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25" t="str">
        <f>Marcas!$A$3</f>
        <v>Season Archive</v>
      </c>
      <c r="B177" s="26">
        <f>IF(A177="","",SUMIF(Junio!$O$4:$O$103,A177,Junio!$E$4:$E$103))</f>
        <v>0</v>
      </c>
      <c r="C177" s="26">
        <f>IF(A177="","",SUMIF(Junio!$O$4:$O$103,A177,Junio!$J$4:$J$103))</f>
        <v>0</v>
      </c>
      <c r="D177" s="29">
        <f>IF(A177="","",Marcas!$B$3)</f>
        <v>0.25</v>
      </c>
      <c r="E177" s="26">
        <f t="shared" si="18"/>
        <v>0</v>
      </c>
      <c r="F177" s="26">
        <f>IF(A177="","",SUMIF(Junio!$O$4:$O$103,A177,Junio!$G$4:$G$103))</f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25" t="str">
        <f>Marcas!$A$4</f>
        <v>Gelattos</v>
      </c>
      <c r="B178" s="26">
        <f>IF(A178="","",SUMIF(Junio!$O$4:$O$103,A178,Junio!$E$4:$E$103))</f>
        <v>0</v>
      </c>
      <c r="C178" s="26">
        <f>IF(A178="","",SUMIF(Junio!$O$4:$O$103,A178,Junio!$J$4:$J$103))</f>
        <v>0</v>
      </c>
      <c r="D178" s="29">
        <f>IF(A178="","",Marcas!$B$4)</f>
        <v>0.25</v>
      </c>
      <c r="E178" s="26">
        <f t="shared" si="18"/>
        <v>0</v>
      </c>
      <c r="F178" s="26">
        <f>IF(A178="","",SUMIF(Junio!$O$4:$O$103,A178,Junio!$G$4:$G$103))</f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25" t="str">
        <f>Marcas!$A$5</f>
        <v>Tienda</v>
      </c>
      <c r="B179" s="26">
        <f>IF(A179="","",SUMIF(Junio!$O$4:$O$103,A179,Junio!$E$4:$E$103))</f>
        <v>0</v>
      </c>
      <c r="C179" s="26">
        <f>IF(A179="","",SUMIF(Junio!$O$4:$O$103,A179,Junio!$J$4:$J$103))</f>
        <v>0</v>
      </c>
      <c r="D179" s="29">
        <f>IF(A179="","",Marcas!$B$5)</f>
        <v>0</v>
      </c>
      <c r="E179" s="26">
        <f t="shared" si="18"/>
        <v>0</v>
      </c>
      <c r="F179" s="26">
        <f>IF(A179="","",SUMIF(Junio!$O$4:$O$103,A179,Junio!$G$4:$G$103))</f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25" t="str">
        <f>Marcas!$A$6</f>
        <v>Pop disaster
</v>
      </c>
      <c r="B180" s="26">
        <f>IF(A180="","",SUMIF(Junio!$O$4:$O$103,A180,Junio!$E$4:$E$103))</f>
        <v>0</v>
      </c>
      <c r="C180" s="26">
        <f>IF(A180="","",SUMIF(Junio!$O$4:$O$103,A180,Junio!$J$4:$J$103))</f>
        <v>0</v>
      </c>
      <c r="D180" s="29">
        <f>IF(A180="","",Marcas!$B$6)</f>
        <v>0.25</v>
      </c>
      <c r="E180" s="26">
        <f t="shared" si="18"/>
        <v>0</v>
      </c>
      <c r="F180" s="26">
        <f>IF(A180="","",SUMIF(Junio!$O$4:$O$103,A180,Junio!$G$4:$G$103))</f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25" t="str">
        <f>Marcas!$A$7</f>
        <v>Pedritos</v>
      </c>
      <c r="B181" s="26">
        <f>IF(A181="","",SUMIF(Junio!$O$4:$O$103,A181,Junio!$E$4:$E$103))</f>
        <v>0</v>
      </c>
      <c r="C181" s="26">
        <f>IF(A181="","",SUMIF(Junio!$O$4:$O$103,A181,Junio!$J$4:$J$103))</f>
        <v>0</v>
      </c>
      <c r="D181" s="29">
        <f>IF(A181="","",Marcas!$B$7)</f>
        <v>0.25</v>
      </c>
      <c r="E181" s="26">
        <f t="shared" si="18"/>
        <v>0</v>
      </c>
      <c r="F181" s="26">
        <f>IF(A181="","",SUMIF(Junio!$O$4:$O$103,A181,Junio!$G$4:$G$103))</f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25" t="str">
        <f>Marcas!$A$8</f>
        <v/>
      </c>
      <c r="B182" s="26" t="str">
        <f>IF(A182="","",SUMIF(Junio!$O$4:$O$103,A182,Junio!$E$4:$E$103))</f>
        <v/>
      </c>
      <c r="C182" s="26" t="str">
        <f>IF(A182="","",SUMIF(Junio!$O$4:$O$103,A182,Junio!$J$4:$J$103))</f>
        <v/>
      </c>
      <c r="D182" s="29" t="str">
        <f>IF(A182="","",Marcas!$B$8)</f>
        <v/>
      </c>
      <c r="E182" s="26" t="str">
        <f t="shared" si="18"/>
        <v/>
      </c>
      <c r="F182" s="26" t="str">
        <f>IF(A182="","",SUMIF(Junio!$O$4:$O$103,A182,Junio!$G$4:$G$103))</f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25" t="str">
        <f>Marcas!$A$9</f>
        <v/>
      </c>
      <c r="B183" s="26" t="str">
        <f>IF(A183="","",SUMIF(Junio!$O$4:$O$103,A183,Junio!$E$4:$E$103))</f>
        <v/>
      </c>
      <c r="C183" s="26" t="str">
        <f>IF(A183="","",SUMIF(Junio!$O$4:$O$103,A183,Junio!$J$4:$J$103))</f>
        <v/>
      </c>
      <c r="D183" s="29" t="str">
        <f>IF(A183="","",Marcas!$B$9)</f>
        <v/>
      </c>
      <c r="E183" s="26" t="str">
        <f t="shared" si="18"/>
        <v/>
      </c>
      <c r="F183" s="26" t="str">
        <f>IF(A183="","",SUMIF(Junio!$O$4:$O$103,A183,Junio!$G$4:$G$103))</f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25" t="str">
        <f>Marcas!$A$10</f>
        <v/>
      </c>
      <c r="B184" s="26" t="str">
        <f>IF(A184="","",SUMIF(Junio!$O$4:$O$103,A184,Junio!$E$4:$E$103))</f>
        <v/>
      </c>
      <c r="C184" s="26" t="str">
        <f>IF(A184="","",SUMIF(Junio!$O$4:$O$103,A184,Junio!$J$4:$J$103))</f>
        <v/>
      </c>
      <c r="D184" s="29" t="str">
        <f>IF(A184="","",Marcas!$B$10)</f>
        <v/>
      </c>
      <c r="E184" s="26" t="str">
        <f t="shared" si="18"/>
        <v/>
      </c>
      <c r="F184" s="26" t="str">
        <f>IF(A184="","",SUMIF(Junio!$O$4:$O$103,A184,Junio!$G$4:$G$103))</f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25" t="str">
        <f>Marcas!$A$11</f>
        <v/>
      </c>
      <c r="B185" s="26" t="str">
        <f>IF(A185="","",SUMIF(Junio!$O$4:$O$103,A185,Junio!$E$4:$E$103))</f>
        <v/>
      </c>
      <c r="C185" s="26" t="str">
        <f>IF(A185="","",SUMIF(Junio!$O$4:$O$103,A185,Junio!$J$4:$J$103))</f>
        <v/>
      </c>
      <c r="D185" s="29" t="str">
        <f>IF(A185="","",Marcas!$B$11)</f>
        <v/>
      </c>
      <c r="E185" s="26" t="str">
        <f t="shared" si="18"/>
        <v/>
      </c>
      <c r="F185" s="26" t="str">
        <f>IF(A185="","",SUMIF(Junio!$O$4:$O$103,A185,Junio!$G$4:$G$103))</f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1" t="s">
        <v>76</v>
      </c>
      <c r="B189" s="22"/>
      <c r="C189" s="22"/>
      <c r="D189" s="22"/>
      <c r="E189" s="22"/>
      <c r="F189" s="2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24" t="s">
        <v>36</v>
      </c>
      <c r="B190" s="24" t="s">
        <v>37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25" t="s">
        <v>38</v>
      </c>
      <c r="B191" s="26">
        <f>SUM(Julio!$M$4:Julio!$M$103)</f>
        <v>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25" t="s">
        <v>39</v>
      </c>
      <c r="B192" s="26">
        <f>SUMIF(Julio!$C$4:$C$103,"Tienda",Julio!$M$4:$M$103)</f>
        <v>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25" t="s">
        <v>40</v>
      </c>
      <c r="B193" s="26">
        <f>SUMIF(Julio!$C$4:$C$103,"Consignacion",Julio!$M$4:$M$103)</f>
        <v>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25" t="s">
        <v>41</v>
      </c>
      <c r="B194" s="26">
        <f>Julio!$B$130</f>
        <v>1751960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25" t="s">
        <v>42</v>
      </c>
      <c r="B195" s="26">
        <f>Julio!$B$131</f>
        <v>350392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1" t="s">
        <v>77</v>
      </c>
      <c r="B197" s="22"/>
      <c r="C197" s="22"/>
      <c r="D197" s="22"/>
      <c r="E197" s="22"/>
      <c r="F197" s="2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24" t="s">
        <v>44</v>
      </c>
      <c r="B198" s="24" t="s">
        <v>45</v>
      </c>
      <c r="C198" s="24" t="s">
        <v>46</v>
      </c>
      <c r="D198" s="24" t="s">
        <v>47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25" t="s">
        <v>49</v>
      </c>
      <c r="B199" s="26">
        <f>SUMIF(Julio!$C$4:$C$103,A199,Julio!$M$4:$M$103)</f>
        <v>0</v>
      </c>
      <c r="C199" s="26">
        <f t="shared" ref="C199:C203" si="19">$B$195</f>
        <v>350392</v>
      </c>
      <c r="D199" s="26">
        <f t="shared" ref="D199:D203" si="20">B199-C199</f>
        <v>-350392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25" t="s">
        <v>50</v>
      </c>
      <c r="B200" s="26">
        <f>SUMIF(Julio!$C$4:$C$103,A200,Julio!$M$4:$M$103)</f>
        <v>0</v>
      </c>
      <c r="C200" s="26">
        <f t="shared" si="19"/>
        <v>350392</v>
      </c>
      <c r="D200" s="26">
        <f t="shared" si="20"/>
        <v>-350392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25" t="s">
        <v>51</v>
      </c>
      <c r="B201" s="26">
        <f>SUMIF(Julio!$C$4:$C$103,A201,Julio!$M$4:$M$103)</f>
        <v>0</v>
      </c>
      <c r="C201" s="26">
        <f t="shared" si="19"/>
        <v>350392</v>
      </c>
      <c r="D201" s="26">
        <f t="shared" si="20"/>
        <v>-350392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25" t="s">
        <v>52</v>
      </c>
      <c r="B202" s="26">
        <f>SUMIF(Julio!$C$4:$C$103,A202,Julio!$M$4:$M$103)</f>
        <v>0</v>
      </c>
      <c r="C202" s="26">
        <f t="shared" si="19"/>
        <v>350392</v>
      </c>
      <c r="D202" s="26">
        <f t="shared" si="20"/>
        <v>-350392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25" t="s">
        <v>53</v>
      </c>
      <c r="B203" s="26">
        <f>SUMIF(Julio!$C$4:$C$103,A203,Julio!$M$4:$M$103)</f>
        <v>0</v>
      </c>
      <c r="C203" s="26">
        <f t="shared" si="19"/>
        <v>350392</v>
      </c>
      <c r="D203" s="26">
        <f t="shared" si="20"/>
        <v>-350392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1" t="s">
        <v>78</v>
      </c>
      <c r="B205" s="22"/>
      <c r="C205" s="22"/>
      <c r="D205" s="22"/>
      <c r="E205" s="22"/>
      <c r="F205" s="2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24" t="s">
        <v>55</v>
      </c>
      <c r="B206" s="24" t="s">
        <v>56</v>
      </c>
      <c r="C206" s="24" t="s">
        <v>57</v>
      </c>
      <c r="D206" s="24" t="s">
        <v>58</v>
      </c>
      <c r="E206" s="24" t="s">
        <v>59</v>
      </c>
      <c r="F206" s="24" t="s">
        <v>60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25" t="str">
        <f>Marcas!$A$2</f>
        <v>Nube</v>
      </c>
      <c r="B207" s="26">
        <f>IF(A207="","",SUMIF(Julio!$O$4:$O$103,A207,Julio!$E$4:$E$103))</f>
        <v>0</v>
      </c>
      <c r="C207" s="26">
        <f>IF(A207="","",SUMIF(Julio!$O$4:$O$103,A207,Julio!$J$4:$J$103))</f>
        <v>0</v>
      </c>
      <c r="D207" s="29">
        <f>IF(A207="","",Marcas!$B$2)</f>
        <v>0.25</v>
      </c>
      <c r="E207" s="26">
        <f t="shared" ref="E207:E216" si="21">IF(A207="","",C207*D207)</f>
        <v>0</v>
      </c>
      <c r="F207" s="26">
        <f>IF(A207="","",SUMIF(Julio!$O$4:$O$103,A207,Julio!$G$4:$G$103))</f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25" t="str">
        <f>Marcas!$A$3</f>
        <v>Season Archive</v>
      </c>
      <c r="B208" s="26">
        <f>IF(A208="","",SUMIF(Julio!$O$4:$O$103,A208,Julio!$E$4:$E$103))</f>
        <v>0</v>
      </c>
      <c r="C208" s="26">
        <f>IF(A208="","",SUMIF(Julio!$O$4:$O$103,A208,Julio!$J$4:$J$103))</f>
        <v>0</v>
      </c>
      <c r="D208" s="29">
        <f>IF(A208="","",Marcas!$B$3)</f>
        <v>0.25</v>
      </c>
      <c r="E208" s="26">
        <f t="shared" si="21"/>
        <v>0</v>
      </c>
      <c r="F208" s="26">
        <f>IF(A208="","",SUMIF(Julio!$O$4:$O$103,A208,Julio!$G$4:$G$103))</f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25" t="str">
        <f>Marcas!$A$4</f>
        <v>Gelattos</v>
      </c>
      <c r="B209" s="26">
        <f>IF(A209="","",SUMIF(Julio!$O$4:$O$103,A209,Julio!$E$4:$E$103))</f>
        <v>0</v>
      </c>
      <c r="C209" s="26">
        <f>IF(A209="","",SUMIF(Julio!$O$4:$O$103,A209,Julio!$J$4:$J$103))</f>
        <v>0</v>
      </c>
      <c r="D209" s="29">
        <f>IF(A209="","",Marcas!$B$4)</f>
        <v>0.25</v>
      </c>
      <c r="E209" s="26">
        <f t="shared" si="21"/>
        <v>0</v>
      </c>
      <c r="F209" s="26">
        <f>IF(A209="","",SUMIF(Julio!$O$4:$O$103,A209,Julio!$G$4:$G$103))</f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25" t="str">
        <f>Marcas!$A$5</f>
        <v>Tienda</v>
      </c>
      <c r="B210" s="26">
        <f>IF(A210="","",SUMIF(Julio!$O$4:$O$103,A210,Julio!$E$4:$E$103))</f>
        <v>0</v>
      </c>
      <c r="C210" s="26">
        <f>IF(A210="","",SUMIF(Julio!$O$4:$O$103,A210,Julio!$J$4:$J$103))</f>
        <v>0</v>
      </c>
      <c r="D210" s="29">
        <f>IF(A210="","",Marcas!$B$5)</f>
        <v>0</v>
      </c>
      <c r="E210" s="26">
        <f t="shared" si="21"/>
        <v>0</v>
      </c>
      <c r="F210" s="26">
        <f>IF(A210="","",SUMIF(Julio!$O$4:$O$103,A210,Julio!$G$4:$G$103))</f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25" t="str">
        <f>Marcas!$A$6</f>
        <v>Pop disaster
</v>
      </c>
      <c r="B211" s="26">
        <f>IF(A211="","",SUMIF(Julio!$O$4:$O$103,A211,Julio!$E$4:$E$103))</f>
        <v>0</v>
      </c>
      <c r="C211" s="26">
        <f>IF(A211="","",SUMIF(Julio!$O$4:$O$103,A211,Julio!$J$4:$J$103))</f>
        <v>0</v>
      </c>
      <c r="D211" s="29">
        <f>IF(A211="","",Marcas!$B$6)</f>
        <v>0.25</v>
      </c>
      <c r="E211" s="26">
        <f t="shared" si="21"/>
        <v>0</v>
      </c>
      <c r="F211" s="26">
        <f>IF(A211="","",SUMIF(Julio!$O$4:$O$103,A211,Julio!$G$4:$G$103))</f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25" t="str">
        <f>Marcas!$A$7</f>
        <v>Pedritos</v>
      </c>
      <c r="B212" s="26">
        <f>IF(A212="","",SUMIF(Julio!$O$4:$O$103,A212,Julio!$E$4:$E$103))</f>
        <v>0</v>
      </c>
      <c r="C212" s="26">
        <f>IF(A212="","",SUMIF(Julio!$O$4:$O$103,A212,Julio!$J$4:$J$103))</f>
        <v>0</v>
      </c>
      <c r="D212" s="29">
        <f>IF(A212="","",Marcas!$B$7)</f>
        <v>0.25</v>
      </c>
      <c r="E212" s="26">
        <f t="shared" si="21"/>
        <v>0</v>
      </c>
      <c r="F212" s="26">
        <f>IF(A212="","",SUMIF(Julio!$O$4:$O$103,A212,Julio!$G$4:$G$103))</f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25" t="str">
        <f>Marcas!$A$8</f>
        <v/>
      </c>
      <c r="B213" s="26" t="str">
        <f>IF(A213="","",SUMIF(Julio!$O$4:$O$103,A213,Julio!$E$4:$E$103))</f>
        <v/>
      </c>
      <c r="C213" s="26" t="str">
        <f>IF(A213="","",SUMIF(Julio!$O$4:$O$103,A213,Julio!$J$4:$J$103))</f>
        <v/>
      </c>
      <c r="D213" s="29" t="str">
        <f>IF(A213="","",Marcas!$B$8)</f>
        <v/>
      </c>
      <c r="E213" s="26" t="str">
        <f t="shared" si="21"/>
        <v/>
      </c>
      <c r="F213" s="26" t="str">
        <f>IF(A213="","",SUMIF(Julio!$O$4:$O$103,A213,Julio!$G$4:$G$103))</f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25" t="str">
        <f>Marcas!$A$9</f>
        <v/>
      </c>
      <c r="B214" s="26" t="str">
        <f>IF(A214="","",SUMIF(Julio!$O$4:$O$103,A214,Julio!$E$4:$E$103))</f>
        <v/>
      </c>
      <c r="C214" s="26" t="str">
        <f>IF(A214="","",SUMIF(Julio!$O$4:$O$103,A214,Julio!$J$4:$J$103))</f>
        <v/>
      </c>
      <c r="D214" s="29" t="str">
        <f>IF(A214="","",Marcas!$B$9)</f>
        <v/>
      </c>
      <c r="E214" s="26" t="str">
        <f t="shared" si="21"/>
        <v/>
      </c>
      <c r="F214" s="26" t="str">
        <f>IF(A214="","",SUMIF(Julio!$O$4:$O$103,A214,Julio!$G$4:$G$103))</f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25" t="str">
        <f>Marcas!$A$10</f>
        <v/>
      </c>
      <c r="B215" s="26" t="str">
        <f>IF(A215="","",SUMIF(Julio!$O$4:$O$103,A215,Julio!$E$4:$E$103))</f>
        <v/>
      </c>
      <c r="C215" s="26" t="str">
        <f>IF(A215="","",SUMIF(Julio!$O$4:$O$103,A215,Julio!$J$4:$J$103))</f>
        <v/>
      </c>
      <c r="D215" s="29" t="str">
        <f>IF(A215="","",Marcas!$B$10)</f>
        <v/>
      </c>
      <c r="E215" s="26" t="str">
        <f t="shared" si="21"/>
        <v/>
      </c>
      <c r="F215" s="26" t="str">
        <f>IF(A215="","",SUMIF(Julio!$O$4:$O$103,A215,Julio!$G$4:$G$103))</f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25" t="str">
        <f>Marcas!$A$11</f>
        <v/>
      </c>
      <c r="B216" s="26" t="str">
        <f>IF(A216="","",SUMIF(Julio!$O$4:$O$103,A216,Julio!$E$4:$E$103))</f>
        <v/>
      </c>
      <c r="C216" s="26" t="str">
        <f>IF(A216="","",SUMIF(Julio!$O$4:$O$103,A216,Julio!$J$4:$J$103))</f>
        <v/>
      </c>
      <c r="D216" s="29" t="str">
        <f>IF(A216="","",Marcas!$B$11)</f>
        <v/>
      </c>
      <c r="E216" s="26" t="str">
        <f t="shared" si="21"/>
        <v/>
      </c>
      <c r="F216" s="26" t="str">
        <f>IF(A216="","",SUMIF(Julio!$O$4:$O$103,A216,Julio!$G$4:$G$103))</f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1" t="s">
        <v>79</v>
      </c>
      <c r="B220" s="22"/>
      <c r="C220" s="22"/>
      <c r="D220" s="22"/>
      <c r="E220" s="22"/>
      <c r="F220" s="2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5.5" customHeight="1">
      <c r="A221" s="24" t="s">
        <v>36</v>
      </c>
      <c r="B221" s="24" t="s">
        <v>37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25" t="s">
        <v>38</v>
      </c>
      <c r="B222" s="26">
        <f>SUM(Agosto!$M$4:Agosto!$M$103)</f>
        <v>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25" t="s">
        <v>39</v>
      </c>
      <c r="B223" s="26">
        <f>SUMIF(Agosto!$C$4:$C$103,"Tienda",Agosto!$M$4:$M$103)</f>
        <v>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25" t="s">
        <v>40</v>
      </c>
      <c r="B224" s="26">
        <f>SUMIF(Agosto!$C$4:$C$103,"Consignacion",Agosto!$M$4:$M$103)</f>
        <v>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25" t="s">
        <v>41</v>
      </c>
      <c r="B225" s="26">
        <f>Agosto!$B$130</f>
        <v>1751960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25" t="s">
        <v>42</v>
      </c>
      <c r="B226" s="26">
        <f>Agosto!$B$131</f>
        <v>350392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21" t="s">
        <v>80</v>
      </c>
      <c r="B228" s="22"/>
      <c r="C228" s="22"/>
      <c r="D228" s="22"/>
      <c r="E228" s="22"/>
      <c r="F228" s="2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5.5" customHeight="1">
      <c r="A229" s="24" t="s">
        <v>44</v>
      </c>
      <c r="B229" s="24" t="s">
        <v>45</v>
      </c>
      <c r="C229" s="24" t="s">
        <v>46</v>
      </c>
      <c r="D229" s="24" t="s">
        <v>47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25" t="s">
        <v>49</v>
      </c>
      <c r="B230" s="26">
        <f>SUMIF(Agosto!$C$4:$C$103,A230,Agosto!$M$4:$M$103)</f>
        <v>0</v>
      </c>
      <c r="C230" s="26">
        <f t="shared" ref="C230:C234" si="22">$B$226</f>
        <v>350392</v>
      </c>
      <c r="D230" s="26">
        <f t="shared" ref="D230:D234" si="23">B230-C230</f>
        <v>-350392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25" t="s">
        <v>50</v>
      </c>
      <c r="B231" s="26">
        <f>SUMIF(Agosto!$C$4:$C$103,A231,Agosto!$M$4:$M$103)</f>
        <v>0</v>
      </c>
      <c r="C231" s="26">
        <f t="shared" si="22"/>
        <v>350392</v>
      </c>
      <c r="D231" s="26">
        <f t="shared" si="23"/>
        <v>-350392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25" t="s">
        <v>51</v>
      </c>
      <c r="B232" s="26">
        <f>SUMIF(Agosto!$C$4:$C$103,A232,Agosto!$M$4:$M$103)</f>
        <v>0</v>
      </c>
      <c r="C232" s="26">
        <f t="shared" si="22"/>
        <v>350392</v>
      </c>
      <c r="D232" s="26">
        <f t="shared" si="23"/>
        <v>-350392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25" t="s">
        <v>52</v>
      </c>
      <c r="B233" s="26">
        <f>SUMIF(Agosto!$C$4:$C$103,A233,Agosto!$M$4:$M$103)</f>
        <v>0</v>
      </c>
      <c r="C233" s="26">
        <f t="shared" si="22"/>
        <v>350392</v>
      </c>
      <c r="D233" s="26">
        <f t="shared" si="23"/>
        <v>-350392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25" t="s">
        <v>53</v>
      </c>
      <c r="B234" s="26">
        <f>SUMIF(Agosto!$C$4:$C$103,A234,Agosto!$M$4:$M$103)</f>
        <v>0</v>
      </c>
      <c r="C234" s="26">
        <f t="shared" si="22"/>
        <v>350392</v>
      </c>
      <c r="D234" s="26">
        <f t="shared" si="23"/>
        <v>-350392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21" t="s">
        <v>81</v>
      </c>
      <c r="B236" s="22"/>
      <c r="C236" s="22"/>
      <c r="D236" s="22"/>
      <c r="E236" s="22"/>
      <c r="F236" s="2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5.5" customHeight="1">
      <c r="A237" s="24" t="s">
        <v>55</v>
      </c>
      <c r="B237" s="24" t="s">
        <v>56</v>
      </c>
      <c r="C237" s="24" t="s">
        <v>57</v>
      </c>
      <c r="D237" s="24" t="s">
        <v>58</v>
      </c>
      <c r="E237" s="24" t="s">
        <v>59</v>
      </c>
      <c r="F237" s="24" t="s">
        <v>60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25" t="str">
        <f>Marcas!$A$2</f>
        <v>Nube</v>
      </c>
      <c r="B238" s="26">
        <f>IF(A238="","",SUMIF(Agosto!$O$4:$O$103,A238,Agosto!$E$4:$E$103))</f>
        <v>0</v>
      </c>
      <c r="C238" s="26">
        <f>IF(A238="","",SUMIF(Agosto!$O$4:$O$103,A238,Agosto!$J$4:$J$103))</f>
        <v>0</v>
      </c>
      <c r="D238" s="29">
        <f>IF(A238="","",Marcas!$B$2)</f>
        <v>0.25</v>
      </c>
      <c r="E238" s="26">
        <f t="shared" ref="E238:E247" si="24">IF(A238="","",C238*D238)</f>
        <v>0</v>
      </c>
      <c r="F238" s="26">
        <f>IF(A238="","",SUMIF(Agosto!$O$4:$O$103,A238,Agosto!$G$4:$G$103))</f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25" t="str">
        <f>Marcas!$A$3</f>
        <v>Season Archive</v>
      </c>
      <c r="B239" s="26">
        <f>IF(A239="","",SUMIF(Agosto!$O$4:$O$103,A239,Agosto!$E$4:$E$103))</f>
        <v>0</v>
      </c>
      <c r="C239" s="26">
        <f>IF(A239="","",SUMIF(Agosto!$O$4:$O$103,A239,Agosto!$J$4:$J$103))</f>
        <v>0</v>
      </c>
      <c r="D239" s="29">
        <f>IF(A239="","",Marcas!$B$3)</f>
        <v>0.25</v>
      </c>
      <c r="E239" s="26">
        <f t="shared" si="24"/>
        <v>0</v>
      </c>
      <c r="F239" s="26">
        <f>IF(A239="","",SUMIF(Agosto!$O$4:$O$103,A239,Agosto!$G$4:$G$103))</f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25" t="str">
        <f>Marcas!$A$4</f>
        <v>Gelattos</v>
      </c>
      <c r="B240" s="26">
        <f>IF(A240="","",SUMIF(Agosto!$O$4:$O$103,A240,Agosto!$E$4:$E$103))</f>
        <v>0</v>
      </c>
      <c r="C240" s="26">
        <f>IF(A240="","",SUMIF(Agosto!$O$4:$O$103,A240,Agosto!$J$4:$J$103))</f>
        <v>0</v>
      </c>
      <c r="D240" s="29">
        <f>IF(A240="","",Marcas!$B$4)</f>
        <v>0.25</v>
      </c>
      <c r="E240" s="26">
        <f t="shared" si="24"/>
        <v>0</v>
      </c>
      <c r="F240" s="26">
        <f>IF(A240="","",SUMIF(Agosto!$O$4:$O$103,A240,Agosto!$G$4:$G$103))</f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25" t="str">
        <f>Marcas!$A$5</f>
        <v>Tienda</v>
      </c>
      <c r="B241" s="26">
        <f>IF(A241="","",SUMIF(Agosto!$O$4:$O$103,A241,Agosto!$E$4:$E$103))</f>
        <v>0</v>
      </c>
      <c r="C241" s="26">
        <f>IF(A241="","",SUMIF(Agosto!$O$4:$O$103,A241,Agosto!$J$4:$J$103))</f>
        <v>0</v>
      </c>
      <c r="D241" s="29">
        <f>IF(A241="","",Marcas!$B$5)</f>
        <v>0</v>
      </c>
      <c r="E241" s="26">
        <f t="shared" si="24"/>
        <v>0</v>
      </c>
      <c r="F241" s="26">
        <f>IF(A241="","",SUMIF(Agosto!$O$4:$O$103,A241,Agosto!$G$4:$G$103))</f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25" t="str">
        <f>Marcas!$A$6</f>
        <v>Pop disaster
</v>
      </c>
      <c r="B242" s="26">
        <f>IF(A242="","",SUMIF(Agosto!$O$4:$O$103,A242,Agosto!$E$4:$E$103))</f>
        <v>0</v>
      </c>
      <c r="C242" s="26">
        <f>IF(A242="","",SUMIF(Agosto!$O$4:$O$103,A242,Agosto!$J$4:$J$103))</f>
        <v>0</v>
      </c>
      <c r="D242" s="29">
        <f>IF(A242="","",Marcas!$B$6)</f>
        <v>0.25</v>
      </c>
      <c r="E242" s="26">
        <f t="shared" si="24"/>
        <v>0</v>
      </c>
      <c r="F242" s="26">
        <f>IF(A242="","",SUMIF(Agosto!$O$4:$O$103,A242,Agosto!$G$4:$G$103))</f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25" t="str">
        <f>Marcas!$A$7</f>
        <v>Pedritos</v>
      </c>
      <c r="B243" s="26">
        <f>IF(A243="","",SUMIF(Agosto!$O$4:$O$103,A243,Agosto!$E$4:$E$103))</f>
        <v>0</v>
      </c>
      <c r="C243" s="26">
        <f>IF(A243="","",SUMIF(Agosto!$O$4:$O$103,A243,Agosto!$J$4:$J$103))</f>
        <v>0</v>
      </c>
      <c r="D243" s="29">
        <f>IF(A243="","",Marcas!$B$7)</f>
        <v>0.25</v>
      </c>
      <c r="E243" s="26">
        <f t="shared" si="24"/>
        <v>0</v>
      </c>
      <c r="F243" s="26">
        <f>IF(A243="","",SUMIF(Agosto!$O$4:$O$103,A243,Agosto!$G$4:$G$103))</f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25" t="str">
        <f>Marcas!$A$8</f>
        <v/>
      </c>
      <c r="B244" s="26" t="str">
        <f>IF(A244="","",SUMIF(Agosto!$O$4:$O$103,A244,Agosto!$E$4:$E$103))</f>
        <v/>
      </c>
      <c r="C244" s="26" t="str">
        <f>IF(A244="","",SUMIF(Agosto!$O$4:$O$103,A244,Agosto!$J$4:$J$103))</f>
        <v/>
      </c>
      <c r="D244" s="29" t="str">
        <f>IF(A244="","",Marcas!$B$8)</f>
        <v/>
      </c>
      <c r="E244" s="26" t="str">
        <f t="shared" si="24"/>
        <v/>
      </c>
      <c r="F244" s="26" t="str">
        <f>IF(A244="","",SUMIF(Agosto!$O$4:$O$103,A244,Agosto!$G$4:$G$103))</f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25" t="str">
        <f>Marcas!$A$9</f>
        <v/>
      </c>
      <c r="B245" s="26" t="str">
        <f>IF(A245="","",SUMIF(Agosto!$O$4:$O$103,A245,Agosto!$E$4:$E$103))</f>
        <v/>
      </c>
      <c r="C245" s="26" t="str">
        <f>IF(A245="","",SUMIF(Agosto!$O$4:$O$103,A245,Agosto!$J$4:$J$103))</f>
        <v/>
      </c>
      <c r="D245" s="29" t="str">
        <f>IF(A245="","",Marcas!$B$9)</f>
        <v/>
      </c>
      <c r="E245" s="26" t="str">
        <f t="shared" si="24"/>
        <v/>
      </c>
      <c r="F245" s="26" t="str">
        <f>IF(A245="","",SUMIF(Agosto!$O$4:$O$103,A245,Agosto!$G$4:$G$103))</f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25" t="str">
        <f>Marcas!$A$10</f>
        <v/>
      </c>
      <c r="B246" s="26" t="str">
        <f>IF(A246="","",SUMIF(Agosto!$O$4:$O$103,A246,Agosto!$E$4:$E$103))</f>
        <v/>
      </c>
      <c r="C246" s="26" t="str">
        <f>IF(A246="","",SUMIF(Agosto!$O$4:$O$103,A246,Agosto!$J$4:$J$103))</f>
        <v/>
      </c>
      <c r="D246" s="29" t="str">
        <f>IF(A246="","",Marcas!$B$10)</f>
        <v/>
      </c>
      <c r="E246" s="26" t="str">
        <f t="shared" si="24"/>
        <v/>
      </c>
      <c r="F246" s="26" t="str">
        <f>IF(A246="","",SUMIF(Agosto!$O$4:$O$103,A246,Agosto!$G$4:$G$103))</f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25" t="str">
        <f>Marcas!$A$11</f>
        <v/>
      </c>
      <c r="B247" s="26" t="str">
        <f>IF(A247="","",SUMIF(Agosto!$O$4:$O$103,A247,Agosto!$E$4:$E$103))</f>
        <v/>
      </c>
      <c r="C247" s="26" t="str">
        <f>IF(A247="","",SUMIF(Agosto!$O$4:$O$103,A247,Agosto!$J$4:$J$103))</f>
        <v/>
      </c>
      <c r="D247" s="29" t="str">
        <f>IF(A247="","",Marcas!$B$11)</f>
        <v/>
      </c>
      <c r="E247" s="26" t="str">
        <f t="shared" si="24"/>
        <v/>
      </c>
      <c r="F247" s="26" t="str">
        <f>IF(A247="","",SUMIF(Agosto!$O$4:$O$103,A247,Agosto!$G$4:$G$103))</f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21" t="s">
        <v>82</v>
      </c>
      <c r="B251" s="22"/>
      <c r="C251" s="22"/>
      <c r="D251" s="22"/>
      <c r="E251" s="22"/>
      <c r="F251" s="2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5.5" customHeight="1">
      <c r="A252" s="24" t="s">
        <v>36</v>
      </c>
      <c r="B252" s="24" t="s">
        <v>37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25" t="s">
        <v>38</v>
      </c>
      <c r="B253" s="26">
        <f>SUM(Septiembre!$M$4:Septiembre!$M$103)</f>
        <v>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25" t="s">
        <v>39</v>
      </c>
      <c r="B254" s="26">
        <f>SUMIF(Septiembre!$C$4:$C$103,"Tienda",Septiembre!$M$4:$M$103)</f>
        <v>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25" t="s">
        <v>40</v>
      </c>
      <c r="B255" s="26">
        <f>SUMIF(Septiembre!$C$4:$C$103,"Consignacion",Septiembre!$M$4:$M$103)</f>
        <v>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25" t="s">
        <v>41</v>
      </c>
      <c r="B256" s="26">
        <f>Septiembre!$B$130</f>
        <v>1751960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25" t="s">
        <v>42</v>
      </c>
      <c r="B257" s="26">
        <f>Septiembre!$B$131</f>
        <v>350392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21" t="s">
        <v>83</v>
      </c>
      <c r="B259" s="22"/>
      <c r="C259" s="22"/>
      <c r="D259" s="22"/>
      <c r="E259" s="22"/>
      <c r="F259" s="2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5.5" customHeight="1">
      <c r="A260" s="24" t="s">
        <v>44</v>
      </c>
      <c r="B260" s="24" t="s">
        <v>45</v>
      </c>
      <c r="C260" s="24" t="s">
        <v>46</v>
      </c>
      <c r="D260" s="24" t="s">
        <v>47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25" t="s">
        <v>49</v>
      </c>
      <c r="B261" s="26">
        <f>SUMIF(Septiembre!$C$4:$C$103,A261,Septiembre!$M$4:$M$103)</f>
        <v>0</v>
      </c>
      <c r="C261" s="26">
        <f t="shared" ref="C261:C265" si="25">$B$257</f>
        <v>350392</v>
      </c>
      <c r="D261" s="26">
        <f t="shared" ref="D261:D265" si="26">B261-C261</f>
        <v>-350392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25" t="s">
        <v>50</v>
      </c>
      <c r="B262" s="26">
        <f>SUMIF(Septiembre!$C$4:$C$103,A262,Septiembre!$M$4:$M$103)</f>
        <v>0</v>
      </c>
      <c r="C262" s="26">
        <f t="shared" si="25"/>
        <v>350392</v>
      </c>
      <c r="D262" s="26">
        <f t="shared" si="26"/>
        <v>-350392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25" t="s">
        <v>51</v>
      </c>
      <c r="B263" s="26">
        <f>SUMIF(Septiembre!$C$4:$C$103,A263,Septiembre!$M$4:$M$103)</f>
        <v>0</v>
      </c>
      <c r="C263" s="26">
        <f t="shared" si="25"/>
        <v>350392</v>
      </c>
      <c r="D263" s="26">
        <f t="shared" si="26"/>
        <v>-350392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25" t="s">
        <v>52</v>
      </c>
      <c r="B264" s="26">
        <f>SUMIF(Septiembre!$C$4:$C$103,A264,Septiembre!$M$4:$M$103)</f>
        <v>0</v>
      </c>
      <c r="C264" s="26">
        <f t="shared" si="25"/>
        <v>350392</v>
      </c>
      <c r="D264" s="26">
        <f t="shared" si="26"/>
        <v>-350392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25" t="s">
        <v>53</v>
      </c>
      <c r="B265" s="26">
        <f>SUMIF(Septiembre!$C$4:$C$103,A265,Septiembre!$M$4:$M$103)</f>
        <v>0</v>
      </c>
      <c r="C265" s="26">
        <f t="shared" si="25"/>
        <v>350392</v>
      </c>
      <c r="D265" s="26">
        <f t="shared" si="26"/>
        <v>-350392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21" t="s">
        <v>84</v>
      </c>
      <c r="B267" s="22"/>
      <c r="C267" s="22"/>
      <c r="D267" s="22"/>
      <c r="E267" s="22"/>
      <c r="F267" s="2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5.5" customHeight="1">
      <c r="A268" s="24" t="s">
        <v>55</v>
      </c>
      <c r="B268" s="24" t="s">
        <v>56</v>
      </c>
      <c r="C268" s="24" t="s">
        <v>57</v>
      </c>
      <c r="D268" s="24" t="s">
        <v>58</v>
      </c>
      <c r="E268" s="24" t="s">
        <v>59</v>
      </c>
      <c r="F268" s="24" t="s">
        <v>60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25" t="str">
        <f>Marcas!$A$2</f>
        <v>Nube</v>
      </c>
      <c r="B269" s="26">
        <f>IF(A269="","",SUMIF(Septiembre!$O$4:$O$103,A269,Septiembre!$E$4:$E$103))</f>
        <v>0</v>
      </c>
      <c r="C269" s="26">
        <f>IF(A269="","",SUMIF(Septiembre!$O$4:$O$103,A269,Septiembre!$J$4:$J$103))</f>
        <v>0</v>
      </c>
      <c r="D269" s="29">
        <f>IF(A269="","",Marcas!$B$2)</f>
        <v>0.25</v>
      </c>
      <c r="E269" s="26">
        <f t="shared" ref="E269:E278" si="27">IF(A269="","",C269*D269)</f>
        <v>0</v>
      </c>
      <c r="F269" s="26">
        <f>IF(A269="","",SUMIF(Septiembre!$O$4:$O$103,A269,Septiembre!$G$4:$G$103))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25" t="str">
        <f>Marcas!$A$3</f>
        <v>Season Archive</v>
      </c>
      <c r="B270" s="26">
        <f>IF(A270="","",SUMIF(Septiembre!$O$4:$O$103,A270,Septiembre!$E$4:$E$103))</f>
        <v>0</v>
      </c>
      <c r="C270" s="26">
        <f>IF(A270="","",SUMIF(Septiembre!$O$4:$O$103,A270,Septiembre!$J$4:$J$103))</f>
        <v>0</v>
      </c>
      <c r="D270" s="29">
        <f>IF(A270="","",Marcas!$B$3)</f>
        <v>0.25</v>
      </c>
      <c r="E270" s="26">
        <f t="shared" si="27"/>
        <v>0</v>
      </c>
      <c r="F270" s="26">
        <f>IF(A270="","",SUMIF(Septiembre!$O$4:$O$103,A270,Septiembre!$G$4:$G$103))</f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25" t="str">
        <f>Marcas!$A$4</f>
        <v>Gelattos</v>
      </c>
      <c r="B271" s="26">
        <f>IF(A271="","",SUMIF(Septiembre!$O$4:$O$103,A271,Septiembre!$E$4:$E$103))</f>
        <v>0</v>
      </c>
      <c r="C271" s="26">
        <f>IF(A271="","",SUMIF(Septiembre!$O$4:$O$103,A271,Septiembre!$J$4:$J$103))</f>
        <v>0</v>
      </c>
      <c r="D271" s="29">
        <f>IF(A271="","",Marcas!$B$4)</f>
        <v>0.25</v>
      </c>
      <c r="E271" s="26">
        <f t="shared" si="27"/>
        <v>0</v>
      </c>
      <c r="F271" s="26">
        <f>IF(A271="","",SUMIF(Septiembre!$O$4:$O$103,A271,Septiembre!$G$4:$G$103))</f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25" t="str">
        <f>Marcas!$A$5</f>
        <v>Tienda</v>
      </c>
      <c r="B272" s="26">
        <f>IF(A272="","",SUMIF(Septiembre!$O$4:$O$103,A272,Septiembre!$E$4:$E$103))</f>
        <v>0</v>
      </c>
      <c r="C272" s="26">
        <f>IF(A272="","",SUMIF(Septiembre!$O$4:$O$103,A272,Septiembre!$J$4:$J$103))</f>
        <v>0</v>
      </c>
      <c r="D272" s="29">
        <f>IF(A272="","",Marcas!$B$5)</f>
        <v>0</v>
      </c>
      <c r="E272" s="26">
        <f t="shared" si="27"/>
        <v>0</v>
      </c>
      <c r="F272" s="26">
        <f>IF(A272="","",SUMIF(Septiembre!$O$4:$O$103,A272,Septiembre!$G$4:$G$103))</f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25" t="str">
        <f>Marcas!$A$6</f>
        <v>Pop disaster
</v>
      </c>
      <c r="B273" s="26">
        <f>IF(A273="","",SUMIF(Septiembre!$O$4:$O$103,A273,Septiembre!$E$4:$E$103))</f>
        <v>0</v>
      </c>
      <c r="C273" s="26">
        <f>IF(A273="","",SUMIF(Septiembre!$O$4:$O$103,A273,Septiembre!$J$4:$J$103))</f>
        <v>0</v>
      </c>
      <c r="D273" s="29">
        <f>IF(A273="","",Marcas!$B$6)</f>
        <v>0.25</v>
      </c>
      <c r="E273" s="26">
        <f t="shared" si="27"/>
        <v>0</v>
      </c>
      <c r="F273" s="26">
        <f>IF(A273="","",SUMIF(Septiembre!$O$4:$O$103,A273,Septiembre!$G$4:$G$103))</f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25" t="str">
        <f>Marcas!$A$7</f>
        <v>Pedritos</v>
      </c>
      <c r="B274" s="26">
        <f>IF(A274="","",SUMIF(Septiembre!$O$4:$O$103,A274,Septiembre!$E$4:$E$103))</f>
        <v>0</v>
      </c>
      <c r="C274" s="26">
        <f>IF(A274="","",SUMIF(Septiembre!$O$4:$O$103,A274,Septiembre!$J$4:$J$103))</f>
        <v>0</v>
      </c>
      <c r="D274" s="29">
        <f>IF(A274="","",Marcas!$B$7)</f>
        <v>0.25</v>
      </c>
      <c r="E274" s="26">
        <f t="shared" si="27"/>
        <v>0</v>
      </c>
      <c r="F274" s="26">
        <f>IF(A274="","",SUMIF(Septiembre!$O$4:$O$103,A274,Septiembre!$G$4:$G$103))</f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25" t="str">
        <f>Marcas!$A$8</f>
        <v/>
      </c>
      <c r="B275" s="26" t="str">
        <f>IF(A275="","",SUMIF(Septiembre!$O$4:$O$103,A275,Septiembre!$E$4:$E$103))</f>
        <v/>
      </c>
      <c r="C275" s="26" t="str">
        <f>IF(A275="","",SUMIF(Septiembre!$O$4:$O$103,A275,Septiembre!$J$4:$J$103))</f>
        <v/>
      </c>
      <c r="D275" s="29" t="str">
        <f>IF(A275="","",Marcas!$B$8)</f>
        <v/>
      </c>
      <c r="E275" s="26" t="str">
        <f t="shared" si="27"/>
        <v/>
      </c>
      <c r="F275" s="26" t="str">
        <f>IF(A275="","",SUMIF(Septiembre!$O$4:$O$103,A275,Septiembre!$G$4:$G$103))</f>
        <v/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25" t="str">
        <f>Marcas!$A$9</f>
        <v/>
      </c>
      <c r="B276" s="26" t="str">
        <f>IF(A276="","",SUMIF(Septiembre!$O$4:$O$103,A276,Septiembre!$E$4:$E$103))</f>
        <v/>
      </c>
      <c r="C276" s="26" t="str">
        <f>IF(A276="","",SUMIF(Septiembre!$O$4:$O$103,A276,Septiembre!$J$4:$J$103))</f>
        <v/>
      </c>
      <c r="D276" s="29" t="str">
        <f>IF(A276="","",Marcas!$B$9)</f>
        <v/>
      </c>
      <c r="E276" s="26" t="str">
        <f t="shared" si="27"/>
        <v/>
      </c>
      <c r="F276" s="26" t="str">
        <f>IF(A276="","",SUMIF(Septiembre!$O$4:$O$103,A276,Septiembre!$G$4:$G$103))</f>
        <v/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25" t="str">
        <f>Marcas!$A$10</f>
        <v/>
      </c>
      <c r="B277" s="26" t="str">
        <f>IF(A277="","",SUMIF(Septiembre!$O$4:$O$103,A277,Septiembre!$E$4:$E$103))</f>
        <v/>
      </c>
      <c r="C277" s="26" t="str">
        <f>IF(A277="","",SUMIF(Septiembre!$O$4:$O$103,A277,Septiembre!$J$4:$J$103))</f>
        <v/>
      </c>
      <c r="D277" s="29" t="str">
        <f>IF(A277="","",Marcas!$B$10)</f>
        <v/>
      </c>
      <c r="E277" s="26" t="str">
        <f t="shared" si="27"/>
        <v/>
      </c>
      <c r="F277" s="26" t="str">
        <f>IF(A277="","",SUMIF(Septiembre!$O$4:$O$103,A277,Septiembre!$G$4:$G$103))</f>
        <v/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25" t="str">
        <f>Marcas!$A$11</f>
        <v/>
      </c>
      <c r="B278" s="26" t="str">
        <f>IF(A278="","",SUMIF(Septiembre!$O$4:$O$103,A278,Septiembre!$E$4:$E$103))</f>
        <v/>
      </c>
      <c r="C278" s="26" t="str">
        <f>IF(A278="","",SUMIF(Septiembre!$O$4:$O$103,A278,Septiembre!$J$4:$J$103))</f>
        <v/>
      </c>
      <c r="D278" s="29" t="str">
        <f>IF(A278="","",Marcas!$B$11)</f>
        <v/>
      </c>
      <c r="E278" s="26" t="str">
        <f t="shared" si="27"/>
        <v/>
      </c>
      <c r="F278" s="26" t="str">
        <f>IF(A278="","",SUMIF(Septiembre!$O$4:$O$103,A278,Septiembre!$G$4:$G$103))</f>
        <v/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1" t="s">
        <v>85</v>
      </c>
      <c r="B282" s="22"/>
      <c r="C282" s="22"/>
      <c r="D282" s="22"/>
      <c r="E282" s="22"/>
      <c r="F282" s="2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5.5" customHeight="1">
      <c r="A283" s="24" t="s">
        <v>36</v>
      </c>
      <c r="B283" s="24" t="s">
        <v>37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25" t="s">
        <v>38</v>
      </c>
      <c r="B284" s="26">
        <f>SUM(Octubre!$M$4:Octubre!$M$103)</f>
        <v>3029008.626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25" t="s">
        <v>39</v>
      </c>
      <c r="B285" s="26">
        <f>SUMIF(Octubre!$C$4:$C$103,"Tienda",Octubre!$M$4:$M$103)</f>
        <v>865278.0557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25" t="s">
        <v>40</v>
      </c>
      <c r="B286" s="26">
        <f>SUMIF(Octubre!$C$4:$C$103,"Consignacion",Octubre!$M$4:$M$103)</f>
        <v>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25" t="s">
        <v>41</v>
      </c>
      <c r="B287" s="26">
        <f>Octubre!$B$130</f>
        <v>1751960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25" t="s">
        <v>42</v>
      </c>
      <c r="B288" s="26">
        <f>Octubre!$B$131</f>
        <v>350392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21" t="s">
        <v>86</v>
      </c>
      <c r="B290" s="22"/>
      <c r="C290" s="22"/>
      <c r="D290" s="22"/>
      <c r="E290" s="22"/>
      <c r="F290" s="2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5.5" customHeight="1">
      <c r="A291" s="24" t="s">
        <v>44</v>
      </c>
      <c r="B291" s="24" t="s">
        <v>45</v>
      </c>
      <c r="C291" s="24" t="s">
        <v>46</v>
      </c>
      <c r="D291" s="24" t="s">
        <v>47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25" t="s">
        <v>49</v>
      </c>
      <c r="B292" s="26">
        <f>SUMIF(Octubre!$C$4:$C$103,A292,Octubre!$M$4:$M$103)</f>
        <v>284964.7164</v>
      </c>
      <c r="C292" s="26">
        <f t="shared" ref="C292:C296" si="28">$B$288</f>
        <v>350392</v>
      </c>
      <c r="D292" s="26">
        <f t="shared" ref="D292:D296" si="29">B292-C292</f>
        <v>-65427.28361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25" t="s">
        <v>50</v>
      </c>
      <c r="B293" s="26">
        <f>SUMIF(Octubre!$C$4:$C$103,A293,Octubre!$M$4:$M$103)</f>
        <v>576600</v>
      </c>
      <c r="C293" s="26">
        <f t="shared" si="28"/>
        <v>350392</v>
      </c>
      <c r="D293" s="26">
        <f t="shared" si="29"/>
        <v>226208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25" t="s">
        <v>51</v>
      </c>
      <c r="B294" s="26">
        <f>SUMIF(Octubre!$C$4:$C$103,A294,Octubre!$M$4:$M$103)</f>
        <v>552430.7773</v>
      </c>
      <c r="C294" s="26">
        <f t="shared" si="28"/>
        <v>350392</v>
      </c>
      <c r="D294" s="26">
        <f t="shared" si="29"/>
        <v>202038.7773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25" t="s">
        <v>52</v>
      </c>
      <c r="B295" s="26">
        <f>SUMIF(Octubre!$C$4:$C$103,A295,Octubre!$M$4:$M$103)</f>
        <v>397044.2342</v>
      </c>
      <c r="C295" s="26">
        <f t="shared" si="28"/>
        <v>350392</v>
      </c>
      <c r="D295" s="26">
        <f t="shared" si="29"/>
        <v>46652.23424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25" t="s">
        <v>53</v>
      </c>
      <c r="B296" s="26">
        <f>SUMIF(Octubre!$C$4:$C$103,A296,Octubre!$M$4:$M$103)</f>
        <v>352690.8429</v>
      </c>
      <c r="C296" s="26">
        <f t="shared" si="28"/>
        <v>350392</v>
      </c>
      <c r="D296" s="26">
        <f t="shared" si="29"/>
        <v>2298.842857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21" t="s">
        <v>87</v>
      </c>
      <c r="B298" s="22"/>
      <c r="C298" s="22"/>
      <c r="D298" s="22"/>
      <c r="E298" s="22"/>
      <c r="F298" s="2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5.5" customHeight="1">
      <c r="A299" s="24" t="s">
        <v>55</v>
      </c>
      <c r="B299" s="24" t="s">
        <v>56</v>
      </c>
      <c r="C299" s="24" t="s">
        <v>57</v>
      </c>
      <c r="D299" s="24" t="s">
        <v>58</v>
      </c>
      <c r="E299" s="24" t="s">
        <v>59</v>
      </c>
      <c r="F299" s="24" t="s">
        <v>60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25" t="str">
        <f>Marcas!$A$2</f>
        <v>Nube</v>
      </c>
      <c r="B300" s="26">
        <f>IF(A300="","",SUMIF(Octubre!$O$4:$O$103,A300,Octubre!$E$4:$E$103))</f>
        <v>632000</v>
      </c>
      <c r="C300" s="26">
        <f>IF(A300="","",SUMIF(Octubre!$O$4:$O$103,A300,Octubre!$J$4:$J$103))</f>
        <v>522134.8109</v>
      </c>
      <c r="D300" s="29">
        <f>IF(A300="","",Marcas!$B$2)</f>
        <v>0.25</v>
      </c>
      <c r="E300" s="26">
        <f t="shared" ref="E300:E309" si="30">IF(A300="","",C300*D300)</f>
        <v>130533.7027</v>
      </c>
      <c r="F300" s="26">
        <f>IF(A300="","",SUMIF(Octubre!$O$4:$O$103,A300,Octubre!$G$4:$G$103))</f>
        <v>93722.68908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25" t="str">
        <f>Marcas!$A$3</f>
        <v>Season Archive</v>
      </c>
      <c r="B301" s="26">
        <f>IF(A301="","",SUMIF(Octubre!$O$4:$O$103,A301,Octubre!$E$4:$E$103))</f>
        <v>275000</v>
      </c>
      <c r="C301" s="26">
        <f>IF(A301="","",SUMIF(Octubre!$O$4:$O$103,A301,Octubre!$J$4:$J$103))</f>
        <v>275000</v>
      </c>
      <c r="D301" s="29">
        <f>IF(A301="","",Marcas!$B$3)</f>
        <v>0.25</v>
      </c>
      <c r="E301" s="26">
        <f t="shared" si="30"/>
        <v>68750</v>
      </c>
      <c r="F301" s="26">
        <f>IF(A301="","",SUMIF(Octubre!$O$4:$O$103,A301,Octubre!$G$4:$G$103))</f>
        <v>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25" t="str">
        <f>Marcas!$A$4</f>
        <v>Gelattos</v>
      </c>
      <c r="B302" s="26">
        <f>IF(A302="","",SUMIF(Octubre!$O$4:$O$103,A302,Octubre!$E$4:$E$103))</f>
        <v>0</v>
      </c>
      <c r="C302" s="26">
        <f>IF(A302="","",SUMIF(Octubre!$O$4:$O$103,A302,Octubre!$J$4:$J$103))</f>
        <v>0</v>
      </c>
      <c r="D302" s="29">
        <f>IF(A302="","",Marcas!$B$4)</f>
        <v>0.25</v>
      </c>
      <c r="E302" s="26">
        <f t="shared" si="30"/>
        <v>0</v>
      </c>
      <c r="F302" s="26">
        <f>IF(A302="","",SUMIF(Octubre!$O$4:$O$103,A302,Octubre!$G$4:$G$103))</f>
        <v>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25" t="str">
        <f>Marcas!$A$5</f>
        <v>Tienda</v>
      </c>
      <c r="B303" s="26">
        <f>IF(A303="","",SUMIF(Octubre!$O$4:$O$103,A303,Octubre!$E$4:$E$103))</f>
        <v>2440000</v>
      </c>
      <c r="C303" s="26">
        <f>IF(A303="","",SUMIF(Octubre!$O$4:$O$103,A303,Octubre!$J$4:$J$103))</f>
        <v>2252465.118</v>
      </c>
      <c r="D303" s="29">
        <f>IF(A303="","",Marcas!$B$5)</f>
        <v>0</v>
      </c>
      <c r="E303" s="26">
        <f t="shared" si="30"/>
        <v>0</v>
      </c>
      <c r="F303" s="26">
        <f>IF(A303="","",SUMIF(Octubre!$O$4:$O$103,A303,Octubre!$G$4:$G$103))</f>
        <v>158705.8824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25" t="str">
        <f>Marcas!$A$6</f>
        <v>Pop disaster
</v>
      </c>
      <c r="B304" s="26">
        <f>IF(A304="","",SUMIF(Octubre!$O$4:$O$103,A304,Octubre!$E$4:$E$103))</f>
        <v>0</v>
      </c>
      <c r="C304" s="26">
        <f>IF(A304="","",SUMIF(Octubre!$O$4:$O$103,A304,Octubre!$J$4:$J$103))</f>
        <v>0</v>
      </c>
      <c r="D304" s="29">
        <f>IF(A304="","",Marcas!$B$6)</f>
        <v>0.25</v>
      </c>
      <c r="E304" s="26">
        <f t="shared" si="30"/>
        <v>0</v>
      </c>
      <c r="F304" s="26">
        <f>IF(A304="","",SUMIF(Octubre!$O$4:$O$103,A304,Octubre!$G$4:$G$103))</f>
        <v>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25" t="str">
        <f>Marcas!$A$7</f>
        <v>Pedritos</v>
      </c>
      <c r="B305" s="26">
        <f>IF(A305="","",SUMIF(Octubre!$O$4:$O$103,A305,Octubre!$E$4:$E$103))</f>
        <v>0</v>
      </c>
      <c r="C305" s="26">
        <f>IF(A305="","",SUMIF(Octubre!$O$4:$O$103,A305,Octubre!$J$4:$J$103))</f>
        <v>0</v>
      </c>
      <c r="D305" s="29">
        <f>IF(A305="","",Marcas!$B$7)</f>
        <v>0.25</v>
      </c>
      <c r="E305" s="26">
        <f t="shared" si="30"/>
        <v>0</v>
      </c>
      <c r="F305" s="26">
        <f>IF(A305="","",SUMIF(Octubre!$O$4:$O$103,A305,Octubre!$G$4:$G$103))</f>
        <v>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25" t="str">
        <f>Marcas!$A$8</f>
        <v/>
      </c>
      <c r="B306" s="26" t="str">
        <f>IF(A306="","",SUMIF(Octubre!$O$4:$O$103,A306,Octubre!$E$4:$E$103))</f>
        <v/>
      </c>
      <c r="C306" s="26" t="str">
        <f>IF(A306="","",SUMIF(Octubre!$O$4:$O$103,A306,Octubre!$J$4:$J$103))</f>
        <v/>
      </c>
      <c r="D306" s="29" t="str">
        <f>IF(A306="","",Marcas!$B$8)</f>
        <v/>
      </c>
      <c r="E306" s="26" t="str">
        <f t="shared" si="30"/>
        <v/>
      </c>
      <c r="F306" s="26" t="str">
        <f>IF(A306="","",SUMIF(Octubre!$O$4:$O$103,A306,Octubre!$G$4:$G$103))</f>
        <v/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25" t="str">
        <f>Marcas!$A$9</f>
        <v/>
      </c>
      <c r="B307" s="26" t="str">
        <f>IF(A307="","",SUMIF(Octubre!$O$4:$O$103,A307,Octubre!$E$4:$E$103))</f>
        <v/>
      </c>
      <c r="C307" s="26" t="str">
        <f>IF(A307="","",SUMIF(Octubre!$O$4:$O$103,A307,Octubre!$J$4:$J$103))</f>
        <v/>
      </c>
      <c r="D307" s="29" t="str">
        <f>IF(A307="","",Marcas!$B$9)</f>
        <v/>
      </c>
      <c r="E307" s="26" t="str">
        <f t="shared" si="30"/>
        <v/>
      </c>
      <c r="F307" s="26" t="str">
        <f>IF(A307="","",SUMIF(Octubre!$O$4:$O$103,A307,Octubre!$G$4:$G$103))</f>
        <v/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25" t="str">
        <f>Marcas!$A$10</f>
        <v/>
      </c>
      <c r="B308" s="26" t="str">
        <f>IF(A308="","",SUMIF(Octubre!$O$4:$O$103,A308,Octubre!$E$4:$E$103))</f>
        <v/>
      </c>
      <c r="C308" s="26" t="str">
        <f>IF(A308="","",SUMIF(Octubre!$O$4:$O$103,A308,Octubre!$J$4:$J$103))</f>
        <v/>
      </c>
      <c r="D308" s="29" t="str">
        <f>IF(A308="","",Marcas!$B$10)</f>
        <v/>
      </c>
      <c r="E308" s="26" t="str">
        <f t="shared" si="30"/>
        <v/>
      </c>
      <c r="F308" s="26" t="str">
        <f>IF(A308="","",SUMIF(Octubre!$O$4:$O$103,A308,Octubre!$G$4:$G$103))</f>
        <v/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25" t="str">
        <f>Marcas!$A$11</f>
        <v/>
      </c>
      <c r="B309" s="26" t="str">
        <f>IF(A309="","",SUMIF(Octubre!$O$4:$O$103,A309,Octubre!$E$4:$E$103))</f>
        <v/>
      </c>
      <c r="C309" s="26" t="str">
        <f>IF(A309="","",SUMIF(Octubre!$O$4:$O$103,A309,Octubre!$J$4:$J$103))</f>
        <v/>
      </c>
      <c r="D309" s="29" t="str">
        <f>IF(A309="","",Marcas!$B$11)</f>
        <v/>
      </c>
      <c r="E309" s="26" t="str">
        <f t="shared" si="30"/>
        <v/>
      </c>
      <c r="F309" s="26" t="str">
        <f>IF(A309="","",SUMIF(Octubre!$O$4:$O$103,A309,Octubre!$G$4:$G$103))</f>
        <v/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7.5" customHeight="1">
      <c r="A313" s="21" t="s">
        <v>88</v>
      </c>
      <c r="B313" s="22"/>
      <c r="C313" s="22"/>
      <c r="D313" s="22"/>
      <c r="E313" s="22"/>
      <c r="F313" s="2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5.5" customHeight="1">
      <c r="A314" s="24" t="s">
        <v>36</v>
      </c>
      <c r="B314" s="24" t="s">
        <v>37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25" t="s">
        <v>38</v>
      </c>
      <c r="B315" s="26">
        <f>SUM(Noviembre!$M$4:Noviembre!$M$103)</f>
        <v>2438118.466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25" t="s">
        <v>39</v>
      </c>
      <c r="B316" s="26">
        <f>SUMIF(Noviembre!$C$4:$C$103,"Tienda",Noviembre!$M$4:$M$103)</f>
        <v>1188416.744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25" t="s">
        <v>40</v>
      </c>
      <c r="B317" s="26">
        <f>SUMIF(Noviembre!$C$4:$C$103,"Consignacion",Noviembre!$M$4:$M$103)</f>
        <v>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25" t="s">
        <v>41</v>
      </c>
      <c r="B318" s="26">
        <f>Noviembre!$B$130</f>
        <v>2418361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25" t="s">
        <v>42</v>
      </c>
      <c r="B319" s="26">
        <f>Noviembre!$B$131</f>
        <v>483672.2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7.5" customHeight="1">
      <c r="A321" s="21" t="s">
        <v>89</v>
      </c>
      <c r="B321" s="22"/>
      <c r="C321" s="22"/>
      <c r="D321" s="22"/>
      <c r="E321" s="22"/>
      <c r="F321" s="2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5.5" customHeight="1">
      <c r="A322" s="24" t="s">
        <v>44</v>
      </c>
      <c r="B322" s="24" t="s">
        <v>45</v>
      </c>
      <c r="C322" s="24" t="s">
        <v>46</v>
      </c>
      <c r="D322" s="24" t="s">
        <v>47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25" t="s">
        <v>49</v>
      </c>
      <c r="B323" s="26">
        <f>SUMIF(Noviembre!$C$4:$C$103,A323,Noviembre!$M$4:$M$103)</f>
        <v>194549.3088</v>
      </c>
      <c r="C323" s="26">
        <f t="shared" ref="C323:C327" si="31">$B$319</f>
        <v>483672.2</v>
      </c>
      <c r="D323" s="26">
        <f t="shared" ref="D323:D327" si="32">B323-C323</f>
        <v>-289122.8912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25" t="s">
        <v>50</v>
      </c>
      <c r="B324" s="26">
        <f>SUMIF(Noviembre!$C$4:$C$103,A324,Noviembre!$M$4:$M$103)</f>
        <v>215593.7237</v>
      </c>
      <c r="C324" s="26">
        <f t="shared" si="31"/>
        <v>483672.2</v>
      </c>
      <c r="D324" s="26">
        <f t="shared" si="32"/>
        <v>-268078.4763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25" t="s">
        <v>51</v>
      </c>
      <c r="B325" s="26">
        <f>SUMIF(Noviembre!$C$4:$C$103,A325,Noviembre!$M$4:$M$103)</f>
        <v>173826.0321</v>
      </c>
      <c r="C325" s="26">
        <f t="shared" si="31"/>
        <v>483672.2</v>
      </c>
      <c r="D325" s="26">
        <f t="shared" si="32"/>
        <v>-309846.1679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25" t="s">
        <v>52</v>
      </c>
      <c r="B326" s="26">
        <f>SUMIF(Noviembre!$C$4:$C$103,A326,Noviembre!$M$4:$M$103)</f>
        <v>422304.5977</v>
      </c>
      <c r="C326" s="26">
        <f t="shared" si="31"/>
        <v>483672.2</v>
      </c>
      <c r="D326" s="26">
        <f t="shared" si="32"/>
        <v>-61367.60231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25" t="s">
        <v>53</v>
      </c>
      <c r="B327" s="26">
        <f>SUMIF(Noviembre!$C$4:$C$103,A327,Noviembre!$M$4:$M$103)</f>
        <v>243428.0599</v>
      </c>
      <c r="C327" s="26">
        <f t="shared" si="31"/>
        <v>483672.2</v>
      </c>
      <c r="D327" s="26">
        <f t="shared" si="32"/>
        <v>-240244.1401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5.25" customHeight="1">
      <c r="A329" s="21" t="s">
        <v>90</v>
      </c>
      <c r="B329" s="22"/>
      <c r="C329" s="22"/>
      <c r="D329" s="22"/>
      <c r="E329" s="22"/>
      <c r="F329" s="2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5.5" customHeight="1">
      <c r="A330" s="24" t="s">
        <v>55</v>
      </c>
      <c r="B330" s="24" t="s">
        <v>56</v>
      </c>
      <c r="C330" s="24" t="s">
        <v>57</v>
      </c>
      <c r="D330" s="24" t="s">
        <v>58</v>
      </c>
      <c r="E330" s="24" t="s">
        <v>59</v>
      </c>
      <c r="F330" s="24" t="s">
        <v>60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25" t="str">
        <f>Marcas!$A$2</f>
        <v>Nube</v>
      </c>
      <c r="B331" s="26">
        <f>IF(A331="","",SUMIF(Noviembre!$O$4:$O$103,A331,Noviembre!$E$4:$E$103))</f>
        <v>603000</v>
      </c>
      <c r="C331" s="26">
        <f>IF(A331="","",SUMIF(Noviembre!$O$4:$O$103,A331,Noviembre!$J$4:$J$103))</f>
        <v>497566.7437</v>
      </c>
      <c r="D331" s="29">
        <f>IF(A331="","",Marcas!$B$2)</f>
        <v>0.25</v>
      </c>
      <c r="E331" s="26">
        <f t="shared" ref="E331:E340" si="33">IF(A331="","",C331*D331)</f>
        <v>124391.6859</v>
      </c>
      <c r="F331" s="26">
        <f>IF(A331="","",SUMIF(Noviembre!$O$4:$O$103,A331,Noviembre!$G$4:$G$103))</f>
        <v>89890.7563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25" t="str">
        <f>Marcas!$A$3</f>
        <v>Season Archive</v>
      </c>
      <c r="B332" s="26">
        <f>IF(A332="","",SUMIF(Noviembre!$O$4:$O$103,A332,Noviembre!$E$4:$E$103))</f>
        <v>485000</v>
      </c>
      <c r="C332" s="26">
        <f>IF(A332="","",SUMIF(Noviembre!$O$4:$O$103,A332,Noviembre!$J$4:$J$103))</f>
        <v>485000</v>
      </c>
      <c r="D332" s="29">
        <f>IF(A332="","",Marcas!$B$3)</f>
        <v>0.25</v>
      </c>
      <c r="E332" s="26">
        <f t="shared" si="33"/>
        <v>121250</v>
      </c>
      <c r="F332" s="26">
        <f>IF(A332="","",SUMIF(Noviembre!$O$4:$O$103,A332,Noviembre!$G$4:$G$103))</f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25" t="str">
        <f>Marcas!$A$4</f>
        <v>Gelattos</v>
      </c>
      <c r="B333" s="26">
        <f>IF(A333="","",SUMIF(Noviembre!$O$4:$O$103,A333,Noviembre!$E$4:$E$103))</f>
        <v>0</v>
      </c>
      <c r="C333" s="26">
        <f>IF(A333="","",SUMIF(Noviembre!$O$4:$O$103,A333,Noviembre!$J$4:$J$103))</f>
        <v>0</v>
      </c>
      <c r="D333" s="29">
        <f>IF(A333="","",Marcas!$B$4)</f>
        <v>0.25</v>
      </c>
      <c r="E333" s="26">
        <f t="shared" si="33"/>
        <v>0</v>
      </c>
      <c r="F333" s="26">
        <f>IF(A333="","",SUMIF(Noviembre!$O$4:$O$103,A333,Noviembre!$G$4:$G$103))</f>
        <v>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25" t="str">
        <f>Marcas!$A$5</f>
        <v>Tienda</v>
      </c>
      <c r="B334" s="26">
        <f>IF(A334="","",SUMIF(Noviembre!$O$4:$O$103,A334,Noviembre!$E$4:$E$103))</f>
        <v>1583500</v>
      </c>
      <c r="C334" s="26">
        <f>IF(A334="","",SUMIF(Noviembre!$O$4:$O$103,A334,Noviembre!$J$4:$J$103))</f>
        <v>1368822.866</v>
      </c>
      <c r="D334" s="29">
        <f>IF(A334="","",Marcas!$B$5)</f>
        <v>0</v>
      </c>
      <c r="E334" s="26">
        <f t="shared" si="33"/>
        <v>0</v>
      </c>
      <c r="F334" s="26">
        <f>IF(A334="","",SUMIF(Noviembre!$O$4:$O$103,A334,Noviembre!$G$4:$G$103))</f>
        <v>182336.1345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25" t="str">
        <f>Marcas!$A$6</f>
        <v>Pop disaster
</v>
      </c>
      <c r="B335" s="26">
        <f>IF(A335="","",SUMIF(Noviembre!$O$4:$O$103,A335,Noviembre!$E$4:$E$103))</f>
        <v>0</v>
      </c>
      <c r="C335" s="26">
        <f>IF(A335="","",SUMIF(Noviembre!$O$4:$O$103,A335,Noviembre!$J$4:$J$103))</f>
        <v>0</v>
      </c>
      <c r="D335" s="29">
        <f>IF(A335="","",Marcas!$B$6)</f>
        <v>0.25</v>
      </c>
      <c r="E335" s="26">
        <f t="shared" si="33"/>
        <v>0</v>
      </c>
      <c r="F335" s="26">
        <f>IF(A335="","",SUMIF(Noviembre!$O$4:$O$103,A335,Noviembre!$G$4:$G$103))</f>
        <v>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25" t="str">
        <f>Marcas!$A$7</f>
        <v>Pedritos</v>
      </c>
      <c r="B336" s="26">
        <f>IF(A336="","",SUMIF(Noviembre!$O$4:$O$103,A336,Noviembre!$E$4:$E$103))</f>
        <v>0</v>
      </c>
      <c r="C336" s="26">
        <f>IF(A336="","",SUMIF(Noviembre!$O$4:$O$103,A336,Noviembre!$J$4:$J$103))</f>
        <v>0</v>
      </c>
      <c r="D336" s="29">
        <f>IF(A336="","",Marcas!$B$7)</f>
        <v>0.25</v>
      </c>
      <c r="E336" s="26">
        <f t="shared" si="33"/>
        <v>0</v>
      </c>
      <c r="F336" s="26">
        <f>IF(A336="","",SUMIF(Noviembre!$O$4:$O$103,A336,Noviembre!$G$4:$G$103))</f>
        <v>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25" t="str">
        <f>Marcas!$A$8</f>
        <v/>
      </c>
      <c r="B337" s="26" t="str">
        <f>IF(A337="","",SUMIF(Noviembre!$O$4:$O$103,A337,Noviembre!$E$4:$E$103))</f>
        <v/>
      </c>
      <c r="C337" s="26" t="str">
        <f>IF(A337="","",SUMIF(Noviembre!$O$4:$O$103,A337,Noviembre!$J$4:$J$103))</f>
        <v/>
      </c>
      <c r="D337" s="29" t="str">
        <f>IF(A337="","",Marcas!$B$8)</f>
        <v/>
      </c>
      <c r="E337" s="26" t="str">
        <f t="shared" si="33"/>
        <v/>
      </c>
      <c r="F337" s="26" t="str">
        <f>IF(A337="","",SUMIF(Noviembre!$O$4:$O$103,A337,Noviembre!$G$4:$G$103))</f>
        <v/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25" t="str">
        <f>Marcas!$A$9</f>
        <v/>
      </c>
      <c r="B338" s="26" t="str">
        <f>IF(A338="","",SUMIF(Noviembre!$O$4:$O$103,A338,Noviembre!$E$4:$E$103))</f>
        <v/>
      </c>
      <c r="C338" s="26" t="str">
        <f>IF(A338="","",SUMIF(Noviembre!$O$4:$O$103,A338,Noviembre!$J$4:$J$103))</f>
        <v/>
      </c>
      <c r="D338" s="29" t="str">
        <f>IF(A338="","",Marcas!$B$9)</f>
        <v/>
      </c>
      <c r="E338" s="26" t="str">
        <f t="shared" si="33"/>
        <v/>
      </c>
      <c r="F338" s="26" t="str">
        <f>IF(A338="","",SUMIF(Noviembre!$O$4:$O$103,A338,Noviembre!$G$4:$G$103))</f>
        <v/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25" t="str">
        <f>Marcas!$A$10</f>
        <v/>
      </c>
      <c r="B339" s="26" t="str">
        <f>IF(A339="","",SUMIF(Noviembre!$O$4:$O$103,A339,Noviembre!$E$4:$E$103))</f>
        <v/>
      </c>
      <c r="C339" s="26" t="str">
        <f>IF(A339="","",SUMIF(Noviembre!$O$4:$O$103,A339,Noviembre!$J$4:$J$103))</f>
        <v/>
      </c>
      <c r="D339" s="29" t="str">
        <f>IF(A339="","",Marcas!$B$10)</f>
        <v/>
      </c>
      <c r="E339" s="26" t="str">
        <f t="shared" si="33"/>
        <v/>
      </c>
      <c r="F339" s="26" t="str">
        <f>IF(A339="","",SUMIF(Noviembre!$O$4:$O$103,A339,Noviembre!$G$4:$G$103))</f>
        <v/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25" t="str">
        <f>Marcas!$A$11</f>
        <v/>
      </c>
      <c r="B340" s="26" t="str">
        <f>IF(A340="","",SUMIF(Noviembre!$O$4:$O$103,A340,Noviembre!$E$4:$E$103))</f>
        <v/>
      </c>
      <c r="C340" s="26" t="str">
        <f>IF(A340="","",SUMIF(Noviembre!$O$4:$O$103,A340,Noviembre!$J$4:$J$103))</f>
        <v/>
      </c>
      <c r="D340" s="29" t="str">
        <f>IF(A340="","",Marcas!$B$11)</f>
        <v/>
      </c>
      <c r="E340" s="26" t="str">
        <f t="shared" si="33"/>
        <v/>
      </c>
      <c r="F340" s="26" t="str">
        <f>IF(A340="","",SUMIF(Noviembre!$O$4:$O$103,A340,Noviembre!$G$4:$G$103))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9.75" customHeight="1">
      <c r="A344" s="21" t="s">
        <v>91</v>
      </c>
      <c r="B344" s="22"/>
      <c r="C344" s="22"/>
      <c r="D344" s="22"/>
      <c r="E344" s="22"/>
      <c r="F344" s="2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9.75" customHeight="1">
      <c r="A345" s="24" t="s">
        <v>36</v>
      </c>
      <c r="B345" s="24" t="s">
        <v>37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25" t="s">
        <v>38</v>
      </c>
      <c r="B346" s="26">
        <f>SUM(Diciembre!$M$4:Diciembre!$M$103)</f>
        <v>2195290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25" t="s">
        <v>39</v>
      </c>
      <c r="B347" s="26">
        <f>SUMIF(Diciembre!$C$4:$C$103,"Tienda",Diciembre!$M$4:$M$103)</f>
        <v>139500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25" t="s">
        <v>40</v>
      </c>
      <c r="B348" s="26">
        <f>SUMIF(Diciembre!$C$4:$C$103,"Consignacion",Diciembre!$M$4:$M$103)</f>
        <v>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25" t="s">
        <v>41</v>
      </c>
      <c r="B349" s="26">
        <f>Diciembre!$B$130</f>
        <v>1751960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25" t="s">
        <v>42</v>
      </c>
      <c r="B350" s="26">
        <f>Diciembre!$B$131</f>
        <v>350392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1" t="s">
        <v>92</v>
      </c>
      <c r="B352" s="22"/>
      <c r="C352" s="22"/>
      <c r="D352" s="22"/>
      <c r="E352" s="22"/>
      <c r="F352" s="2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5.5" customHeight="1">
      <c r="A353" s="24" t="s">
        <v>44</v>
      </c>
      <c r="B353" s="24" t="s">
        <v>45</v>
      </c>
      <c r="C353" s="24" t="s">
        <v>46</v>
      </c>
      <c r="D353" s="24" t="s">
        <v>47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25" t="s">
        <v>49</v>
      </c>
      <c r="B354" s="26">
        <f>SUMIF(Diciembre!$C$4:$C$103,A354,Diciembre!$M$4:$M$103)</f>
        <v>330150</v>
      </c>
      <c r="C354" s="26">
        <f t="shared" ref="C354:C358" si="34">$B$350</f>
        <v>350392</v>
      </c>
      <c r="D354" s="26">
        <f t="shared" ref="D354:D358" si="35">B354-C354</f>
        <v>-20242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25" t="s">
        <v>50</v>
      </c>
      <c r="B355" s="26">
        <f>SUMIF(Diciembre!$C$4:$C$103,A355,Diciembre!$M$4:$M$103)</f>
        <v>497550</v>
      </c>
      <c r="C355" s="26">
        <f t="shared" si="34"/>
        <v>350392</v>
      </c>
      <c r="D355" s="26">
        <f t="shared" si="35"/>
        <v>147158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25" t="s">
        <v>51</v>
      </c>
      <c r="B356" s="26">
        <f>SUMIF(Diciembre!$C$4:$C$103,A356,Diciembre!$M$4:$M$103)</f>
        <v>355750</v>
      </c>
      <c r="C356" s="26">
        <f t="shared" si="34"/>
        <v>350392</v>
      </c>
      <c r="D356" s="26">
        <f t="shared" si="35"/>
        <v>5358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25" t="s">
        <v>52</v>
      </c>
      <c r="B357" s="26">
        <f>SUMIF(Diciembre!$C$4:$C$103,A357,Diciembre!$M$4:$M$103)</f>
        <v>514290</v>
      </c>
      <c r="C357" s="26">
        <f t="shared" si="34"/>
        <v>350392</v>
      </c>
      <c r="D357" s="26">
        <f t="shared" si="35"/>
        <v>163898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25" t="s">
        <v>53</v>
      </c>
      <c r="B358" s="26">
        <f>SUMIF(Diciembre!$C$4:$C$103,A358,Diciembre!$M$4:$M$103)</f>
        <v>358050</v>
      </c>
      <c r="C358" s="26">
        <f t="shared" si="34"/>
        <v>350392</v>
      </c>
      <c r="D358" s="26">
        <f t="shared" si="35"/>
        <v>7658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21" t="s">
        <v>93</v>
      </c>
      <c r="B360" s="22"/>
      <c r="C360" s="22"/>
      <c r="D360" s="22"/>
      <c r="E360" s="22"/>
      <c r="F360" s="2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5.5" customHeight="1">
      <c r="A361" s="24" t="s">
        <v>55</v>
      </c>
      <c r="B361" s="24" t="s">
        <v>56</v>
      </c>
      <c r="C361" s="24" t="s">
        <v>57</v>
      </c>
      <c r="D361" s="24" t="s">
        <v>58</v>
      </c>
      <c r="E361" s="24" t="s">
        <v>59</v>
      </c>
      <c r="F361" s="24" t="s">
        <v>60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25" t="str">
        <f>Marcas!$A$2</f>
        <v>Nube</v>
      </c>
      <c r="B362" s="26">
        <f>IF(A362="","",SUMIF(Diciembre!$O$4:$O$103,A362,Diciembre!$E$4:$E$103))</f>
        <v>0</v>
      </c>
      <c r="C362" s="26">
        <f>IF(A362="","",SUMIF(Diciembre!$O$4:$O$103,A362,Diciembre!$J$4:$J$103))</f>
        <v>0</v>
      </c>
      <c r="D362" s="29">
        <f>IF(A362="","",Marcas!$B$2)</f>
        <v>0.25</v>
      </c>
      <c r="E362" s="26">
        <f t="shared" ref="E362:E371" si="36">IF(A362="","",C362*D362)</f>
        <v>0</v>
      </c>
      <c r="F362" s="26">
        <f>IF(A362="","",SUMIF(Diciembre!$O$4:$O$103,A362,Diciembre!$G$4:$G$103))</f>
        <v>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25" t="str">
        <f>Marcas!$A$3</f>
        <v>Season Archive</v>
      </c>
      <c r="B363" s="26">
        <f>IF(A363="","",SUMIF(Diciembre!$O$4:$O$103,A363,Diciembre!$E$4:$E$103))</f>
        <v>0</v>
      </c>
      <c r="C363" s="26">
        <f>IF(A363="","",SUMIF(Diciembre!$O$4:$O$103,A363,Diciembre!$J$4:$J$103))</f>
        <v>0</v>
      </c>
      <c r="D363" s="29">
        <f>IF(A363="","",Marcas!$B$3)</f>
        <v>0.25</v>
      </c>
      <c r="E363" s="26">
        <f t="shared" si="36"/>
        <v>0</v>
      </c>
      <c r="F363" s="26">
        <f>IF(A363="","",SUMIF(Diciembre!$O$4:$O$103,A363,Diciembre!$G$4:$G$103))</f>
        <v>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25" t="str">
        <f>Marcas!$A$4</f>
        <v>Gelattos</v>
      </c>
      <c r="B364" s="26">
        <f>IF(A364="","",SUMIF(Diciembre!$O$4:$O$103,A364,Diciembre!$E$4:$E$103))</f>
        <v>0</v>
      </c>
      <c r="C364" s="26">
        <f>IF(A364="","",SUMIF(Diciembre!$O$4:$O$103,A364,Diciembre!$J$4:$J$103))</f>
        <v>0</v>
      </c>
      <c r="D364" s="29">
        <f>IF(A364="","",Marcas!$B$4)</f>
        <v>0.25</v>
      </c>
      <c r="E364" s="26">
        <f t="shared" si="36"/>
        <v>0</v>
      </c>
      <c r="F364" s="26">
        <f>IF(A364="","",SUMIF(Diciembre!$O$4:$O$103,A364,Diciembre!$G$4:$G$103))</f>
        <v>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25" t="str">
        <f>Marcas!$A$5</f>
        <v>Tienda</v>
      </c>
      <c r="B365" s="26">
        <f>IF(A365="","",SUMIF(Diciembre!$O$4:$O$103,A365,Diciembre!$E$4:$E$103))</f>
        <v>2253000</v>
      </c>
      <c r="C365" s="26">
        <f>IF(A365="","",SUMIF(Diciembre!$O$4:$O$103,A365,Diciembre!$J$4:$J$103))</f>
        <v>2253000</v>
      </c>
      <c r="D365" s="29">
        <f>IF(A365="","",Marcas!$B$5)</f>
        <v>0</v>
      </c>
      <c r="E365" s="26">
        <f t="shared" si="36"/>
        <v>0</v>
      </c>
      <c r="F365" s="26">
        <f>IF(A365="","",SUMIF(Diciembre!$O$4:$O$103,A365,Diciembre!$G$4:$G$103))</f>
        <v>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25" t="str">
        <f>Marcas!$A$6</f>
        <v>Pop disaster
</v>
      </c>
      <c r="B366" s="26">
        <f>IF(A366="","",SUMIF(Diciembre!$O$4:$O$103,A366,Diciembre!$E$4:$E$103))</f>
        <v>0</v>
      </c>
      <c r="C366" s="26">
        <f>IF(A366="","",SUMIF(Diciembre!$O$4:$O$103,A366,Diciembre!$J$4:$J$103))</f>
        <v>0</v>
      </c>
      <c r="D366" s="29">
        <f>IF(A366="","",Marcas!$B$6)</f>
        <v>0.25</v>
      </c>
      <c r="E366" s="26">
        <f t="shared" si="36"/>
        <v>0</v>
      </c>
      <c r="F366" s="26">
        <f>IF(A366="","",SUMIF(Diciembre!$O$4:$O$103,A366,Diciembre!$G$4:$G$103))</f>
        <v>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25" t="str">
        <f>Marcas!$A$7</f>
        <v>Pedritos</v>
      </c>
      <c r="B367" s="26">
        <f>IF(A367="","",SUMIF(Diciembre!$O$4:$O$103,A367,Diciembre!$E$4:$E$103))</f>
        <v>0</v>
      </c>
      <c r="C367" s="26">
        <f>IF(A367="","",SUMIF(Diciembre!$O$4:$O$103,A367,Diciembre!$J$4:$J$103))</f>
        <v>0</v>
      </c>
      <c r="D367" s="29">
        <f>IF(A367="","",Marcas!$B$7)</f>
        <v>0.25</v>
      </c>
      <c r="E367" s="26">
        <f t="shared" si="36"/>
        <v>0</v>
      </c>
      <c r="F367" s="26">
        <f>IF(A367="","",SUMIF(Diciembre!$O$4:$O$103,A367,Diciembre!$G$4:$G$103))</f>
        <v>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25" t="str">
        <f>Marcas!$A$8</f>
        <v/>
      </c>
      <c r="B368" s="26" t="str">
        <f>IF(A368="","",SUMIF(Diciembre!$O$4:$O$103,A368,Diciembre!$E$4:$E$103))</f>
        <v/>
      </c>
      <c r="C368" s="26" t="str">
        <f>IF(A368="","",SUMIF(Diciembre!$O$4:$O$103,A368,Diciembre!$J$4:$J$103))</f>
        <v/>
      </c>
      <c r="D368" s="29" t="str">
        <f>IF(A368="","",Marcas!$B$8)</f>
        <v/>
      </c>
      <c r="E368" s="26" t="str">
        <f t="shared" si="36"/>
        <v/>
      </c>
      <c r="F368" s="26" t="str">
        <f>IF(A368="","",SUMIF(Diciembre!$O$4:$O$103,A368,Diciembre!$G$4:$G$103))</f>
        <v/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25" t="str">
        <f>Marcas!$A$9</f>
        <v/>
      </c>
      <c r="B369" s="26" t="str">
        <f>IF(A369="","",SUMIF(Diciembre!$O$4:$O$103,A369,Diciembre!$E$4:$E$103))</f>
        <v/>
      </c>
      <c r="C369" s="26" t="str">
        <f>IF(A369="","",SUMIF(Diciembre!$O$4:$O$103,A369,Diciembre!$J$4:$J$103))</f>
        <v/>
      </c>
      <c r="D369" s="29" t="str">
        <f>IF(A369="","",Marcas!$B$9)</f>
        <v/>
      </c>
      <c r="E369" s="26" t="str">
        <f t="shared" si="36"/>
        <v/>
      </c>
      <c r="F369" s="26" t="str">
        <f>IF(A369="","",SUMIF(Diciembre!$O$4:$O$103,A369,Diciembre!$G$4:$G$103))</f>
        <v/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25" t="str">
        <f>Marcas!$A$10</f>
        <v/>
      </c>
      <c r="B370" s="26" t="str">
        <f>IF(A370="","",SUMIF(Diciembre!$O$4:$O$103,A370,Diciembre!$E$4:$E$103))</f>
        <v/>
      </c>
      <c r="C370" s="26" t="str">
        <f>IF(A370="","",SUMIF(Diciembre!$O$4:$O$103,A370,Diciembre!$J$4:$J$103))</f>
        <v/>
      </c>
      <c r="D370" s="29" t="str">
        <f>IF(A370="","",Marcas!$B$10)</f>
        <v/>
      </c>
      <c r="E370" s="26" t="str">
        <f t="shared" si="36"/>
        <v/>
      </c>
      <c r="F370" s="26" t="str">
        <f>IF(A370="","",SUMIF(Diciembre!$O$4:$O$103,A370,Diciembre!$G$4:$G$103))</f>
        <v/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25" t="str">
        <f>Marcas!$A$11</f>
        <v/>
      </c>
      <c r="B371" s="26" t="str">
        <f>IF(A371="","",SUMIF(Diciembre!$O$4:$O$103,A371,Diciembre!$E$4:$E$103))</f>
        <v/>
      </c>
      <c r="C371" s="26" t="str">
        <f>IF(A371="","",SUMIF(Diciembre!$O$4:$O$103,A371,Diciembre!$J$4:$J$103))</f>
        <v/>
      </c>
      <c r="D371" s="29" t="str">
        <f>IF(A371="","",Marcas!$B$11)</f>
        <v/>
      </c>
      <c r="E371" s="26" t="str">
        <f t="shared" si="36"/>
        <v/>
      </c>
      <c r="F371" s="26" t="str">
        <f>IF(A371="","",SUMIF(Diciembre!$O$4:$O$103,A371,Diciembre!$G$4:$G$103))</f>
        <v/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">
    <mergeCell ref="A1:F1"/>
    <mergeCell ref="A3:F3"/>
    <mergeCell ref="A11:F11"/>
    <mergeCell ref="A19:F19"/>
    <mergeCell ref="A34:F34"/>
    <mergeCell ref="A42:F42"/>
    <mergeCell ref="A50:F50"/>
    <mergeCell ref="A65:F65"/>
    <mergeCell ref="A73:F73"/>
    <mergeCell ref="A81:F81"/>
    <mergeCell ref="A96:F96"/>
    <mergeCell ref="A104:F104"/>
    <mergeCell ref="A112:F112"/>
    <mergeCell ref="A127:F127"/>
    <mergeCell ref="A135:F135"/>
    <mergeCell ref="A143:F143"/>
    <mergeCell ref="A158:F158"/>
    <mergeCell ref="A166:F166"/>
    <mergeCell ref="A174:F174"/>
    <mergeCell ref="A189:F189"/>
    <mergeCell ref="A197:F197"/>
    <mergeCell ref="A205:F205"/>
    <mergeCell ref="A220:F220"/>
    <mergeCell ref="A228:F228"/>
    <mergeCell ref="A236:F236"/>
    <mergeCell ref="A251:F251"/>
    <mergeCell ref="A259:F259"/>
    <mergeCell ref="A267:F267"/>
    <mergeCell ref="A352:F352"/>
    <mergeCell ref="A360:F360"/>
    <mergeCell ref="A282:F282"/>
    <mergeCell ref="A290:F290"/>
    <mergeCell ref="A298:F298"/>
    <mergeCell ref="A313:F313"/>
    <mergeCell ref="A321:F321"/>
    <mergeCell ref="A329:F329"/>
    <mergeCell ref="A344:F34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0.0"/>
    <col customWidth="1" min="4" max="4" width="16.0"/>
    <col customWidth="1" min="5" max="5" width="18.0"/>
    <col customWidth="1" min="6" max="26" width="8.71"/>
  </cols>
  <sheetData>
    <row r="1" ht="30.0" customHeight="1">
      <c r="A1" s="30" t="s">
        <v>0</v>
      </c>
      <c r="B1" s="30" t="s">
        <v>94</v>
      </c>
      <c r="C1" s="30" t="s">
        <v>36</v>
      </c>
      <c r="D1" s="30" t="s">
        <v>95</v>
      </c>
      <c r="E1" s="30" t="s">
        <v>96</v>
      </c>
    </row>
    <row r="2">
      <c r="A2" s="31" t="s">
        <v>97</v>
      </c>
      <c r="B2" s="32"/>
      <c r="C2" s="31" t="s">
        <v>98</v>
      </c>
      <c r="D2" s="33">
        <v>50000.0</v>
      </c>
      <c r="E2" s="31" t="s">
        <v>99</v>
      </c>
    </row>
    <row r="3">
      <c r="A3" s="32"/>
      <c r="B3" s="32"/>
      <c r="C3" s="32"/>
      <c r="D3" s="32"/>
      <c r="E3" s="32"/>
    </row>
    <row r="4">
      <c r="A4" s="32"/>
      <c r="B4" s="32"/>
      <c r="C4" s="32"/>
      <c r="D4" s="32"/>
      <c r="E4" s="32"/>
    </row>
    <row r="5">
      <c r="A5" s="32"/>
      <c r="B5" s="32"/>
      <c r="C5" s="32"/>
      <c r="D5" s="32"/>
      <c r="E5" s="32"/>
    </row>
    <row r="6">
      <c r="A6" s="32"/>
      <c r="B6" s="32"/>
      <c r="C6" s="32"/>
      <c r="D6" s="32"/>
      <c r="E6" s="32"/>
    </row>
    <row r="7">
      <c r="A7" s="32"/>
      <c r="B7" s="32"/>
      <c r="C7" s="32"/>
      <c r="D7" s="32"/>
      <c r="E7" s="32"/>
    </row>
    <row r="8">
      <c r="A8" s="32"/>
      <c r="B8" s="32"/>
      <c r="C8" s="32"/>
      <c r="D8" s="32"/>
      <c r="E8" s="32"/>
    </row>
    <row r="9">
      <c r="A9" s="32"/>
      <c r="B9" s="32"/>
      <c r="C9" s="32"/>
      <c r="D9" s="32"/>
      <c r="E9" s="32"/>
    </row>
    <row r="10">
      <c r="A10" s="32"/>
      <c r="B10" s="32"/>
      <c r="C10" s="32"/>
      <c r="D10" s="32"/>
      <c r="E10" s="32"/>
    </row>
    <row r="11">
      <c r="A11" s="32"/>
      <c r="B11" s="32"/>
      <c r="C11" s="32"/>
      <c r="D11" s="32"/>
      <c r="E11" s="32"/>
    </row>
    <row r="12">
      <c r="A12" s="32"/>
      <c r="B12" s="32"/>
      <c r="C12" s="32"/>
      <c r="D12" s="32"/>
      <c r="E12" s="32"/>
    </row>
    <row r="13">
      <c r="A13" s="32"/>
      <c r="B13" s="32"/>
      <c r="C13" s="32"/>
      <c r="D13" s="32"/>
      <c r="E13" s="32"/>
    </row>
    <row r="14">
      <c r="A14" s="32"/>
      <c r="B14" s="32"/>
      <c r="C14" s="32"/>
      <c r="D14" s="32"/>
      <c r="E14" s="32"/>
    </row>
    <row r="15">
      <c r="A15" s="32"/>
      <c r="B15" s="32"/>
      <c r="C15" s="32"/>
      <c r="D15" s="32"/>
      <c r="E15" s="32"/>
    </row>
    <row r="16">
      <c r="A16" s="32"/>
      <c r="B16" s="32"/>
      <c r="C16" s="32"/>
      <c r="D16" s="32"/>
      <c r="E16" s="32"/>
    </row>
    <row r="17">
      <c r="A17" s="32"/>
      <c r="B17" s="32"/>
      <c r="C17" s="32"/>
      <c r="D17" s="32"/>
      <c r="E17" s="32"/>
    </row>
    <row r="18">
      <c r="A18" s="32"/>
      <c r="B18" s="32"/>
      <c r="C18" s="32"/>
      <c r="D18" s="32"/>
      <c r="E18" s="32"/>
    </row>
    <row r="19">
      <c r="A19" s="32"/>
      <c r="B19" s="32"/>
      <c r="C19" s="32"/>
      <c r="D19" s="32"/>
      <c r="E19" s="32"/>
    </row>
    <row r="20">
      <c r="A20" s="32"/>
      <c r="B20" s="32"/>
      <c r="C20" s="32"/>
      <c r="D20" s="32"/>
      <c r="E20" s="32"/>
    </row>
    <row r="21" ht="15.75" customHeight="1">
      <c r="A21" s="32"/>
      <c r="B21" s="32"/>
      <c r="C21" s="32"/>
      <c r="D21" s="32"/>
      <c r="E21" s="32"/>
    </row>
    <row r="22" ht="15.75" customHeight="1">
      <c r="A22" s="32"/>
      <c r="B22" s="32"/>
      <c r="C22" s="32"/>
      <c r="D22" s="32"/>
      <c r="E22" s="32"/>
    </row>
    <row r="23" ht="15.75" customHeight="1">
      <c r="A23" s="32"/>
      <c r="B23" s="32"/>
      <c r="C23" s="32"/>
      <c r="D23" s="32"/>
      <c r="E23" s="32"/>
    </row>
    <row r="24" ht="15.75" customHeight="1">
      <c r="A24" s="32"/>
      <c r="B24" s="32"/>
      <c r="C24" s="32"/>
      <c r="D24" s="32"/>
      <c r="E24" s="32"/>
    </row>
    <row r="25" ht="15.75" customHeight="1">
      <c r="A25" s="32"/>
      <c r="B25" s="32"/>
      <c r="C25" s="32"/>
      <c r="D25" s="32"/>
      <c r="E25" s="32"/>
    </row>
    <row r="26" ht="15.75" customHeight="1">
      <c r="A26" s="32"/>
      <c r="B26" s="32"/>
      <c r="C26" s="32"/>
      <c r="D26" s="32"/>
      <c r="E26" s="32"/>
    </row>
    <row r="27" ht="15.75" customHeight="1">
      <c r="A27" s="32"/>
      <c r="B27" s="32"/>
      <c r="C27" s="32"/>
      <c r="D27" s="32"/>
      <c r="E27" s="32"/>
    </row>
    <row r="28" ht="15.75" customHeight="1">
      <c r="A28" s="32"/>
      <c r="B28" s="32"/>
      <c r="C28" s="32"/>
      <c r="D28" s="32"/>
      <c r="E28" s="32"/>
    </row>
    <row r="29" ht="15.75" customHeight="1">
      <c r="A29" s="32"/>
      <c r="B29" s="32"/>
      <c r="C29" s="32"/>
      <c r="D29" s="32"/>
      <c r="E29" s="32"/>
    </row>
    <row r="30" ht="15.75" customHeight="1">
      <c r="A30" s="32"/>
      <c r="B30" s="32"/>
      <c r="C30" s="32"/>
      <c r="D30" s="32"/>
      <c r="E30" s="32"/>
    </row>
    <row r="31" ht="15.75" customHeight="1">
      <c r="A31" s="32"/>
      <c r="B31" s="32"/>
      <c r="C31" s="32"/>
      <c r="D31" s="32"/>
      <c r="E31" s="32"/>
    </row>
    <row r="32" ht="15.75" customHeight="1">
      <c r="A32" s="32"/>
      <c r="B32" s="32"/>
      <c r="C32" s="32"/>
      <c r="D32" s="32"/>
      <c r="E32" s="32"/>
    </row>
    <row r="33" ht="15.75" customHeight="1">
      <c r="A33" s="32"/>
      <c r="B33" s="32"/>
      <c r="C33" s="32"/>
      <c r="D33" s="32"/>
      <c r="E33" s="32"/>
    </row>
    <row r="34" ht="15.75" customHeight="1">
      <c r="A34" s="32"/>
      <c r="B34" s="32"/>
      <c r="C34" s="32"/>
      <c r="D34" s="32"/>
      <c r="E34" s="32"/>
    </row>
    <row r="35" ht="15.75" customHeight="1">
      <c r="A35" s="32"/>
      <c r="B35" s="32"/>
      <c r="C35" s="32"/>
      <c r="D35" s="32"/>
      <c r="E35" s="32"/>
    </row>
    <row r="36" ht="15.75" customHeight="1">
      <c r="A36" s="32"/>
      <c r="B36" s="32"/>
      <c r="C36" s="32"/>
      <c r="D36" s="32"/>
      <c r="E36" s="32"/>
    </row>
    <row r="37" ht="15.75" customHeight="1">
      <c r="A37" s="32"/>
      <c r="B37" s="32"/>
      <c r="C37" s="32"/>
      <c r="D37" s="32"/>
      <c r="E37" s="32"/>
    </row>
    <row r="38" ht="15.75" customHeight="1">
      <c r="A38" s="32"/>
      <c r="B38" s="32"/>
      <c r="C38" s="32"/>
      <c r="D38" s="32"/>
      <c r="E38" s="32"/>
    </row>
    <row r="39" ht="15.75" customHeight="1">
      <c r="A39" s="32"/>
      <c r="B39" s="32"/>
      <c r="C39" s="32"/>
      <c r="D39" s="32"/>
      <c r="E39" s="32"/>
    </row>
    <row r="40" ht="15.75" customHeight="1">
      <c r="A40" s="32"/>
      <c r="B40" s="32"/>
      <c r="C40" s="32"/>
      <c r="D40" s="32"/>
      <c r="E40" s="32"/>
    </row>
    <row r="41" ht="15.75" customHeight="1">
      <c r="A41" s="32"/>
      <c r="B41" s="32"/>
      <c r="C41" s="32"/>
      <c r="D41" s="32"/>
      <c r="E41" s="32"/>
    </row>
    <row r="42" ht="15.75" customHeight="1">
      <c r="A42" s="32"/>
      <c r="B42" s="32"/>
      <c r="C42" s="32"/>
      <c r="D42" s="32"/>
      <c r="E42" s="32"/>
    </row>
    <row r="43" ht="15.75" customHeight="1">
      <c r="A43" s="32"/>
      <c r="B43" s="32"/>
      <c r="C43" s="32"/>
      <c r="D43" s="32"/>
      <c r="E43" s="32"/>
    </row>
    <row r="44" ht="15.75" customHeight="1">
      <c r="A44" s="32"/>
      <c r="B44" s="32"/>
      <c r="C44" s="32"/>
      <c r="D44" s="32"/>
      <c r="E44" s="32"/>
    </row>
    <row r="45" ht="15.75" customHeight="1">
      <c r="A45" s="32"/>
      <c r="B45" s="32"/>
      <c r="C45" s="32"/>
      <c r="D45" s="32"/>
      <c r="E45" s="32"/>
    </row>
    <row r="46" ht="15.75" customHeight="1">
      <c r="A46" s="32"/>
      <c r="B46" s="32"/>
      <c r="C46" s="32"/>
      <c r="D46" s="32"/>
      <c r="E46" s="32"/>
    </row>
    <row r="47" ht="15.75" customHeight="1">
      <c r="A47" s="32"/>
      <c r="B47" s="32"/>
      <c r="C47" s="32"/>
      <c r="D47" s="32"/>
      <c r="E47" s="32"/>
    </row>
    <row r="48" ht="15.75" customHeight="1">
      <c r="A48" s="32"/>
      <c r="B48" s="32"/>
      <c r="C48" s="32"/>
      <c r="D48" s="32"/>
      <c r="E48" s="32"/>
    </row>
    <row r="49" ht="15.75" customHeight="1">
      <c r="A49" s="32"/>
      <c r="B49" s="32"/>
      <c r="C49" s="32"/>
      <c r="D49" s="32"/>
      <c r="E49" s="32"/>
    </row>
    <row r="50" ht="15.75" customHeight="1">
      <c r="A50" s="32"/>
      <c r="B50" s="32"/>
      <c r="C50" s="32"/>
      <c r="D50" s="32"/>
      <c r="E50" s="32"/>
    </row>
    <row r="51" ht="15.75" customHeight="1">
      <c r="A51" s="32"/>
      <c r="B51" s="32"/>
      <c r="C51" s="32"/>
      <c r="D51" s="32"/>
      <c r="E51" s="32"/>
    </row>
    <row r="52" ht="15.75" customHeight="1">
      <c r="A52" s="32"/>
      <c r="B52" s="32"/>
      <c r="C52" s="32"/>
      <c r="D52" s="32"/>
      <c r="E52" s="32"/>
    </row>
    <row r="53" ht="15.75" customHeight="1">
      <c r="A53" s="32"/>
      <c r="B53" s="32"/>
      <c r="C53" s="32"/>
      <c r="D53" s="32"/>
      <c r="E53" s="32"/>
    </row>
    <row r="54" ht="15.75" customHeight="1">
      <c r="A54" s="32"/>
      <c r="B54" s="32"/>
      <c r="C54" s="32"/>
      <c r="D54" s="32"/>
      <c r="E54" s="32"/>
    </row>
    <row r="55" ht="15.75" customHeight="1">
      <c r="A55" s="32"/>
      <c r="B55" s="32"/>
      <c r="C55" s="32"/>
      <c r="D55" s="32"/>
      <c r="E55" s="32"/>
    </row>
    <row r="56" ht="15.75" customHeight="1">
      <c r="A56" s="32"/>
      <c r="B56" s="32"/>
      <c r="C56" s="32"/>
      <c r="D56" s="32"/>
      <c r="E56" s="32"/>
    </row>
    <row r="57" ht="15.75" customHeight="1">
      <c r="A57" s="32"/>
      <c r="B57" s="32"/>
      <c r="C57" s="32"/>
      <c r="D57" s="32"/>
      <c r="E57" s="32"/>
    </row>
    <row r="58" ht="15.75" customHeight="1">
      <c r="A58" s="32"/>
      <c r="B58" s="32"/>
      <c r="C58" s="32"/>
      <c r="D58" s="32"/>
      <c r="E58" s="32"/>
    </row>
    <row r="59" ht="15.75" customHeight="1">
      <c r="A59" s="32"/>
      <c r="B59" s="32"/>
      <c r="C59" s="32"/>
      <c r="D59" s="32"/>
      <c r="E59" s="32"/>
    </row>
    <row r="60" ht="15.75" customHeight="1">
      <c r="A60" s="32"/>
      <c r="B60" s="32"/>
      <c r="C60" s="32"/>
      <c r="D60" s="32"/>
      <c r="E60" s="32"/>
    </row>
    <row r="61" ht="15.75" customHeight="1">
      <c r="A61" s="32"/>
      <c r="B61" s="32"/>
      <c r="C61" s="32"/>
      <c r="D61" s="32"/>
      <c r="E61" s="32"/>
    </row>
    <row r="62" ht="15.75" customHeight="1">
      <c r="A62" s="32"/>
      <c r="B62" s="32"/>
      <c r="C62" s="32"/>
      <c r="D62" s="32"/>
      <c r="E62" s="32"/>
    </row>
    <row r="63" ht="15.75" customHeight="1">
      <c r="A63" s="32"/>
      <c r="B63" s="32"/>
      <c r="C63" s="32"/>
      <c r="D63" s="32"/>
      <c r="E63" s="32"/>
    </row>
    <row r="64" ht="15.75" customHeight="1">
      <c r="A64" s="32"/>
      <c r="B64" s="32"/>
      <c r="C64" s="32"/>
      <c r="D64" s="32"/>
      <c r="E64" s="32"/>
    </row>
    <row r="65" ht="15.75" customHeight="1">
      <c r="A65" s="32"/>
      <c r="B65" s="32"/>
      <c r="C65" s="32"/>
      <c r="D65" s="32"/>
      <c r="E65" s="32"/>
    </row>
    <row r="66" ht="15.75" customHeight="1">
      <c r="A66" s="32"/>
      <c r="B66" s="32"/>
      <c r="C66" s="32"/>
      <c r="D66" s="32"/>
      <c r="E66" s="32"/>
    </row>
    <row r="67" ht="15.75" customHeight="1">
      <c r="A67" s="32"/>
      <c r="B67" s="32"/>
      <c r="C67" s="32"/>
      <c r="D67" s="32"/>
      <c r="E67" s="32"/>
    </row>
    <row r="68" ht="15.75" customHeight="1">
      <c r="A68" s="32"/>
      <c r="B68" s="32"/>
      <c r="C68" s="32"/>
      <c r="D68" s="32"/>
      <c r="E68" s="32"/>
    </row>
    <row r="69" ht="15.75" customHeight="1">
      <c r="A69" s="32"/>
      <c r="B69" s="32"/>
      <c r="C69" s="32"/>
      <c r="D69" s="32"/>
      <c r="E69" s="32"/>
    </row>
    <row r="70" ht="15.75" customHeight="1">
      <c r="A70" s="32"/>
      <c r="B70" s="32"/>
      <c r="C70" s="32"/>
      <c r="D70" s="32"/>
      <c r="E70" s="32"/>
    </row>
    <row r="71" ht="15.75" customHeight="1">
      <c r="A71" s="32"/>
      <c r="B71" s="32"/>
      <c r="C71" s="32"/>
      <c r="D71" s="32"/>
      <c r="E71" s="32"/>
    </row>
    <row r="72" ht="15.75" customHeight="1">
      <c r="A72" s="32"/>
      <c r="B72" s="32"/>
      <c r="C72" s="32"/>
      <c r="D72" s="32"/>
      <c r="E72" s="32"/>
    </row>
    <row r="73" ht="15.75" customHeight="1">
      <c r="A73" s="32"/>
      <c r="B73" s="32"/>
      <c r="C73" s="32"/>
      <c r="D73" s="32"/>
      <c r="E73" s="32"/>
    </row>
    <row r="74" ht="15.75" customHeight="1">
      <c r="A74" s="32"/>
      <c r="B74" s="32"/>
      <c r="C74" s="32"/>
      <c r="D74" s="32"/>
      <c r="E74" s="32"/>
    </row>
    <row r="75" ht="15.75" customHeight="1">
      <c r="A75" s="32"/>
      <c r="B75" s="32"/>
      <c r="C75" s="32"/>
      <c r="D75" s="32"/>
      <c r="E75" s="32"/>
    </row>
    <row r="76" ht="15.75" customHeight="1">
      <c r="A76" s="32"/>
      <c r="B76" s="32"/>
      <c r="C76" s="32"/>
      <c r="D76" s="32"/>
      <c r="E76" s="32"/>
    </row>
    <row r="77" ht="15.75" customHeight="1">
      <c r="A77" s="32"/>
      <c r="B77" s="32"/>
      <c r="C77" s="32"/>
      <c r="D77" s="32"/>
      <c r="E77" s="32"/>
    </row>
    <row r="78" ht="15.75" customHeight="1">
      <c r="A78" s="32"/>
      <c r="B78" s="32"/>
      <c r="C78" s="32"/>
      <c r="D78" s="32"/>
      <c r="E78" s="32"/>
    </row>
    <row r="79" ht="15.75" customHeight="1">
      <c r="A79" s="32"/>
      <c r="B79" s="32"/>
      <c r="C79" s="32"/>
      <c r="D79" s="32"/>
      <c r="E79" s="32"/>
    </row>
    <row r="80" ht="15.75" customHeight="1">
      <c r="A80" s="32"/>
      <c r="B80" s="32"/>
      <c r="C80" s="32"/>
      <c r="D80" s="32"/>
      <c r="E80" s="32"/>
    </row>
    <row r="81" ht="15.75" customHeight="1">
      <c r="A81" s="32"/>
      <c r="B81" s="32"/>
      <c r="C81" s="32"/>
      <c r="D81" s="32"/>
      <c r="E81" s="32"/>
    </row>
    <row r="82" ht="15.75" customHeight="1">
      <c r="A82" s="32"/>
      <c r="B82" s="32"/>
      <c r="C82" s="32"/>
      <c r="D82" s="32"/>
      <c r="E82" s="32"/>
    </row>
    <row r="83" ht="15.75" customHeight="1">
      <c r="A83" s="32"/>
      <c r="B83" s="32"/>
      <c r="C83" s="32"/>
      <c r="D83" s="32"/>
      <c r="E83" s="32"/>
    </row>
    <row r="84" ht="15.75" customHeight="1">
      <c r="A84" s="32"/>
      <c r="B84" s="32"/>
      <c r="C84" s="32"/>
      <c r="D84" s="32"/>
      <c r="E84" s="32"/>
    </row>
    <row r="85" ht="15.75" customHeight="1">
      <c r="A85" s="32"/>
      <c r="B85" s="32"/>
      <c r="C85" s="32"/>
      <c r="D85" s="32"/>
      <c r="E85" s="32"/>
    </row>
    <row r="86" ht="15.75" customHeight="1">
      <c r="A86" s="32"/>
      <c r="B86" s="32"/>
      <c r="C86" s="32"/>
      <c r="D86" s="32"/>
      <c r="E86" s="32"/>
    </row>
    <row r="87" ht="15.75" customHeight="1">
      <c r="A87" s="32"/>
      <c r="B87" s="32"/>
      <c r="C87" s="32"/>
      <c r="D87" s="32"/>
      <c r="E87" s="32"/>
    </row>
    <row r="88" ht="15.75" customHeight="1">
      <c r="A88" s="32"/>
      <c r="B88" s="32"/>
      <c r="C88" s="32"/>
      <c r="D88" s="32"/>
      <c r="E88" s="32"/>
    </row>
    <row r="89" ht="15.75" customHeight="1">
      <c r="A89" s="32"/>
      <c r="B89" s="32"/>
      <c r="C89" s="32"/>
      <c r="D89" s="32"/>
      <c r="E89" s="32"/>
    </row>
    <row r="90" ht="15.75" customHeight="1">
      <c r="A90" s="32"/>
      <c r="B90" s="32"/>
      <c r="C90" s="32"/>
      <c r="D90" s="32"/>
      <c r="E90" s="32"/>
    </row>
    <row r="91" ht="15.75" customHeight="1">
      <c r="A91" s="32"/>
      <c r="B91" s="32"/>
      <c r="C91" s="32"/>
      <c r="D91" s="32"/>
      <c r="E91" s="32"/>
    </row>
    <row r="92" ht="15.75" customHeight="1">
      <c r="A92" s="32"/>
      <c r="B92" s="32"/>
      <c r="C92" s="32"/>
      <c r="D92" s="32"/>
      <c r="E92" s="32"/>
    </row>
    <row r="93" ht="15.75" customHeight="1">
      <c r="A93" s="32"/>
      <c r="B93" s="32"/>
      <c r="C93" s="32"/>
      <c r="D93" s="32"/>
      <c r="E93" s="32"/>
    </row>
    <row r="94" ht="15.75" customHeight="1">
      <c r="A94" s="32"/>
      <c r="B94" s="32"/>
      <c r="C94" s="32"/>
      <c r="D94" s="32"/>
      <c r="E94" s="32"/>
    </row>
    <row r="95" ht="15.75" customHeight="1">
      <c r="A95" s="32"/>
      <c r="B95" s="32"/>
      <c r="C95" s="32"/>
      <c r="D95" s="32"/>
      <c r="E95" s="32"/>
    </row>
    <row r="96" ht="15.75" customHeight="1">
      <c r="A96" s="32"/>
      <c r="B96" s="32"/>
      <c r="C96" s="32"/>
      <c r="D96" s="32"/>
      <c r="E96" s="32"/>
    </row>
    <row r="97" ht="15.75" customHeight="1">
      <c r="A97" s="32"/>
      <c r="B97" s="32"/>
      <c r="C97" s="32"/>
      <c r="D97" s="32"/>
      <c r="E97" s="32"/>
    </row>
    <row r="98" ht="15.75" customHeight="1">
      <c r="A98" s="32"/>
      <c r="B98" s="32"/>
      <c r="C98" s="32"/>
      <c r="D98" s="32"/>
      <c r="E98" s="32"/>
    </row>
    <row r="99" ht="15.75" customHeight="1">
      <c r="A99" s="32"/>
      <c r="B99" s="32"/>
      <c r="C99" s="32"/>
      <c r="D99" s="32"/>
      <c r="E99" s="32"/>
    </row>
    <row r="100" ht="15.75" customHeight="1">
      <c r="A100" s="32"/>
      <c r="B100" s="32"/>
      <c r="C100" s="32"/>
      <c r="D100" s="32"/>
      <c r="E100" s="32"/>
    </row>
    <row r="101" ht="15.75" customHeight="1">
      <c r="A101" s="32"/>
      <c r="B101" s="32"/>
      <c r="C101" s="32"/>
      <c r="D101" s="32"/>
      <c r="E101" s="32"/>
    </row>
    <row r="102" ht="15.75" customHeight="1">
      <c r="A102" s="32"/>
      <c r="B102" s="32"/>
      <c r="C102" s="32"/>
      <c r="D102" s="32"/>
      <c r="E102" s="32"/>
    </row>
    <row r="103" ht="15.75" customHeight="1">
      <c r="A103" s="32"/>
      <c r="B103" s="32"/>
      <c r="C103" s="32"/>
      <c r="D103" s="32"/>
      <c r="E103" s="32"/>
    </row>
    <row r="104" ht="15.75" customHeight="1">
      <c r="A104" s="32"/>
      <c r="B104" s="32"/>
      <c r="C104" s="32"/>
      <c r="D104" s="32"/>
      <c r="E104" s="32"/>
    </row>
    <row r="105" ht="15.75" customHeight="1">
      <c r="A105" s="32"/>
      <c r="B105" s="32"/>
      <c r="C105" s="32"/>
      <c r="D105" s="32"/>
      <c r="E105" s="32"/>
    </row>
    <row r="106" ht="15.75" customHeight="1">
      <c r="A106" s="32"/>
      <c r="B106" s="32"/>
      <c r="C106" s="32"/>
      <c r="D106" s="32"/>
      <c r="E106" s="32"/>
    </row>
    <row r="107" ht="15.75" customHeight="1">
      <c r="A107" s="32"/>
      <c r="B107" s="32"/>
      <c r="C107" s="32"/>
      <c r="D107" s="32"/>
      <c r="E107" s="32"/>
    </row>
    <row r="108" ht="15.75" customHeight="1">
      <c r="A108" s="32"/>
      <c r="B108" s="32"/>
      <c r="C108" s="32"/>
      <c r="D108" s="32"/>
      <c r="E108" s="32"/>
    </row>
    <row r="109" ht="15.75" customHeight="1">
      <c r="A109" s="32"/>
      <c r="B109" s="32"/>
      <c r="C109" s="32"/>
      <c r="D109" s="32"/>
      <c r="E109" s="32"/>
    </row>
    <row r="110" ht="15.75" customHeight="1">
      <c r="A110" s="32"/>
      <c r="B110" s="32"/>
      <c r="C110" s="32"/>
      <c r="D110" s="32"/>
      <c r="E110" s="32"/>
    </row>
    <row r="111" ht="15.75" customHeight="1">
      <c r="A111" s="32"/>
      <c r="B111" s="32"/>
      <c r="C111" s="32"/>
      <c r="D111" s="32"/>
      <c r="E111" s="32"/>
    </row>
    <row r="112" ht="15.75" customHeight="1">
      <c r="A112" s="32"/>
      <c r="B112" s="32"/>
      <c r="C112" s="32"/>
      <c r="D112" s="32"/>
      <c r="E112" s="32"/>
    </row>
    <row r="113" ht="15.75" customHeight="1">
      <c r="A113" s="32"/>
      <c r="B113" s="32"/>
      <c r="C113" s="32"/>
      <c r="D113" s="32"/>
      <c r="E113" s="32"/>
    </row>
    <row r="114" ht="15.75" customHeight="1">
      <c r="A114" s="32"/>
      <c r="B114" s="32"/>
      <c r="C114" s="32"/>
      <c r="D114" s="32"/>
      <c r="E114" s="32"/>
    </row>
    <row r="115" ht="15.75" customHeight="1">
      <c r="A115" s="32"/>
      <c r="B115" s="32"/>
      <c r="C115" s="32"/>
      <c r="D115" s="32"/>
      <c r="E115" s="32"/>
    </row>
    <row r="116" ht="15.75" customHeight="1">
      <c r="A116" s="32"/>
      <c r="B116" s="32"/>
      <c r="C116" s="32"/>
      <c r="D116" s="32"/>
      <c r="E116" s="32"/>
    </row>
    <row r="117" ht="15.75" customHeight="1">
      <c r="A117" s="32"/>
      <c r="B117" s="32"/>
      <c r="C117" s="32"/>
      <c r="D117" s="32"/>
      <c r="E117" s="32"/>
    </row>
    <row r="118" ht="15.75" customHeight="1">
      <c r="A118" s="32"/>
      <c r="B118" s="32"/>
      <c r="C118" s="32"/>
      <c r="D118" s="32"/>
      <c r="E118" s="32"/>
    </row>
    <row r="119" ht="15.75" customHeight="1">
      <c r="A119" s="32"/>
      <c r="B119" s="32"/>
      <c r="C119" s="32"/>
      <c r="D119" s="32"/>
      <c r="E119" s="32"/>
    </row>
    <row r="120" ht="15.75" customHeight="1">
      <c r="A120" s="32"/>
      <c r="B120" s="32"/>
      <c r="C120" s="32"/>
      <c r="D120" s="32"/>
      <c r="E120" s="32"/>
    </row>
    <row r="121" ht="15.75" customHeight="1">
      <c r="A121" s="32"/>
      <c r="B121" s="32"/>
      <c r="C121" s="32"/>
      <c r="D121" s="32"/>
      <c r="E121" s="32"/>
    </row>
    <row r="122" ht="15.75" customHeight="1">
      <c r="A122" s="32"/>
      <c r="B122" s="32"/>
      <c r="C122" s="32"/>
      <c r="D122" s="32"/>
      <c r="E122" s="32"/>
    </row>
    <row r="123" ht="15.75" customHeight="1">
      <c r="A123" s="32"/>
      <c r="B123" s="32"/>
      <c r="C123" s="32"/>
      <c r="D123" s="32"/>
      <c r="E123" s="32"/>
    </row>
    <row r="124" ht="15.75" customHeight="1">
      <c r="A124" s="32"/>
      <c r="B124" s="32"/>
      <c r="C124" s="32"/>
      <c r="D124" s="32"/>
      <c r="E124" s="32"/>
    </row>
    <row r="125" ht="15.75" customHeight="1">
      <c r="A125" s="32"/>
      <c r="B125" s="32"/>
      <c r="C125" s="32"/>
      <c r="D125" s="32"/>
      <c r="E125" s="32"/>
    </row>
    <row r="126" ht="15.75" customHeight="1">
      <c r="A126" s="32"/>
      <c r="B126" s="32"/>
      <c r="C126" s="32"/>
      <c r="D126" s="32"/>
      <c r="E126" s="32"/>
    </row>
    <row r="127" ht="15.75" customHeight="1">
      <c r="A127" s="32"/>
      <c r="B127" s="32"/>
      <c r="C127" s="32"/>
      <c r="D127" s="32"/>
      <c r="E127" s="32"/>
    </row>
    <row r="128" ht="15.75" customHeight="1">
      <c r="A128" s="32"/>
      <c r="B128" s="32"/>
      <c r="C128" s="32"/>
      <c r="D128" s="32"/>
      <c r="E128" s="32"/>
    </row>
    <row r="129" ht="15.75" customHeight="1">
      <c r="A129" s="32"/>
      <c r="B129" s="32"/>
      <c r="C129" s="32"/>
      <c r="D129" s="32"/>
      <c r="E129" s="32"/>
    </row>
    <row r="130" ht="15.75" customHeight="1">
      <c r="A130" s="32"/>
      <c r="B130" s="32"/>
      <c r="C130" s="32"/>
      <c r="D130" s="32"/>
      <c r="E130" s="32"/>
    </row>
    <row r="131" ht="15.75" customHeight="1">
      <c r="A131" s="32"/>
      <c r="B131" s="32"/>
      <c r="C131" s="32"/>
      <c r="D131" s="32"/>
      <c r="E131" s="32"/>
    </row>
    <row r="132" ht="15.75" customHeight="1">
      <c r="A132" s="32"/>
      <c r="B132" s="32"/>
      <c r="C132" s="32"/>
      <c r="D132" s="32"/>
      <c r="E132" s="32"/>
    </row>
    <row r="133" ht="15.75" customHeight="1">
      <c r="A133" s="32"/>
      <c r="B133" s="32"/>
      <c r="C133" s="32"/>
      <c r="D133" s="32"/>
      <c r="E133" s="32"/>
    </row>
    <row r="134" ht="15.75" customHeight="1">
      <c r="A134" s="32"/>
      <c r="B134" s="32"/>
      <c r="C134" s="32"/>
      <c r="D134" s="32"/>
      <c r="E134" s="32"/>
    </row>
    <row r="135" ht="15.75" customHeight="1">
      <c r="A135" s="32"/>
      <c r="B135" s="32"/>
      <c r="C135" s="32"/>
      <c r="D135" s="32"/>
      <c r="E135" s="32"/>
    </row>
    <row r="136" ht="15.75" customHeight="1">
      <c r="A136" s="32"/>
      <c r="B136" s="32"/>
      <c r="C136" s="32"/>
      <c r="D136" s="32"/>
      <c r="E136" s="32"/>
    </row>
    <row r="137" ht="15.75" customHeight="1">
      <c r="A137" s="32"/>
      <c r="B137" s="32"/>
      <c r="C137" s="32"/>
      <c r="D137" s="32"/>
      <c r="E137" s="32"/>
    </row>
    <row r="138" ht="15.75" customHeight="1">
      <c r="A138" s="32"/>
      <c r="B138" s="32"/>
      <c r="C138" s="32"/>
      <c r="D138" s="32"/>
      <c r="E138" s="32"/>
    </row>
    <row r="139" ht="15.75" customHeight="1">
      <c r="A139" s="32"/>
      <c r="B139" s="32"/>
      <c r="C139" s="32"/>
      <c r="D139" s="32"/>
      <c r="E139" s="32"/>
    </row>
    <row r="140" ht="15.75" customHeight="1">
      <c r="A140" s="32"/>
      <c r="B140" s="32"/>
      <c r="C140" s="32"/>
      <c r="D140" s="32"/>
      <c r="E140" s="32"/>
    </row>
    <row r="141" ht="15.75" customHeight="1">
      <c r="A141" s="32"/>
      <c r="B141" s="32"/>
      <c r="C141" s="32"/>
      <c r="D141" s="32"/>
      <c r="E141" s="32"/>
    </row>
    <row r="142" ht="15.75" customHeight="1">
      <c r="A142" s="32"/>
      <c r="B142" s="32"/>
      <c r="C142" s="32"/>
      <c r="D142" s="32"/>
      <c r="E142" s="32"/>
    </row>
    <row r="143" ht="15.75" customHeight="1">
      <c r="A143" s="32"/>
      <c r="B143" s="32"/>
      <c r="C143" s="32"/>
      <c r="D143" s="32"/>
      <c r="E143" s="32"/>
    </row>
    <row r="144" ht="15.75" customHeight="1">
      <c r="A144" s="32"/>
      <c r="B144" s="32"/>
      <c r="C144" s="32"/>
      <c r="D144" s="32"/>
      <c r="E144" s="32"/>
    </row>
    <row r="145" ht="15.75" customHeight="1">
      <c r="A145" s="32"/>
      <c r="B145" s="32"/>
      <c r="C145" s="32"/>
      <c r="D145" s="32"/>
      <c r="E145" s="32"/>
    </row>
    <row r="146" ht="15.75" customHeight="1">
      <c r="A146" s="32"/>
      <c r="B146" s="32"/>
      <c r="C146" s="32"/>
      <c r="D146" s="32"/>
      <c r="E146" s="32"/>
    </row>
    <row r="147" ht="15.75" customHeight="1">
      <c r="A147" s="32"/>
      <c r="B147" s="32"/>
      <c r="C147" s="32"/>
      <c r="D147" s="32"/>
      <c r="E147" s="32"/>
    </row>
    <row r="148" ht="15.75" customHeight="1">
      <c r="A148" s="32"/>
      <c r="B148" s="32"/>
      <c r="C148" s="32"/>
      <c r="D148" s="32"/>
      <c r="E148" s="32"/>
    </row>
    <row r="149" ht="15.75" customHeight="1">
      <c r="A149" s="32"/>
      <c r="B149" s="32"/>
      <c r="C149" s="32"/>
      <c r="D149" s="32"/>
      <c r="E149" s="32"/>
    </row>
    <row r="150" ht="15.75" customHeight="1">
      <c r="A150" s="32"/>
      <c r="B150" s="32"/>
      <c r="C150" s="32"/>
      <c r="D150" s="32"/>
      <c r="E150" s="32"/>
    </row>
    <row r="151" ht="15.75" customHeight="1">
      <c r="A151" s="32"/>
      <c r="B151" s="32"/>
      <c r="C151" s="32"/>
      <c r="D151" s="32"/>
      <c r="E151" s="32"/>
    </row>
    <row r="152" ht="15.75" customHeight="1">
      <c r="A152" s="32"/>
      <c r="B152" s="32"/>
      <c r="C152" s="32"/>
      <c r="D152" s="32"/>
      <c r="E152" s="32"/>
    </row>
    <row r="153" ht="15.75" customHeight="1">
      <c r="A153" s="32"/>
      <c r="B153" s="32"/>
      <c r="C153" s="32"/>
      <c r="D153" s="32"/>
      <c r="E153" s="32"/>
    </row>
    <row r="154" ht="15.75" customHeight="1">
      <c r="A154" s="32"/>
      <c r="B154" s="32"/>
      <c r="C154" s="32"/>
      <c r="D154" s="32"/>
      <c r="E154" s="32"/>
    </row>
    <row r="155" ht="15.75" customHeight="1">
      <c r="A155" s="32"/>
      <c r="B155" s="32"/>
      <c r="C155" s="32"/>
      <c r="D155" s="32"/>
      <c r="E155" s="32"/>
    </row>
    <row r="156" ht="15.75" customHeight="1">
      <c r="A156" s="32"/>
      <c r="B156" s="32"/>
      <c r="C156" s="32"/>
      <c r="D156" s="32"/>
      <c r="E156" s="32"/>
    </row>
    <row r="157" ht="15.75" customHeight="1">
      <c r="A157" s="32"/>
      <c r="B157" s="32"/>
      <c r="C157" s="32"/>
      <c r="D157" s="32"/>
      <c r="E157" s="32"/>
    </row>
    <row r="158" ht="15.75" customHeight="1">
      <c r="A158" s="32"/>
      <c r="B158" s="32"/>
      <c r="C158" s="32"/>
      <c r="D158" s="32"/>
      <c r="E158" s="32"/>
    </row>
    <row r="159" ht="15.75" customHeight="1">
      <c r="A159" s="32"/>
      <c r="B159" s="32"/>
      <c r="C159" s="32"/>
      <c r="D159" s="32"/>
      <c r="E159" s="32"/>
    </row>
    <row r="160" ht="15.75" customHeight="1">
      <c r="A160" s="32"/>
      <c r="B160" s="32"/>
      <c r="C160" s="32"/>
      <c r="D160" s="32"/>
      <c r="E160" s="32"/>
    </row>
    <row r="161" ht="15.75" customHeight="1">
      <c r="A161" s="32"/>
      <c r="B161" s="32"/>
      <c r="C161" s="32"/>
      <c r="D161" s="32"/>
      <c r="E161" s="32"/>
    </row>
    <row r="162" ht="15.75" customHeight="1">
      <c r="A162" s="32"/>
      <c r="B162" s="32"/>
      <c r="C162" s="32"/>
      <c r="D162" s="32"/>
      <c r="E162" s="32"/>
    </row>
    <row r="163" ht="15.75" customHeight="1">
      <c r="A163" s="32"/>
      <c r="B163" s="32"/>
      <c r="C163" s="32"/>
      <c r="D163" s="32"/>
      <c r="E163" s="32"/>
    </row>
    <row r="164" ht="15.75" customHeight="1">
      <c r="A164" s="32"/>
      <c r="B164" s="32"/>
      <c r="C164" s="32"/>
      <c r="D164" s="32"/>
      <c r="E164" s="32"/>
    </row>
    <row r="165" ht="15.75" customHeight="1">
      <c r="A165" s="32"/>
      <c r="B165" s="32"/>
      <c r="C165" s="32"/>
      <c r="D165" s="32"/>
      <c r="E165" s="32"/>
    </row>
    <row r="166" ht="15.75" customHeight="1">
      <c r="A166" s="32"/>
      <c r="B166" s="32"/>
      <c r="C166" s="32"/>
      <c r="D166" s="32"/>
      <c r="E166" s="32"/>
    </row>
    <row r="167" ht="15.75" customHeight="1">
      <c r="A167" s="32"/>
      <c r="B167" s="32"/>
      <c r="C167" s="32"/>
      <c r="D167" s="32"/>
      <c r="E167" s="32"/>
    </row>
    <row r="168" ht="15.75" customHeight="1">
      <c r="A168" s="32"/>
      <c r="B168" s="32"/>
      <c r="C168" s="32"/>
      <c r="D168" s="32"/>
      <c r="E168" s="32"/>
    </row>
    <row r="169" ht="15.75" customHeight="1">
      <c r="A169" s="32"/>
      <c r="B169" s="32"/>
      <c r="C169" s="32"/>
      <c r="D169" s="32"/>
      <c r="E169" s="32"/>
    </row>
    <row r="170" ht="15.75" customHeight="1">
      <c r="A170" s="32"/>
      <c r="B170" s="32"/>
      <c r="C170" s="32"/>
      <c r="D170" s="32"/>
      <c r="E170" s="32"/>
    </row>
    <row r="171" ht="15.75" customHeight="1">
      <c r="A171" s="32"/>
      <c r="B171" s="32"/>
      <c r="C171" s="32"/>
      <c r="D171" s="32"/>
      <c r="E171" s="32"/>
    </row>
    <row r="172" ht="15.75" customHeight="1">
      <c r="A172" s="32"/>
      <c r="B172" s="32"/>
      <c r="C172" s="32"/>
      <c r="D172" s="32"/>
      <c r="E172" s="32"/>
    </row>
    <row r="173" ht="15.75" customHeight="1">
      <c r="A173" s="32"/>
      <c r="B173" s="32"/>
      <c r="C173" s="32"/>
      <c r="D173" s="32"/>
      <c r="E173" s="32"/>
    </row>
    <row r="174" ht="15.75" customHeight="1">
      <c r="A174" s="32"/>
      <c r="B174" s="32"/>
      <c r="C174" s="32"/>
      <c r="D174" s="32"/>
      <c r="E174" s="32"/>
    </row>
    <row r="175" ht="15.75" customHeight="1">
      <c r="A175" s="32"/>
      <c r="B175" s="32"/>
      <c r="C175" s="32"/>
      <c r="D175" s="32"/>
      <c r="E175" s="32"/>
    </row>
    <row r="176" ht="15.75" customHeight="1">
      <c r="A176" s="32"/>
      <c r="B176" s="32"/>
      <c r="C176" s="32"/>
      <c r="D176" s="32"/>
      <c r="E176" s="32"/>
    </row>
    <row r="177" ht="15.75" customHeight="1">
      <c r="A177" s="32"/>
      <c r="B177" s="32"/>
      <c r="C177" s="32"/>
      <c r="D177" s="32"/>
      <c r="E177" s="32"/>
    </row>
    <row r="178" ht="15.75" customHeight="1">
      <c r="A178" s="32"/>
      <c r="B178" s="32"/>
      <c r="C178" s="32"/>
      <c r="D178" s="32"/>
      <c r="E178" s="32"/>
    </row>
    <row r="179" ht="15.75" customHeight="1">
      <c r="A179" s="32"/>
      <c r="B179" s="32"/>
      <c r="C179" s="32"/>
      <c r="D179" s="32"/>
      <c r="E179" s="32"/>
    </row>
    <row r="180" ht="15.75" customHeight="1">
      <c r="A180" s="32"/>
      <c r="B180" s="32"/>
      <c r="C180" s="32"/>
      <c r="D180" s="32"/>
      <c r="E180" s="32"/>
    </row>
    <row r="181" ht="15.75" customHeight="1">
      <c r="A181" s="32"/>
      <c r="B181" s="32"/>
      <c r="C181" s="32"/>
      <c r="D181" s="32"/>
      <c r="E181" s="32"/>
    </row>
    <row r="182" ht="15.75" customHeight="1">
      <c r="A182" s="32"/>
      <c r="B182" s="32"/>
      <c r="C182" s="32"/>
      <c r="D182" s="32"/>
      <c r="E182" s="32"/>
    </row>
    <row r="183" ht="15.75" customHeight="1">
      <c r="A183" s="32"/>
      <c r="B183" s="32"/>
      <c r="C183" s="32"/>
      <c r="D183" s="32"/>
      <c r="E183" s="32"/>
    </row>
    <row r="184" ht="15.75" customHeight="1">
      <c r="A184" s="32"/>
      <c r="B184" s="32"/>
      <c r="C184" s="32"/>
      <c r="D184" s="32"/>
      <c r="E184" s="32"/>
    </row>
    <row r="185" ht="15.75" customHeight="1">
      <c r="A185" s="32"/>
      <c r="B185" s="32"/>
      <c r="C185" s="32"/>
      <c r="D185" s="32"/>
      <c r="E185" s="32"/>
    </row>
    <row r="186" ht="15.75" customHeight="1">
      <c r="A186" s="32"/>
      <c r="B186" s="32"/>
      <c r="C186" s="32"/>
      <c r="D186" s="32"/>
      <c r="E186" s="32"/>
    </row>
    <row r="187" ht="15.75" customHeight="1">
      <c r="A187" s="32"/>
      <c r="B187" s="32"/>
      <c r="C187" s="32"/>
      <c r="D187" s="32"/>
      <c r="E187" s="32"/>
    </row>
    <row r="188" ht="15.75" customHeight="1">
      <c r="A188" s="32"/>
      <c r="B188" s="32"/>
      <c r="C188" s="32"/>
      <c r="D188" s="32"/>
      <c r="E188" s="32"/>
    </row>
    <row r="189" ht="15.75" customHeight="1">
      <c r="A189" s="32"/>
      <c r="B189" s="32"/>
      <c r="C189" s="32"/>
      <c r="D189" s="32"/>
      <c r="E189" s="32"/>
    </row>
    <row r="190" ht="15.75" customHeight="1">
      <c r="A190" s="32"/>
      <c r="B190" s="32"/>
      <c r="C190" s="32"/>
      <c r="D190" s="32"/>
      <c r="E190" s="32"/>
    </row>
    <row r="191" ht="15.75" customHeight="1">
      <c r="A191" s="32"/>
      <c r="B191" s="32"/>
      <c r="C191" s="32"/>
      <c r="D191" s="32"/>
      <c r="E191" s="32"/>
    </row>
    <row r="192" ht="15.75" customHeight="1">
      <c r="A192" s="32"/>
      <c r="B192" s="32"/>
      <c r="C192" s="32"/>
      <c r="D192" s="32"/>
      <c r="E192" s="32"/>
    </row>
    <row r="193" ht="15.75" customHeight="1">
      <c r="A193" s="32"/>
      <c r="B193" s="32"/>
      <c r="C193" s="32"/>
      <c r="D193" s="32"/>
      <c r="E193" s="32"/>
    </row>
    <row r="194" ht="15.75" customHeight="1">
      <c r="A194" s="32"/>
      <c r="B194" s="32"/>
      <c r="C194" s="32"/>
      <c r="D194" s="32"/>
      <c r="E194" s="32"/>
    </row>
    <row r="195" ht="15.75" customHeight="1">
      <c r="A195" s="32"/>
      <c r="B195" s="32"/>
      <c r="C195" s="32"/>
      <c r="D195" s="32"/>
      <c r="E195" s="32"/>
    </row>
    <row r="196" ht="15.75" customHeight="1">
      <c r="A196" s="32"/>
      <c r="B196" s="32"/>
      <c r="C196" s="32"/>
      <c r="D196" s="32"/>
      <c r="E196" s="32"/>
    </row>
    <row r="197" ht="15.75" customHeight="1">
      <c r="A197" s="32"/>
      <c r="B197" s="32"/>
      <c r="C197" s="32"/>
      <c r="D197" s="32"/>
      <c r="E197" s="32"/>
    </row>
    <row r="198" ht="15.75" customHeight="1">
      <c r="A198" s="32"/>
      <c r="B198" s="32"/>
      <c r="C198" s="32"/>
      <c r="D198" s="32"/>
      <c r="E198" s="32"/>
    </row>
    <row r="199" ht="15.75" customHeight="1">
      <c r="A199" s="32"/>
      <c r="B199" s="32"/>
      <c r="C199" s="32"/>
      <c r="D199" s="32"/>
      <c r="E199" s="32"/>
    </row>
    <row r="200" ht="15.75" customHeight="1">
      <c r="A200" s="32"/>
      <c r="B200" s="32"/>
      <c r="C200" s="32"/>
      <c r="D200" s="32"/>
      <c r="E200" s="32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6.0"/>
    <col customWidth="1" min="3" max="3" width="24.0"/>
    <col customWidth="1" min="4" max="5" width="30.0"/>
    <col customWidth="1" min="6" max="6" width="26.0"/>
    <col customWidth="1" min="7" max="7" width="18.0"/>
    <col customWidth="1" min="8" max="8" width="26.0"/>
  </cols>
  <sheetData>
    <row r="1" ht="31.5" customHeight="1">
      <c r="A1" s="20" t="s">
        <v>100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1" t="s">
        <v>101</v>
      </c>
      <c r="B3" s="22"/>
      <c r="C3" s="22"/>
      <c r="D3" s="22"/>
      <c r="E3" s="22"/>
      <c r="F3" s="22"/>
      <c r="G3" s="22"/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24" t="s">
        <v>5</v>
      </c>
      <c r="B4" s="24" t="s">
        <v>102</v>
      </c>
      <c r="C4" s="24" t="s">
        <v>103</v>
      </c>
      <c r="D4" s="24" t="s">
        <v>104</v>
      </c>
      <c r="E4" s="24" t="s">
        <v>105</v>
      </c>
      <c r="F4" s="24" t="s">
        <v>106</v>
      </c>
      <c r="G4" s="24" t="s">
        <v>107</v>
      </c>
      <c r="H4" s="24" t="s">
        <v>108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25" t="s">
        <v>49</v>
      </c>
      <c r="B5" s="26">
        <f>SUMIF(Enero!$D$4:Enero!$D$103,A5,Enero!$E$4:Enero!$E$103)</f>
        <v>0</v>
      </c>
      <c r="C5" s="26">
        <f>SUMIF(Enero!$D$4:Enero!$D$103,A5,Enero!$G$4:Enero!$G$103)</f>
        <v>0</v>
      </c>
      <c r="D5" s="26">
        <f>SUMIF(Enero!$D$4:Enero!$D$103,A5,Enero!$I$4:Enero!$I$103)</f>
        <v>0</v>
      </c>
      <c r="E5" s="26">
        <f>SUMIF(Enero!$D$4:Enero!$D$103,A5,Enero!$L$4:Enero!$L$103)</f>
        <v>0</v>
      </c>
      <c r="F5" s="26">
        <f>SUMIF(Enero!$D$4:Enero!$D$103,A5,Enero!$M$4:Enero!$M$103)</f>
        <v>0</v>
      </c>
      <c r="G5" s="26">
        <f>COUNTIF(Enero!$D$4:Enero!$D$103,A5)</f>
        <v>0</v>
      </c>
      <c r="H5" s="26">
        <f t="shared" ref="H5:H11" si="1">IF(G5=0,0,B5/G5)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25" t="s">
        <v>50</v>
      </c>
      <c r="B6" s="26">
        <f>SUMIF(Enero!$D$4:Enero!$D$103,A6,Enero!$E$4:Enero!$E$103)</f>
        <v>0</v>
      </c>
      <c r="C6" s="26">
        <f>SUMIF(Enero!$D$4:Enero!$D$103,A6,Enero!$G$4:Enero!$G$103)</f>
        <v>0</v>
      </c>
      <c r="D6" s="26">
        <f>SUMIF(Enero!$D$4:Enero!$D$103,A6,Enero!$I$4:Enero!$I$103)</f>
        <v>0</v>
      </c>
      <c r="E6" s="26">
        <f>SUMIF(Enero!$D$4:Enero!$D$103,A6,Enero!$L$4:Enero!$L$103)</f>
        <v>0</v>
      </c>
      <c r="F6" s="26">
        <f>SUMIF(Enero!$D$4:Enero!$D$103,A6,Enero!$M$4:Enero!$M$103)</f>
        <v>0</v>
      </c>
      <c r="G6" s="26">
        <f>COUNTIF(Enero!$D$4:Enero!$D$103,A6)</f>
        <v>0</v>
      </c>
      <c r="H6" s="26">
        <f t="shared" si="1"/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5" t="s">
        <v>51</v>
      </c>
      <c r="B7" s="26">
        <f>SUMIF(Enero!$D$4:Enero!$D$103,A7,Enero!$E$4:Enero!$E$103)</f>
        <v>0</v>
      </c>
      <c r="C7" s="26">
        <f>SUMIF(Enero!$D$4:Enero!$D$103,A7,Enero!$G$4:Enero!$G$103)</f>
        <v>0</v>
      </c>
      <c r="D7" s="26">
        <f>SUMIF(Enero!$D$4:Enero!$D$103,A7,Enero!$I$4:Enero!$I$103)</f>
        <v>0</v>
      </c>
      <c r="E7" s="26">
        <f>SUMIF(Enero!$D$4:Enero!$D$103,A7,Enero!$L$4:Enero!$L$103)</f>
        <v>0</v>
      </c>
      <c r="F7" s="26">
        <f>SUMIF(Enero!$D$4:Enero!$D$103,A7,Enero!$M$4:Enero!$M$103)</f>
        <v>0</v>
      </c>
      <c r="G7" s="26">
        <f>COUNTIF(Enero!$D$4:Enero!$D$103,A7)</f>
        <v>0</v>
      </c>
      <c r="H7" s="26">
        <f t="shared" si="1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25" t="s">
        <v>52</v>
      </c>
      <c r="B8" s="26">
        <f>SUMIF(Enero!$D$4:Enero!$D$103,A8,Enero!$E$4:Enero!$E$103)</f>
        <v>0</v>
      </c>
      <c r="C8" s="26">
        <f>SUMIF(Enero!$D$4:Enero!$D$103,A8,Enero!$G$4:Enero!$G$103)</f>
        <v>0</v>
      </c>
      <c r="D8" s="26">
        <f>SUMIF(Enero!$D$4:Enero!$D$103,A8,Enero!$I$4:Enero!$I$103)</f>
        <v>0</v>
      </c>
      <c r="E8" s="26">
        <f>SUMIF(Enero!$D$4:Enero!$D$103,A8,Enero!$L$4:Enero!$L$103)</f>
        <v>0</v>
      </c>
      <c r="F8" s="26">
        <f>SUMIF(Enero!$D$4:Enero!$D$103,A8,Enero!$M$4:Enero!$M$103)</f>
        <v>0</v>
      </c>
      <c r="G8" s="26">
        <f>COUNTIF(Enero!$D$4:Enero!$D$103,A8)</f>
        <v>0</v>
      </c>
      <c r="H8" s="26">
        <f t="shared" si="1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25" t="s">
        <v>53</v>
      </c>
      <c r="B9" s="26">
        <f>SUMIF(Enero!$D$4:Enero!$D$103,A9,Enero!$E$4:Enero!$E$103)</f>
        <v>0</v>
      </c>
      <c r="C9" s="26">
        <f>SUMIF(Enero!$D$4:Enero!$D$103,A9,Enero!$G$4:Enero!$G$103)</f>
        <v>0</v>
      </c>
      <c r="D9" s="26">
        <f>SUMIF(Enero!$D$4:Enero!$D$103,A9,Enero!$I$4:Enero!$I$103)</f>
        <v>0</v>
      </c>
      <c r="E9" s="26">
        <f>SUMIF(Enero!$D$4:Enero!$D$103,A9,Enero!$L$4:Enero!$L$103)</f>
        <v>0</v>
      </c>
      <c r="F9" s="26">
        <f>SUMIF(Enero!$D$4:Enero!$D$103,A9,Enero!$M$4:Enero!$M$103)</f>
        <v>0</v>
      </c>
      <c r="G9" s="26">
        <f>COUNTIF(Enero!$D$4:Enero!$D$103,A9)</f>
        <v>0</v>
      </c>
      <c r="H9" s="26">
        <f t="shared" si="1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25" t="s">
        <v>109</v>
      </c>
      <c r="B10" s="26">
        <f>SUMIF(Enero!$D$4:Enero!$D$103,A10,Enero!$E$4:Enero!$E$103)</f>
        <v>0</v>
      </c>
      <c r="C10" s="26">
        <f>SUMIF(Enero!$D$4:Enero!$D$103,A10,Enero!$G$4:Enero!$G$103)</f>
        <v>0</v>
      </c>
      <c r="D10" s="26">
        <f>SUMIF(Enero!$D$4:Enero!$D$103,A10,Enero!$I$4:Enero!$I$103)</f>
        <v>0</v>
      </c>
      <c r="E10" s="26">
        <f>SUMIF(Enero!$D$4:Enero!$D$103,A10,Enero!$L$4:Enero!$L$103)</f>
        <v>0</v>
      </c>
      <c r="F10" s="26">
        <f>SUMIF(Enero!$D$4:Enero!$D$103,A10,Enero!$M$4:Enero!$M$103)</f>
        <v>0</v>
      </c>
      <c r="G10" s="26">
        <f>COUNTIF(Enero!$D$4:Enero!$D$103,A10)</f>
        <v>0</v>
      </c>
      <c r="H10" s="26">
        <f t="shared" si="1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25" t="s">
        <v>110</v>
      </c>
      <c r="B11" s="26">
        <f>SUMIF(Enero!$D$4:Enero!$D$103,A11,Enero!$E$4:Enero!$E$103)</f>
        <v>0</v>
      </c>
      <c r="C11" s="26">
        <f>SUMIF(Enero!$D$4:Enero!$D$103,A11,Enero!$G$4:Enero!$G$103)</f>
        <v>0</v>
      </c>
      <c r="D11" s="26">
        <f>SUMIF(Enero!$D$4:Enero!$D$103,A11,Enero!$I$4:Enero!$I$103)</f>
        <v>0</v>
      </c>
      <c r="E11" s="26">
        <f>SUMIF(Enero!$D$4:Enero!$D$103,A11,Enero!$L$4:Enero!$L$103)</f>
        <v>0</v>
      </c>
      <c r="F11" s="26">
        <f>SUMIF(Enero!$D$4:Enero!$D$103,A11,Enero!$M$4:Enero!$M$103)</f>
        <v>0</v>
      </c>
      <c r="G11" s="26">
        <f>COUNTIF(Enero!$D$4:Enero!$D$103,A11)</f>
        <v>0</v>
      </c>
      <c r="H11" s="26">
        <f t="shared" si="1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25" t="s">
        <v>111</v>
      </c>
      <c r="B12" s="26">
        <f t="shared" ref="B12:H12" si="2">SUM(B5:B11)</f>
        <v>0</v>
      </c>
      <c r="C12" s="26">
        <f t="shared" si="2"/>
        <v>0</v>
      </c>
      <c r="D12" s="26">
        <f t="shared" si="2"/>
        <v>0</v>
      </c>
      <c r="E12" s="26">
        <f t="shared" si="2"/>
        <v>0</v>
      </c>
      <c r="F12" s="26">
        <f t="shared" si="2"/>
        <v>0</v>
      </c>
      <c r="G12" s="26">
        <f t="shared" si="2"/>
        <v>0</v>
      </c>
      <c r="H12" s="26">
        <f t="shared" si="2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1" t="s">
        <v>112</v>
      </c>
      <c r="B15" s="22"/>
      <c r="C15" s="22"/>
      <c r="D15" s="22"/>
      <c r="E15" s="22"/>
      <c r="F15" s="22"/>
      <c r="G15" s="22"/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24" t="s">
        <v>5</v>
      </c>
      <c r="B16" s="24" t="s">
        <v>102</v>
      </c>
      <c r="C16" s="24" t="s">
        <v>103</v>
      </c>
      <c r="D16" s="24" t="s">
        <v>104</v>
      </c>
      <c r="E16" s="24" t="s">
        <v>105</v>
      </c>
      <c r="F16" s="24" t="s">
        <v>106</v>
      </c>
      <c r="G16" s="24" t="s">
        <v>107</v>
      </c>
      <c r="H16" s="24" t="s">
        <v>108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25" t="s">
        <v>49</v>
      </c>
      <c r="B17" s="26">
        <f>SUMIF(Febrero!$D$4:Febrero!$D$103,A17,Febrero!$E$4:Febrero!$E$103)</f>
        <v>175800</v>
      </c>
      <c r="C17" s="26">
        <f>SUMIF(Febrero!$D$4:Febrero!$D$103,A17,Febrero!$G$4:Febrero!$G$103)</f>
        <v>0</v>
      </c>
      <c r="D17" s="26">
        <f>SUMIF(Febrero!$D$4:Febrero!$D$103,A17,Febrero!$I$4:Febrero!$I$103)</f>
        <v>0</v>
      </c>
      <c r="E17" s="26">
        <f>SUMIF(Febrero!$D$4:Febrero!$D$103,A17,Febrero!$L$4:Febrero!$L$103)</f>
        <v>12306</v>
      </c>
      <c r="F17" s="26">
        <f>SUMIF(Febrero!$D$4:Febrero!$D$103,A17,Febrero!$M$4:Febrero!$M$103)</f>
        <v>163494</v>
      </c>
      <c r="G17" s="26">
        <f>COUNTIF(Febrero!$D$4:Febrero!$D$103,A17)</f>
        <v>5</v>
      </c>
      <c r="H17" s="26">
        <f t="shared" ref="H17:H23" si="3">IF(G17=0,0,B17/G17)</f>
        <v>35160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25" t="s">
        <v>50</v>
      </c>
      <c r="B18" s="26">
        <f>SUMIF(Febrero!$D$4:Febrero!$D$103,A18,Febrero!$E$4:Febrero!$E$103)</f>
        <v>1055800</v>
      </c>
      <c r="C18" s="26">
        <f>SUMIF(Febrero!$D$4:Febrero!$D$103,A18,Febrero!$G$4:Febrero!$G$103)</f>
        <v>0</v>
      </c>
      <c r="D18" s="26">
        <f>SUMIF(Febrero!$D$4:Febrero!$D$103,A18,Febrero!$I$4:Febrero!$I$103)</f>
        <v>0</v>
      </c>
      <c r="E18" s="26">
        <f>SUMIF(Febrero!$D$4:Febrero!$D$103,A18,Febrero!$L$4:Febrero!$L$103)</f>
        <v>63756</v>
      </c>
      <c r="F18" s="26">
        <f>SUMIF(Febrero!$D$4:Febrero!$D$103,A18,Febrero!$M$4:Febrero!$M$103)</f>
        <v>992044</v>
      </c>
      <c r="G18" s="26">
        <f>COUNTIF(Febrero!$D$4:Febrero!$D$103,A18)</f>
        <v>27</v>
      </c>
      <c r="H18" s="26">
        <f t="shared" si="3"/>
        <v>39103.7037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25" t="s">
        <v>51</v>
      </c>
      <c r="B19" s="26">
        <f>SUMIF(Febrero!$D$4:Febrero!$D$103,A19,Febrero!$E$4:Febrero!$E$103)</f>
        <v>0</v>
      </c>
      <c r="C19" s="26">
        <f>SUMIF(Febrero!$D$4:Febrero!$D$103,A19,Febrero!$G$4:Febrero!$G$103)</f>
        <v>0</v>
      </c>
      <c r="D19" s="26">
        <f>SUMIF(Febrero!$D$4:Febrero!$D$103,A19,Febrero!$I$4:Febrero!$I$103)</f>
        <v>0</v>
      </c>
      <c r="E19" s="26">
        <f>SUMIF(Febrero!$D$4:Febrero!$D$103,A19,Febrero!$L$4:Febrero!$L$103)</f>
        <v>0</v>
      </c>
      <c r="F19" s="26">
        <f>SUMIF(Febrero!$D$4:Febrero!$D$103,A19,Febrero!$M$4:Febrero!$M$103)</f>
        <v>0</v>
      </c>
      <c r="G19" s="26">
        <f>COUNTIF(Febrero!$D$4:Febrero!$D$103,A19)</f>
        <v>0</v>
      </c>
      <c r="H19" s="26">
        <f t="shared" si="3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25" t="s">
        <v>52</v>
      </c>
      <c r="B20" s="26">
        <f>SUMIF(Febrero!$D$4:Febrero!$D$103,A20,Febrero!$E$4:Febrero!$E$103)</f>
        <v>0</v>
      </c>
      <c r="C20" s="26">
        <f>SUMIF(Febrero!$D$4:Febrero!$D$103,A20,Febrero!$G$4:Febrero!$G$103)</f>
        <v>0</v>
      </c>
      <c r="D20" s="26">
        <f>SUMIF(Febrero!$D$4:Febrero!$D$103,A20,Febrero!$I$4:Febrero!$I$103)</f>
        <v>0</v>
      </c>
      <c r="E20" s="26">
        <f>SUMIF(Febrero!$D$4:Febrero!$D$103,A20,Febrero!$L$4:Febrero!$L$103)</f>
        <v>0</v>
      </c>
      <c r="F20" s="26">
        <f>SUMIF(Febrero!$D$4:Febrero!$D$103,A20,Febrero!$M$4:Febrero!$M$103)</f>
        <v>0</v>
      </c>
      <c r="G20" s="26">
        <f>COUNTIF(Febrero!$D$4:Febrero!$D$103,A20)</f>
        <v>0</v>
      </c>
      <c r="H20" s="26">
        <f t="shared" si="3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25" t="s">
        <v>53</v>
      </c>
      <c r="B21" s="26">
        <f>SUMIF(Febrero!$D$4:Febrero!$D$103,A21,Febrero!$E$4:Febrero!$E$103)</f>
        <v>733000</v>
      </c>
      <c r="C21" s="26">
        <f>SUMIF(Febrero!$D$4:Febrero!$D$103,A21,Febrero!$G$4:Febrero!$G$103)</f>
        <v>8781.512605</v>
      </c>
      <c r="D21" s="26">
        <f>SUMIF(Febrero!$D$4:Febrero!$D$103,A21,Febrero!$I$4:Febrero!$I$103)</f>
        <v>1512.5</v>
      </c>
      <c r="E21" s="26">
        <f>SUMIF(Febrero!$D$4:Febrero!$D$103,A21,Febrero!$L$4:Febrero!$L$103)</f>
        <v>23935.29937</v>
      </c>
      <c r="F21" s="26">
        <f>SUMIF(Febrero!$D$4:Febrero!$D$103,A21,Febrero!$M$4:Febrero!$M$103)</f>
        <v>698770.688</v>
      </c>
      <c r="G21" s="26">
        <f>COUNTIF(Febrero!$D$4:Febrero!$D$103,A21)</f>
        <v>12</v>
      </c>
      <c r="H21" s="26">
        <f t="shared" si="3"/>
        <v>61083.33333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25" t="s">
        <v>109</v>
      </c>
      <c r="B22" s="26">
        <f>SUMIF(Febrero!$D$4:Febrero!$D$103,A22,Febrero!$E$4:Febrero!$E$103)</f>
        <v>737000</v>
      </c>
      <c r="C22" s="26">
        <f>SUMIF(Febrero!$D$4:Febrero!$D$103,A22,Febrero!$G$4:Febrero!$G$103)</f>
        <v>0</v>
      </c>
      <c r="D22" s="26">
        <f>SUMIF(Febrero!$D$4:Febrero!$D$103,A22,Febrero!$I$4:Febrero!$I$103)</f>
        <v>0</v>
      </c>
      <c r="E22" s="26">
        <f>SUMIF(Febrero!$D$4:Febrero!$D$103,A22,Febrero!$L$4:Febrero!$L$103)</f>
        <v>45290</v>
      </c>
      <c r="F22" s="26">
        <f>SUMIF(Febrero!$D$4:Febrero!$D$103,A22,Febrero!$M$4:Febrero!$M$103)</f>
        <v>691710</v>
      </c>
      <c r="G22" s="26">
        <f>COUNTIF(Febrero!$D$4:Febrero!$D$103,A22)</f>
        <v>15</v>
      </c>
      <c r="H22" s="26">
        <f t="shared" si="3"/>
        <v>49133.33333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25" t="s">
        <v>110</v>
      </c>
      <c r="B23" s="26">
        <f>SUMIF(Febrero!$D$4:Febrero!$D$103,A23,Febrero!$E$4:Febrero!$E$103)</f>
        <v>0</v>
      </c>
      <c r="C23" s="26">
        <f>SUMIF(Febrero!$D$4:Febrero!$D$103,A23,Febrero!$G$4:Febrero!$G$103)</f>
        <v>0</v>
      </c>
      <c r="D23" s="26">
        <f>SUMIF(Febrero!$D$4:Febrero!$D$103,A23,Febrero!$I$4:Febrero!$I$103)</f>
        <v>0</v>
      </c>
      <c r="E23" s="26">
        <f>SUMIF(Febrero!$D$4:Febrero!$D$103,A23,Febrero!$L$4:Febrero!$L$103)</f>
        <v>0</v>
      </c>
      <c r="F23" s="26">
        <f>SUMIF(Febrero!$D$4:Febrero!$D$103,A23,Febrero!$M$4:Febrero!$M$103)</f>
        <v>0</v>
      </c>
      <c r="G23" s="26">
        <f>COUNTIF(Febrero!$D$4:Febrero!$D$103,A23)</f>
        <v>0</v>
      </c>
      <c r="H23" s="26">
        <f t="shared" si="3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25" t="s">
        <v>111</v>
      </c>
      <c r="B24" s="26">
        <f t="shared" ref="B24:H24" si="4">SUM(B17:B23)</f>
        <v>2701600</v>
      </c>
      <c r="C24" s="26">
        <f t="shared" si="4"/>
        <v>8781.512605</v>
      </c>
      <c r="D24" s="26">
        <f t="shared" si="4"/>
        <v>1512.5</v>
      </c>
      <c r="E24" s="26">
        <f t="shared" si="4"/>
        <v>145287.2994</v>
      </c>
      <c r="F24" s="26">
        <f t="shared" si="4"/>
        <v>2546018.688</v>
      </c>
      <c r="G24" s="26">
        <f t="shared" si="4"/>
        <v>59</v>
      </c>
      <c r="H24" s="26">
        <f t="shared" si="4"/>
        <v>184480.3704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1" t="s">
        <v>113</v>
      </c>
      <c r="B27" s="22"/>
      <c r="C27" s="22"/>
      <c r="D27" s="22"/>
      <c r="E27" s="22"/>
      <c r="F27" s="22"/>
      <c r="G27" s="22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24" t="s">
        <v>5</v>
      </c>
      <c r="B28" s="24" t="s">
        <v>102</v>
      </c>
      <c r="C28" s="24" t="s">
        <v>103</v>
      </c>
      <c r="D28" s="24" t="s">
        <v>104</v>
      </c>
      <c r="E28" s="24" t="s">
        <v>105</v>
      </c>
      <c r="F28" s="24" t="s">
        <v>106</v>
      </c>
      <c r="G28" s="24" t="s">
        <v>107</v>
      </c>
      <c r="H28" s="24" t="s">
        <v>108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25" t="s">
        <v>49</v>
      </c>
      <c r="B29" s="26">
        <f>SUMIF(Marzo!$D$4:Marzo!$D$103,A29,Marzo!$E$4:Marzo!$E$103)</f>
        <v>55000</v>
      </c>
      <c r="C29" s="26">
        <f>SUMIF(Marzo!$D$4:Marzo!$D$103,A29,Marzo!$G$4:Marzo!$G$103)</f>
        <v>5588.235294</v>
      </c>
      <c r="D29" s="26">
        <f>SUMIF(Marzo!$D$4:Marzo!$D$103,A29,Marzo!$I$4:Marzo!$I$103)</f>
        <v>962.5</v>
      </c>
      <c r="E29" s="26">
        <f>SUMIF(Marzo!$D$4:Marzo!$D$103,A29,Marzo!$L$4:Marzo!$L$103)</f>
        <v>1422.463235</v>
      </c>
      <c r="F29" s="26">
        <f>SUMIF(Marzo!$D$4:Marzo!$D$103,A29,Marzo!$M$4:Marzo!$M$103)</f>
        <v>47026.80147</v>
      </c>
      <c r="G29" s="26">
        <f>COUNTIF(Marzo!$D$4:Marzo!$D$103,A29)</f>
        <v>2</v>
      </c>
      <c r="H29" s="26">
        <f t="shared" ref="H29:H35" si="5">IF(G29=0,0,B29/G29)</f>
        <v>27500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25" t="s">
        <v>50</v>
      </c>
      <c r="B30" s="26">
        <f>SUMIF(Marzo!$D$4:Marzo!$D$103,A30,Marzo!$E$4:Marzo!$E$103)</f>
        <v>7355000</v>
      </c>
      <c r="C30" s="26">
        <f>SUMIF(Marzo!$D$4:Marzo!$D$103,A30,Marzo!$G$4:Marzo!$G$103)</f>
        <v>11176.47059</v>
      </c>
      <c r="D30" s="26">
        <f>SUMIF(Marzo!$D$4:Marzo!$D$103,A30,Marzo!$I$4:Marzo!$I$103)</f>
        <v>1925</v>
      </c>
      <c r="E30" s="26">
        <f>SUMIF(Marzo!$D$4:Marzo!$D$103,A30,Marzo!$L$4:Marzo!$L$103)</f>
        <v>407794.9265</v>
      </c>
      <c r="F30" s="26">
        <f>SUMIF(Marzo!$D$4:Marzo!$D$103,A30,Marzo!$M$4:Marzo!$M$103)</f>
        <v>6889103.603</v>
      </c>
      <c r="G30" s="26">
        <f>COUNTIF(Marzo!$D$4:Marzo!$D$103,A30)</f>
        <v>62</v>
      </c>
      <c r="H30" s="26">
        <f t="shared" si="5"/>
        <v>118629.0323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25" t="s">
        <v>51</v>
      </c>
      <c r="B31" s="26">
        <f>SUMIF(Marzo!$D$4:Marzo!$D$103,A31,Marzo!$E$4:Marzo!$E$103)</f>
        <v>0</v>
      </c>
      <c r="C31" s="26">
        <f>SUMIF(Marzo!$D$4:Marzo!$D$103,A31,Marzo!$G$4:Marzo!$G$103)</f>
        <v>0</v>
      </c>
      <c r="D31" s="26">
        <f>SUMIF(Marzo!$D$4:Marzo!$D$103,A31,Marzo!$I$4:Marzo!$I$103)</f>
        <v>0</v>
      </c>
      <c r="E31" s="26">
        <f>SUMIF(Marzo!$D$4:Marzo!$D$103,A31,Marzo!$L$4:Marzo!$L$103)</f>
        <v>0</v>
      </c>
      <c r="F31" s="26">
        <f>SUMIF(Marzo!$D$4:Marzo!$D$103,A31,Marzo!$M$4:Marzo!$M$103)</f>
        <v>0</v>
      </c>
      <c r="G31" s="26">
        <f>COUNTIF(Marzo!$D$4:Marzo!$D$103,A31)</f>
        <v>0</v>
      </c>
      <c r="H31" s="26">
        <f t="shared" si="5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25" t="s">
        <v>52</v>
      </c>
      <c r="B32" s="26">
        <f>SUMIF(Marzo!$D$4:Marzo!$D$103,A32,Marzo!$E$4:Marzo!$E$103)</f>
        <v>0</v>
      </c>
      <c r="C32" s="26">
        <f>SUMIF(Marzo!$D$4:Marzo!$D$103,A32,Marzo!$G$4:Marzo!$G$103)</f>
        <v>0</v>
      </c>
      <c r="D32" s="26">
        <f>SUMIF(Marzo!$D$4:Marzo!$D$103,A32,Marzo!$I$4:Marzo!$I$103)</f>
        <v>0</v>
      </c>
      <c r="E32" s="26">
        <f>SUMIF(Marzo!$D$4:Marzo!$D$103,A32,Marzo!$L$4:Marzo!$L$103)</f>
        <v>0</v>
      </c>
      <c r="F32" s="26">
        <f>SUMIF(Marzo!$D$4:Marzo!$D$103,A32,Marzo!$M$4:Marzo!$M$103)</f>
        <v>0</v>
      </c>
      <c r="G32" s="26">
        <f>COUNTIF(Marzo!$D$4:Marzo!$D$103,A32)</f>
        <v>0</v>
      </c>
      <c r="H32" s="26">
        <f t="shared" si="5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25" t="s">
        <v>53</v>
      </c>
      <c r="B33" s="26">
        <f>SUMIF(Marzo!$D$4:Marzo!$D$103,A33,Marzo!$E$4:Marzo!$E$103)</f>
        <v>1525000</v>
      </c>
      <c r="C33" s="26">
        <f>SUMIF(Marzo!$D$4:Marzo!$D$103,A33,Marzo!$G$4:Marzo!$G$103)</f>
        <v>9579.831933</v>
      </c>
      <c r="D33" s="26">
        <f>SUMIF(Marzo!$D$4:Marzo!$D$103,A33,Marzo!$I$4:Marzo!$I$103)</f>
        <v>1650</v>
      </c>
      <c r="E33" s="26">
        <f>SUMIF(Marzo!$D$4:Marzo!$D$103,A33,Marzo!$L$4:Marzo!$L$103)</f>
        <v>92388.5084</v>
      </c>
      <c r="F33" s="26">
        <f>SUMIF(Marzo!$D$4:Marzo!$D$103,A33,Marzo!$M$4:Marzo!$M$103)</f>
        <v>1421381.66</v>
      </c>
      <c r="G33" s="26">
        <f>COUNTIF(Marzo!$D$4:Marzo!$D$103,A33)</f>
        <v>14</v>
      </c>
      <c r="H33" s="26">
        <f t="shared" si="5"/>
        <v>108928.5714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25" t="s">
        <v>109</v>
      </c>
      <c r="B34" s="26">
        <f>SUMIF(Marzo!$D$4:Marzo!$D$103,A34,Marzo!$E$4:Marzo!$E$103)</f>
        <v>590000</v>
      </c>
      <c r="C34" s="26">
        <f>SUMIF(Marzo!$D$4:Marzo!$D$103,A34,Marzo!$G$4:Marzo!$G$103)</f>
        <v>0</v>
      </c>
      <c r="D34" s="26">
        <f>SUMIF(Marzo!$D$4:Marzo!$D$103,A34,Marzo!$I$4:Marzo!$I$103)</f>
        <v>0</v>
      </c>
      <c r="E34" s="26">
        <f>SUMIF(Marzo!$D$4:Marzo!$D$103,A34,Marzo!$L$4:Marzo!$L$103)</f>
        <v>35700</v>
      </c>
      <c r="F34" s="26">
        <f>SUMIF(Marzo!$D$4:Marzo!$D$103,A34,Marzo!$M$4:Marzo!$M$103)</f>
        <v>554300</v>
      </c>
      <c r="G34" s="26">
        <f>COUNTIF(Marzo!$D$4:Marzo!$D$103,A34)</f>
        <v>14</v>
      </c>
      <c r="H34" s="26">
        <f t="shared" si="5"/>
        <v>42142.85714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25" t="s">
        <v>110</v>
      </c>
      <c r="B35" s="26">
        <f>SUMIF(Marzo!$D$4:Marzo!$D$103,A35,Marzo!$E$4:Marzo!$E$103)</f>
        <v>0</v>
      </c>
      <c r="C35" s="26">
        <f>SUMIF(Marzo!$D$4:Marzo!$D$103,A35,Marzo!$G$4:Marzo!$G$103)</f>
        <v>0</v>
      </c>
      <c r="D35" s="26">
        <f>SUMIF(Marzo!$D$4:Marzo!$D$103,A35,Marzo!$I$4:Marzo!$I$103)</f>
        <v>0</v>
      </c>
      <c r="E35" s="26">
        <f>SUMIF(Marzo!$D$4:Marzo!$D$103,A35,Marzo!$L$4:Marzo!$L$103)</f>
        <v>0</v>
      </c>
      <c r="F35" s="26">
        <f>SUMIF(Marzo!$D$4:Marzo!$D$103,A35,Marzo!$M$4:Marzo!$M$103)</f>
        <v>0</v>
      </c>
      <c r="G35" s="26">
        <f>COUNTIF(Marzo!$D$4:Marzo!$D$103,A35)</f>
        <v>0</v>
      </c>
      <c r="H35" s="26">
        <f t="shared" si="5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25" t="s">
        <v>111</v>
      </c>
      <c r="B36" s="26">
        <f t="shared" ref="B36:H36" si="6">SUM(B29:B35)</f>
        <v>9525000</v>
      </c>
      <c r="C36" s="26">
        <f t="shared" si="6"/>
        <v>26344.53782</v>
      </c>
      <c r="D36" s="26">
        <f t="shared" si="6"/>
        <v>4537.5</v>
      </c>
      <c r="E36" s="26">
        <f t="shared" si="6"/>
        <v>537305.8981</v>
      </c>
      <c r="F36" s="26">
        <f t="shared" si="6"/>
        <v>8911812.064</v>
      </c>
      <c r="G36" s="26">
        <f t="shared" si="6"/>
        <v>92</v>
      </c>
      <c r="H36" s="26">
        <f t="shared" si="6"/>
        <v>297200.4608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1" t="s">
        <v>114</v>
      </c>
      <c r="B39" s="22"/>
      <c r="C39" s="22"/>
      <c r="D39" s="22"/>
      <c r="E39" s="22"/>
      <c r="F39" s="22"/>
      <c r="G39" s="22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24" t="s">
        <v>5</v>
      </c>
      <c r="B40" s="24" t="s">
        <v>102</v>
      </c>
      <c r="C40" s="24" t="s">
        <v>103</v>
      </c>
      <c r="D40" s="24" t="s">
        <v>104</v>
      </c>
      <c r="E40" s="24" t="s">
        <v>105</v>
      </c>
      <c r="F40" s="24" t="s">
        <v>106</v>
      </c>
      <c r="G40" s="24" t="s">
        <v>107</v>
      </c>
      <c r="H40" s="24" t="s">
        <v>108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25" t="s">
        <v>49</v>
      </c>
      <c r="B41" s="26">
        <f>SUMIF(Abril!$D$4:Abril!$D$103,A41,Abril!$E$4:Abril!$E$103)</f>
        <v>160000</v>
      </c>
      <c r="C41" s="26">
        <f>SUMIF(Abril!$D$4:Abril!$D$103,A41,Abril!$G$4:Abril!$G$103)</f>
        <v>12773.10924</v>
      </c>
      <c r="D41" s="26">
        <f>SUMIF(Abril!$D$4:Abril!$D$103,A41,Abril!$I$4:Abril!$I$103)</f>
        <v>2360</v>
      </c>
      <c r="E41" s="26">
        <f>SUMIF(Abril!$D$4:Abril!$D$103,A41,Abril!$L$4:Abril!$L$103)</f>
        <v>0</v>
      </c>
      <c r="F41" s="26">
        <f>SUMIF(Abril!$D$4:Abril!$D$103,A41,Abril!$M$4:Abril!$M$103)</f>
        <v>144866.8908</v>
      </c>
      <c r="G41" s="26">
        <f>COUNTIF(Abril!$D$4:Abril!$D$103,A41)</f>
        <v>3</v>
      </c>
      <c r="H41" s="26">
        <f t="shared" ref="H41:H47" si="7">IF(G41=0,0,B41/G41)</f>
        <v>53333.33333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25" t="s">
        <v>50</v>
      </c>
      <c r="B42" s="26">
        <f>SUMIF(Abril!$D$4:Abril!$D$103,A42,Abril!$E$4:Abril!$E$103)</f>
        <v>1878000</v>
      </c>
      <c r="C42" s="26">
        <f>SUMIF(Abril!$D$4:Abril!$D$103,A42,Abril!$G$4:Abril!$G$103)</f>
        <v>31932.77311</v>
      </c>
      <c r="D42" s="26">
        <f>SUMIF(Abril!$D$4:Abril!$D$103,A42,Abril!$I$4:Abril!$I$103)</f>
        <v>5740</v>
      </c>
      <c r="E42" s="26">
        <f>SUMIF(Abril!$D$4:Abril!$D$103,A42,Abril!$L$4:Abril!$L$103)</f>
        <v>101216.3613</v>
      </c>
      <c r="F42" s="26">
        <f>SUMIF(Abril!$D$4:Abril!$D$103,A42,Abril!$M$4:Abril!$M$103)</f>
        <v>1739110.866</v>
      </c>
      <c r="G42" s="26">
        <f>COUNTIF(Abril!$D$4:Abril!$D$103,A42)</f>
        <v>23</v>
      </c>
      <c r="H42" s="26">
        <f t="shared" si="7"/>
        <v>81652.17391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25" t="s">
        <v>51</v>
      </c>
      <c r="B43" s="26">
        <f>SUMIF(Abril!$D$4:Abril!$D$103,A43,Abril!$E$4:Abril!$E$103)</f>
        <v>0</v>
      </c>
      <c r="C43" s="26">
        <f>SUMIF(Abril!$D$4:Abril!$D$103,A43,Abril!$G$4:Abril!$G$103)</f>
        <v>0</v>
      </c>
      <c r="D43" s="26">
        <f>SUMIF(Abril!$D$4:Abril!$D$103,A43,Abril!$I$4:Abril!$I$103)</f>
        <v>0</v>
      </c>
      <c r="E43" s="26">
        <f>SUMIF(Abril!$D$4:Abril!$D$103,A43,Abril!$L$4:Abril!$L$103)</f>
        <v>0</v>
      </c>
      <c r="F43" s="26">
        <f>SUMIF(Abril!$D$4:Abril!$D$103,A43,Abril!$M$4:Abril!$M$103)</f>
        <v>0</v>
      </c>
      <c r="G43" s="26">
        <f>COUNTIF(Abril!$D$4:Abril!$D$103,A43)</f>
        <v>0</v>
      </c>
      <c r="H43" s="26">
        <f t="shared" si="7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25" t="s">
        <v>52</v>
      </c>
      <c r="B44" s="26">
        <f>SUMIF(Abril!$D$4:Abril!$D$103,A44,Abril!$E$4:Abril!$E$103)</f>
        <v>0</v>
      </c>
      <c r="C44" s="26">
        <f>SUMIF(Abril!$D$4:Abril!$D$103,A44,Abril!$G$4:Abril!$G$103)</f>
        <v>0</v>
      </c>
      <c r="D44" s="26">
        <f>SUMIF(Abril!$D$4:Abril!$D$103,A44,Abril!$I$4:Abril!$I$103)</f>
        <v>0</v>
      </c>
      <c r="E44" s="26">
        <f>SUMIF(Abril!$D$4:Abril!$D$103,A44,Abril!$L$4:Abril!$L$103)</f>
        <v>0</v>
      </c>
      <c r="F44" s="26">
        <f>SUMIF(Abril!$D$4:Abril!$D$103,A44,Abril!$M$4:Abril!$M$103)</f>
        <v>0</v>
      </c>
      <c r="G44" s="26">
        <f>COUNTIF(Abril!$D$4:Abril!$D$103,A44)</f>
        <v>0</v>
      </c>
      <c r="H44" s="26">
        <f t="shared" si="7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25" t="s">
        <v>53</v>
      </c>
      <c r="B45" s="26">
        <f>SUMIF(Abril!$D$4:Abril!$D$103,A45,Abril!$E$4:Abril!$E$103)</f>
        <v>1350000</v>
      </c>
      <c r="C45" s="26">
        <f>SUMIF(Abril!$D$4:Abril!$D$103,A45,Abril!$G$4:Abril!$G$103)</f>
        <v>0</v>
      </c>
      <c r="D45" s="26">
        <f>SUMIF(Abril!$D$4:Abril!$D$103,A45,Abril!$I$4:Abril!$I$103)</f>
        <v>0</v>
      </c>
      <c r="E45" s="26">
        <f>SUMIF(Abril!$D$4:Abril!$D$103,A45,Abril!$L$4:Abril!$L$103)</f>
        <v>86800</v>
      </c>
      <c r="F45" s="26">
        <f>SUMIF(Abril!$D$4:Abril!$D$103,A45,Abril!$M$4:Abril!$M$103)</f>
        <v>1263200</v>
      </c>
      <c r="G45" s="26">
        <f>COUNTIF(Abril!$D$4:Abril!$D$103,A45)</f>
        <v>16</v>
      </c>
      <c r="H45" s="26">
        <f t="shared" si="7"/>
        <v>84375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25" t="s">
        <v>109</v>
      </c>
      <c r="B46" s="26">
        <f>SUMIF(Abril!$D$4:Abril!$D$103,A46,Abril!$E$4:Abril!$E$103)</f>
        <v>531000</v>
      </c>
      <c r="C46" s="26">
        <f>SUMIF(Abril!$D$4:Abril!$D$103,A46,Abril!$G$4:Abril!$G$103)</f>
        <v>3193.277311</v>
      </c>
      <c r="D46" s="26">
        <f>SUMIF(Abril!$D$4:Abril!$D$103,A46,Abril!$I$4:Abril!$I$103)</f>
        <v>550</v>
      </c>
      <c r="E46" s="26">
        <f>SUMIF(Abril!$D$4:Abril!$D$103,A46,Abril!$L$4:Abril!$L$103)</f>
        <v>30982.83613</v>
      </c>
      <c r="F46" s="26">
        <f>SUMIF(Abril!$D$4:Abril!$D$103,A46,Abril!$M$4:Abril!$M$103)</f>
        <v>496273.8866</v>
      </c>
      <c r="G46" s="26">
        <f>COUNTIF(Abril!$D$4:Abril!$D$103,A46)</f>
        <v>13</v>
      </c>
      <c r="H46" s="26">
        <f t="shared" si="7"/>
        <v>40846.15385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25" t="s">
        <v>110</v>
      </c>
      <c r="B47" s="26">
        <f>SUMIF(Abril!$D$4:Abril!$D$103,A47,Abril!$E$4:Abril!$E$103)</f>
        <v>0</v>
      </c>
      <c r="C47" s="26">
        <f>SUMIF(Abril!$D$4:Abril!$D$103,A47,Abril!$G$4:Abril!$G$103)</f>
        <v>0</v>
      </c>
      <c r="D47" s="26">
        <f>SUMIF(Abril!$D$4:Abril!$D$103,A47,Abril!$I$4:Abril!$I$103)</f>
        <v>0</v>
      </c>
      <c r="E47" s="26">
        <f>SUMIF(Abril!$D$4:Abril!$D$103,A47,Abril!$L$4:Abril!$L$103)</f>
        <v>0</v>
      </c>
      <c r="F47" s="26">
        <f>SUMIF(Abril!$D$4:Abril!$D$103,A47,Abril!$M$4:Abril!$M$103)</f>
        <v>0</v>
      </c>
      <c r="G47" s="26">
        <f>COUNTIF(Abril!$D$4:Abril!$D$103,A47)</f>
        <v>0</v>
      </c>
      <c r="H47" s="26">
        <f t="shared" si="7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25" t="s">
        <v>111</v>
      </c>
      <c r="B48" s="26">
        <f t="shared" ref="B48:H48" si="8">SUM(B41:B47)</f>
        <v>3919000</v>
      </c>
      <c r="C48" s="26">
        <f t="shared" si="8"/>
        <v>47899.15966</v>
      </c>
      <c r="D48" s="26">
        <f t="shared" si="8"/>
        <v>8650</v>
      </c>
      <c r="E48" s="26">
        <f t="shared" si="8"/>
        <v>218999.1975</v>
      </c>
      <c r="F48" s="26">
        <f t="shared" si="8"/>
        <v>3643451.643</v>
      </c>
      <c r="G48" s="26">
        <f t="shared" si="8"/>
        <v>55</v>
      </c>
      <c r="H48" s="26">
        <f t="shared" si="8"/>
        <v>260206.6611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1" t="s">
        <v>115</v>
      </c>
      <c r="B51" s="22"/>
      <c r="C51" s="22"/>
      <c r="D51" s="22"/>
      <c r="E51" s="22"/>
      <c r="F51" s="22"/>
      <c r="G51" s="22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24" t="s">
        <v>5</v>
      </c>
      <c r="B52" s="24" t="s">
        <v>102</v>
      </c>
      <c r="C52" s="24" t="s">
        <v>103</v>
      </c>
      <c r="D52" s="24" t="s">
        <v>104</v>
      </c>
      <c r="E52" s="24" t="s">
        <v>105</v>
      </c>
      <c r="F52" s="24" t="s">
        <v>106</v>
      </c>
      <c r="G52" s="24" t="s">
        <v>107</v>
      </c>
      <c r="H52" s="24" t="s">
        <v>108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25" t="s">
        <v>49</v>
      </c>
      <c r="B53" s="26">
        <f>SUMIF(Mayo!$D$4:Mayo!$D$103,A53,Mayo!$E$4:Mayo!$E$103)</f>
        <v>360000</v>
      </c>
      <c r="C53" s="26">
        <f>SUMIF(Mayo!$D$4:Mayo!$D$103,A53,Mayo!$G$4:Mayo!$G$103)</f>
        <v>0</v>
      </c>
      <c r="D53" s="26">
        <f>SUMIF(Mayo!$D$4:Mayo!$D$103,A53,Mayo!$I$4:Mayo!$I$103)</f>
        <v>0</v>
      </c>
      <c r="E53" s="26">
        <f>SUMIF(Mayo!$D$4:Mayo!$D$103,A53,Mayo!$L$4:Mayo!$L$103)</f>
        <v>25200</v>
      </c>
      <c r="F53" s="26">
        <f>SUMIF(Mayo!$D$4:Mayo!$D$103,A53,Mayo!$M$4:Mayo!$M$103)</f>
        <v>334800</v>
      </c>
      <c r="G53" s="26">
        <f>COUNTIF(Mayo!$D$4:Mayo!$D$103,A53)</f>
        <v>3</v>
      </c>
      <c r="H53" s="26">
        <f t="shared" ref="H53:H59" si="9">IF(G53=0,0,B53/G53)</f>
        <v>120000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25" t="s">
        <v>50</v>
      </c>
      <c r="B54" s="26">
        <f>SUMIF(Mayo!$D$4:Mayo!$D$103,A54,Mayo!$E$4:Mayo!$E$103)</f>
        <v>1680000</v>
      </c>
      <c r="C54" s="26">
        <f>SUMIF(Mayo!$D$4:Mayo!$D$103,A54,Mayo!$G$4:Mayo!$G$103)</f>
        <v>18361.34454</v>
      </c>
      <c r="D54" s="26">
        <f>SUMIF(Mayo!$D$4:Mayo!$D$103,A54,Mayo!$I$4:Mayo!$I$103)</f>
        <v>550</v>
      </c>
      <c r="E54" s="26">
        <f>SUMIF(Mayo!$D$4:Mayo!$D$103,A54,Mayo!$L$4:Mayo!$L$103)</f>
        <v>86912.83613</v>
      </c>
      <c r="F54" s="26">
        <f>SUMIF(Mayo!$D$4:Mayo!$D$103,A54,Mayo!$M$4:Mayo!$M$103)</f>
        <v>1574175.819</v>
      </c>
      <c r="G54" s="26">
        <f>COUNTIF(Mayo!$D$4:Mayo!$D$103,A54)</f>
        <v>16</v>
      </c>
      <c r="H54" s="26">
        <f t="shared" si="9"/>
        <v>105000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25" t="s">
        <v>51</v>
      </c>
      <c r="B55" s="26">
        <f>SUMIF(Mayo!$D$4:Mayo!$D$103,A55,Mayo!$E$4:Mayo!$E$103)</f>
        <v>0</v>
      </c>
      <c r="C55" s="26">
        <f>SUMIF(Mayo!$D$4:Mayo!$D$103,A55,Mayo!$G$4:Mayo!$G$103)</f>
        <v>0</v>
      </c>
      <c r="D55" s="26">
        <f>SUMIF(Mayo!$D$4:Mayo!$D$103,A55,Mayo!$I$4:Mayo!$I$103)</f>
        <v>0</v>
      </c>
      <c r="E55" s="26">
        <f>SUMIF(Mayo!$D$4:Mayo!$D$103,A55,Mayo!$L$4:Mayo!$L$103)</f>
        <v>0</v>
      </c>
      <c r="F55" s="26">
        <f>SUMIF(Mayo!$D$4:Mayo!$D$103,A55,Mayo!$M$4:Mayo!$M$103)</f>
        <v>0</v>
      </c>
      <c r="G55" s="26">
        <f>COUNTIF(Mayo!$D$4:Mayo!$D$103,A55)</f>
        <v>0</v>
      </c>
      <c r="H55" s="26">
        <f t="shared" si="9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25" t="s">
        <v>52</v>
      </c>
      <c r="B56" s="26">
        <f>SUMIF(Mayo!$D$4:Mayo!$D$103,A56,Mayo!$E$4:Mayo!$E$103)</f>
        <v>0</v>
      </c>
      <c r="C56" s="26">
        <f>SUMIF(Mayo!$D$4:Mayo!$D$103,A56,Mayo!$G$4:Mayo!$G$103)</f>
        <v>0</v>
      </c>
      <c r="D56" s="26">
        <f>SUMIF(Mayo!$D$4:Mayo!$D$103,A56,Mayo!$I$4:Mayo!$I$103)</f>
        <v>0</v>
      </c>
      <c r="E56" s="26">
        <f>SUMIF(Mayo!$D$4:Mayo!$D$103,A56,Mayo!$L$4:Mayo!$L$103)</f>
        <v>0</v>
      </c>
      <c r="F56" s="26">
        <f>SUMIF(Mayo!$D$4:Mayo!$D$103,A56,Mayo!$M$4:Mayo!$M$103)</f>
        <v>0</v>
      </c>
      <c r="G56" s="26">
        <f>COUNTIF(Mayo!$D$4:Mayo!$D$103,A56)</f>
        <v>0</v>
      </c>
      <c r="H56" s="26">
        <f t="shared" si="9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25" t="s">
        <v>53</v>
      </c>
      <c r="B57" s="26">
        <f>SUMIF(Mayo!$D$4:Mayo!$D$103,A57,Mayo!$E$4:Mayo!$E$103)</f>
        <v>350000</v>
      </c>
      <c r="C57" s="26">
        <f>SUMIF(Mayo!$D$4:Mayo!$D$103,A57,Mayo!$G$4:Mayo!$G$103)</f>
        <v>0</v>
      </c>
      <c r="D57" s="26">
        <f>SUMIF(Mayo!$D$4:Mayo!$D$103,A57,Mayo!$I$4:Mayo!$I$103)</f>
        <v>0</v>
      </c>
      <c r="E57" s="26">
        <f>SUMIF(Mayo!$D$4:Mayo!$D$103,A57,Mayo!$L$4:Mayo!$L$103)</f>
        <v>24500</v>
      </c>
      <c r="F57" s="26">
        <f>SUMIF(Mayo!$D$4:Mayo!$D$103,A57,Mayo!$M$4:Mayo!$M$103)</f>
        <v>325500</v>
      </c>
      <c r="G57" s="26">
        <f>COUNTIF(Mayo!$D$4:Mayo!$D$103,A57)</f>
        <v>1</v>
      </c>
      <c r="H57" s="26">
        <f t="shared" si="9"/>
        <v>350000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25" t="s">
        <v>109</v>
      </c>
      <c r="B58" s="26">
        <f>SUMIF(Mayo!$D$4:Mayo!$D$103,A58,Mayo!$E$4:Mayo!$E$103)</f>
        <v>285000</v>
      </c>
      <c r="C58" s="26">
        <f>SUMIF(Mayo!$D$4:Mayo!$D$103,A58,Mayo!$G$4:Mayo!$G$103)</f>
        <v>0</v>
      </c>
      <c r="D58" s="26">
        <f>SUMIF(Mayo!$D$4:Mayo!$D$103,A58,Mayo!$I$4:Mayo!$I$103)</f>
        <v>0</v>
      </c>
      <c r="E58" s="26">
        <f>SUMIF(Mayo!$D$4:Mayo!$D$103,A58,Mayo!$L$4:Mayo!$L$103)</f>
        <v>11550</v>
      </c>
      <c r="F58" s="26">
        <f>SUMIF(Mayo!$D$4:Mayo!$D$103,A58,Mayo!$M$4:Mayo!$M$103)</f>
        <v>273450</v>
      </c>
      <c r="G58" s="26">
        <f>COUNTIF(Mayo!$D$4:Mayo!$D$103,A58)</f>
        <v>6</v>
      </c>
      <c r="H58" s="26">
        <f t="shared" si="9"/>
        <v>47500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25" t="s">
        <v>110</v>
      </c>
      <c r="B59" s="26">
        <f>SUMIF(Mayo!$D$4:Mayo!$D$103,A59,Mayo!$E$4:Mayo!$E$103)</f>
        <v>0</v>
      </c>
      <c r="C59" s="26">
        <f>SUMIF(Mayo!$D$4:Mayo!$D$103,A59,Mayo!$G$4:Mayo!$G$103)</f>
        <v>0</v>
      </c>
      <c r="D59" s="26">
        <f>SUMIF(Mayo!$D$4:Mayo!$D$103,A59,Mayo!$I$4:Mayo!$I$103)</f>
        <v>0</v>
      </c>
      <c r="E59" s="26">
        <f>SUMIF(Mayo!$D$4:Mayo!$D$103,A59,Mayo!$L$4:Mayo!$L$103)</f>
        <v>0</v>
      </c>
      <c r="F59" s="26">
        <f>SUMIF(Mayo!$D$4:Mayo!$D$103,A59,Mayo!$M$4:Mayo!$M$103)</f>
        <v>0</v>
      </c>
      <c r="G59" s="26">
        <f>COUNTIF(Mayo!$D$4:Mayo!$D$103,A59)</f>
        <v>0</v>
      </c>
      <c r="H59" s="26">
        <f t="shared" si="9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25" t="s">
        <v>111</v>
      </c>
      <c r="B60" s="26">
        <f t="shared" ref="B60:H60" si="10">SUM(B53:B59)</f>
        <v>2675000</v>
      </c>
      <c r="C60" s="26">
        <f t="shared" si="10"/>
        <v>18361.34454</v>
      </c>
      <c r="D60" s="26">
        <f t="shared" si="10"/>
        <v>550</v>
      </c>
      <c r="E60" s="26">
        <f t="shared" si="10"/>
        <v>148162.8361</v>
      </c>
      <c r="F60" s="26">
        <f t="shared" si="10"/>
        <v>2507925.819</v>
      </c>
      <c r="G60" s="26">
        <f t="shared" si="10"/>
        <v>26</v>
      </c>
      <c r="H60" s="26">
        <f t="shared" si="10"/>
        <v>622500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1" t="s">
        <v>116</v>
      </c>
      <c r="B63" s="22"/>
      <c r="C63" s="22"/>
      <c r="D63" s="22"/>
      <c r="E63" s="22"/>
      <c r="F63" s="22"/>
      <c r="G63" s="22"/>
      <c r="H63" s="2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24" t="s">
        <v>5</v>
      </c>
      <c r="B64" s="24" t="s">
        <v>102</v>
      </c>
      <c r="C64" s="24" t="s">
        <v>103</v>
      </c>
      <c r="D64" s="24" t="s">
        <v>104</v>
      </c>
      <c r="E64" s="24" t="s">
        <v>105</v>
      </c>
      <c r="F64" s="24" t="s">
        <v>106</v>
      </c>
      <c r="G64" s="24" t="s">
        <v>107</v>
      </c>
      <c r="H64" s="24" t="s">
        <v>108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25" t="s">
        <v>49</v>
      </c>
      <c r="B65" s="26">
        <f>SUMIF(Junio!$D$4:Junio!$D$103,A65,Junio!$E$4:Junio!$E$103)</f>
        <v>0</v>
      </c>
      <c r="C65" s="26">
        <f>SUMIF(Junio!$D$4:Junio!$D$103,A65,Junio!$G$4:Junio!$G$103)</f>
        <v>0</v>
      </c>
      <c r="D65" s="26">
        <f>SUMIF(Junio!$D$4:Junio!$D$103,A65,Junio!$I$4:Junio!$I$103)</f>
        <v>0</v>
      </c>
      <c r="E65" s="26">
        <f>SUMIF(Junio!$D$4:Junio!$D$103,A65,Junio!$L$4:Junio!$L$103)</f>
        <v>0</v>
      </c>
      <c r="F65" s="26">
        <f>SUMIF(Junio!$D$4:Junio!$D$103,A65,Junio!$M$4:Junio!$M$103)</f>
        <v>0</v>
      </c>
      <c r="G65" s="26">
        <f>COUNTIF(Junio!$D$4:Junio!$D$103,A65)</f>
        <v>0</v>
      </c>
      <c r="H65" s="26">
        <f t="shared" ref="H65:H71" si="11">IF(G65=0,0,B65/G65)</f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25" t="s">
        <v>50</v>
      </c>
      <c r="B66" s="26">
        <f>SUMIF(Junio!$D$4:Junio!$D$103,A66,Junio!$E$4:Junio!$E$103)</f>
        <v>0</v>
      </c>
      <c r="C66" s="26">
        <f>SUMIF(Junio!$D$4:Junio!$D$103,A66,Junio!$G$4:Junio!$G$103)</f>
        <v>0</v>
      </c>
      <c r="D66" s="26">
        <f>SUMIF(Junio!$D$4:Junio!$D$103,A66,Junio!$I$4:Junio!$I$103)</f>
        <v>0</v>
      </c>
      <c r="E66" s="26">
        <f>SUMIF(Junio!$D$4:Junio!$D$103,A66,Junio!$L$4:Junio!$L$103)</f>
        <v>0</v>
      </c>
      <c r="F66" s="26">
        <f>SUMIF(Junio!$D$4:Junio!$D$103,A66,Junio!$M$4:Junio!$M$103)</f>
        <v>0</v>
      </c>
      <c r="G66" s="26">
        <f>COUNTIF(Junio!$D$4:Junio!$D$103,A66)</f>
        <v>0</v>
      </c>
      <c r="H66" s="26">
        <f t="shared" si="11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25" t="s">
        <v>51</v>
      </c>
      <c r="B67" s="26">
        <f>SUMIF(Junio!$D$4:Junio!$D$103,A67,Junio!$E$4:Junio!$E$103)</f>
        <v>0</v>
      </c>
      <c r="C67" s="26">
        <f>SUMIF(Junio!$D$4:Junio!$D$103,A67,Junio!$G$4:Junio!$G$103)</f>
        <v>0</v>
      </c>
      <c r="D67" s="26">
        <f>SUMIF(Junio!$D$4:Junio!$D$103,A67,Junio!$I$4:Junio!$I$103)</f>
        <v>0</v>
      </c>
      <c r="E67" s="26">
        <f>SUMIF(Junio!$D$4:Junio!$D$103,A67,Junio!$L$4:Junio!$L$103)</f>
        <v>0</v>
      </c>
      <c r="F67" s="26">
        <f>SUMIF(Junio!$D$4:Junio!$D$103,A67,Junio!$M$4:Junio!$M$103)</f>
        <v>0</v>
      </c>
      <c r="G67" s="26">
        <f>COUNTIF(Junio!$D$4:Junio!$D$103,A67)</f>
        <v>0</v>
      </c>
      <c r="H67" s="26">
        <f t="shared" si="11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25" t="s">
        <v>52</v>
      </c>
      <c r="B68" s="26">
        <f>SUMIF(Junio!$D$4:Junio!$D$103,A68,Junio!$E$4:Junio!$E$103)</f>
        <v>0</v>
      </c>
      <c r="C68" s="26">
        <f>SUMIF(Junio!$D$4:Junio!$D$103,A68,Junio!$G$4:Junio!$G$103)</f>
        <v>0</v>
      </c>
      <c r="D68" s="26">
        <f>SUMIF(Junio!$D$4:Junio!$D$103,A68,Junio!$I$4:Junio!$I$103)</f>
        <v>0</v>
      </c>
      <c r="E68" s="26">
        <f>SUMIF(Junio!$D$4:Junio!$D$103,A68,Junio!$L$4:Junio!$L$103)</f>
        <v>0</v>
      </c>
      <c r="F68" s="26">
        <f>SUMIF(Junio!$D$4:Junio!$D$103,A68,Junio!$M$4:Junio!$M$103)</f>
        <v>0</v>
      </c>
      <c r="G68" s="26">
        <f>COUNTIF(Junio!$D$4:Junio!$D$103,A68)</f>
        <v>0</v>
      </c>
      <c r="H68" s="26">
        <f t="shared" si="11"/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25" t="s">
        <v>53</v>
      </c>
      <c r="B69" s="26">
        <f>SUMIF(Junio!$D$4:Junio!$D$103,A69,Junio!$E$4:Junio!$E$103)</f>
        <v>0</v>
      </c>
      <c r="C69" s="26">
        <f>SUMIF(Junio!$D$4:Junio!$D$103,A69,Junio!$G$4:Junio!$G$103)</f>
        <v>0</v>
      </c>
      <c r="D69" s="26">
        <f>SUMIF(Junio!$D$4:Junio!$D$103,A69,Junio!$I$4:Junio!$I$103)</f>
        <v>0</v>
      </c>
      <c r="E69" s="26">
        <f>SUMIF(Junio!$D$4:Junio!$D$103,A69,Junio!$L$4:Junio!$L$103)</f>
        <v>0</v>
      </c>
      <c r="F69" s="26">
        <f>SUMIF(Junio!$D$4:Junio!$D$103,A69,Junio!$M$4:Junio!$M$103)</f>
        <v>0</v>
      </c>
      <c r="G69" s="26">
        <f>COUNTIF(Junio!$D$4:Junio!$D$103,A69)</f>
        <v>0</v>
      </c>
      <c r="H69" s="26">
        <f t="shared" si="11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25" t="s">
        <v>109</v>
      </c>
      <c r="B70" s="26">
        <f>SUMIF(Junio!$D$4:Junio!$D$103,A70,Junio!$E$4:Junio!$E$103)</f>
        <v>0</v>
      </c>
      <c r="C70" s="26">
        <f>SUMIF(Junio!$D$4:Junio!$D$103,A70,Junio!$G$4:Junio!$G$103)</f>
        <v>0</v>
      </c>
      <c r="D70" s="26">
        <f>SUMIF(Junio!$D$4:Junio!$D$103,A70,Junio!$I$4:Junio!$I$103)</f>
        <v>0</v>
      </c>
      <c r="E70" s="26">
        <f>SUMIF(Junio!$D$4:Junio!$D$103,A70,Junio!$L$4:Junio!$L$103)</f>
        <v>0</v>
      </c>
      <c r="F70" s="26">
        <f>SUMIF(Junio!$D$4:Junio!$D$103,A70,Junio!$M$4:Junio!$M$103)</f>
        <v>0</v>
      </c>
      <c r="G70" s="26">
        <f>COUNTIF(Junio!$D$4:Junio!$D$103,A70)</f>
        <v>0</v>
      </c>
      <c r="H70" s="26">
        <f t="shared" si="11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25" t="s">
        <v>110</v>
      </c>
      <c r="B71" s="26">
        <f>SUMIF(Junio!$D$4:Junio!$D$103,A71,Junio!$E$4:Junio!$E$103)</f>
        <v>0</v>
      </c>
      <c r="C71" s="26">
        <f>SUMIF(Junio!$D$4:Junio!$D$103,A71,Junio!$G$4:Junio!$G$103)</f>
        <v>0</v>
      </c>
      <c r="D71" s="26">
        <f>SUMIF(Junio!$D$4:Junio!$D$103,A71,Junio!$I$4:Junio!$I$103)</f>
        <v>0</v>
      </c>
      <c r="E71" s="26">
        <f>SUMIF(Junio!$D$4:Junio!$D$103,A71,Junio!$L$4:Junio!$L$103)</f>
        <v>0</v>
      </c>
      <c r="F71" s="26">
        <f>SUMIF(Junio!$D$4:Junio!$D$103,A71,Junio!$M$4:Junio!$M$103)</f>
        <v>0</v>
      </c>
      <c r="G71" s="26">
        <f>COUNTIF(Junio!$D$4:Junio!$D$103,A71)</f>
        <v>0</v>
      </c>
      <c r="H71" s="26">
        <f t="shared" si="11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25" t="s">
        <v>111</v>
      </c>
      <c r="B72" s="26">
        <f t="shared" ref="B72:H72" si="12">SUM(B65:B71)</f>
        <v>0</v>
      </c>
      <c r="C72" s="26">
        <f t="shared" si="12"/>
        <v>0</v>
      </c>
      <c r="D72" s="26">
        <f t="shared" si="12"/>
        <v>0</v>
      </c>
      <c r="E72" s="26">
        <f t="shared" si="12"/>
        <v>0</v>
      </c>
      <c r="F72" s="26">
        <f t="shared" si="12"/>
        <v>0</v>
      </c>
      <c r="G72" s="26">
        <f t="shared" si="12"/>
        <v>0</v>
      </c>
      <c r="H72" s="26">
        <f t="shared" si="12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1" t="s">
        <v>117</v>
      </c>
      <c r="B75" s="22"/>
      <c r="C75" s="22"/>
      <c r="D75" s="22"/>
      <c r="E75" s="22"/>
      <c r="F75" s="22"/>
      <c r="G75" s="22"/>
      <c r="H75" s="2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24" t="s">
        <v>5</v>
      </c>
      <c r="B76" s="24" t="s">
        <v>102</v>
      </c>
      <c r="C76" s="24" t="s">
        <v>103</v>
      </c>
      <c r="D76" s="24" t="s">
        <v>104</v>
      </c>
      <c r="E76" s="24" t="s">
        <v>105</v>
      </c>
      <c r="F76" s="24" t="s">
        <v>106</v>
      </c>
      <c r="G76" s="24" t="s">
        <v>107</v>
      </c>
      <c r="H76" s="24" t="s">
        <v>108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25" t="s">
        <v>49</v>
      </c>
      <c r="B77" s="26">
        <f>SUMIF(Julio!$D$4:Julio!$D$103,A77,Julio!$E$4:Julio!$E$103)</f>
        <v>0</v>
      </c>
      <c r="C77" s="26">
        <f>SUMIF(Julio!$D$4:Julio!$D$103,A77,Julio!$G$4:Julio!$G$103)</f>
        <v>0</v>
      </c>
      <c r="D77" s="26">
        <f>SUMIF(Julio!$D$4:Julio!$D$103,A77,Julio!$I$4:Julio!$I$103)</f>
        <v>0</v>
      </c>
      <c r="E77" s="26">
        <f>SUMIF(Julio!$D$4:Julio!$D$103,A77,Julio!$L$4:Julio!$L$103)</f>
        <v>0</v>
      </c>
      <c r="F77" s="26">
        <f>SUMIF(Julio!$D$4:Julio!$D$103,A77,Julio!$M$4:Julio!$M$103)</f>
        <v>0</v>
      </c>
      <c r="G77" s="26">
        <f>COUNTIF(Julio!$D$4:Julio!$D$103,A77)</f>
        <v>0</v>
      </c>
      <c r="H77" s="26">
        <f t="shared" ref="H77:H83" si="13">IF(G77=0,0,B77/G77)</f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25" t="s">
        <v>50</v>
      </c>
      <c r="B78" s="26">
        <f>SUMIF(Julio!$D$4:Julio!$D$103,A78,Julio!$E$4:Julio!$E$103)</f>
        <v>0</v>
      </c>
      <c r="C78" s="26">
        <f>SUMIF(Julio!$D$4:Julio!$D$103,A78,Julio!$G$4:Julio!$G$103)</f>
        <v>0</v>
      </c>
      <c r="D78" s="26">
        <f>SUMIF(Julio!$D$4:Julio!$D$103,A78,Julio!$I$4:Julio!$I$103)</f>
        <v>0</v>
      </c>
      <c r="E78" s="26">
        <f>SUMIF(Julio!$D$4:Julio!$D$103,A78,Julio!$L$4:Julio!$L$103)</f>
        <v>0</v>
      </c>
      <c r="F78" s="26">
        <f>SUMIF(Julio!$D$4:Julio!$D$103,A78,Julio!$M$4:Julio!$M$103)</f>
        <v>0</v>
      </c>
      <c r="G78" s="26">
        <f>COUNTIF(Julio!$D$4:Julio!$D$103,A78)</f>
        <v>0</v>
      </c>
      <c r="H78" s="26">
        <f t="shared" si="13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25" t="s">
        <v>51</v>
      </c>
      <c r="B79" s="26">
        <f>SUMIF(Julio!$D$4:Julio!$D$103,A79,Julio!$E$4:Julio!$E$103)</f>
        <v>0</v>
      </c>
      <c r="C79" s="26">
        <f>SUMIF(Julio!$D$4:Julio!$D$103,A79,Julio!$G$4:Julio!$G$103)</f>
        <v>0</v>
      </c>
      <c r="D79" s="26">
        <f>SUMIF(Julio!$D$4:Julio!$D$103,A79,Julio!$I$4:Julio!$I$103)</f>
        <v>0</v>
      </c>
      <c r="E79" s="26">
        <f>SUMIF(Julio!$D$4:Julio!$D$103,A79,Julio!$L$4:Julio!$L$103)</f>
        <v>0</v>
      </c>
      <c r="F79" s="26">
        <f>SUMIF(Julio!$D$4:Julio!$D$103,A79,Julio!$M$4:Julio!$M$103)</f>
        <v>0</v>
      </c>
      <c r="G79" s="26">
        <f>COUNTIF(Julio!$D$4:Julio!$D$103,A79)</f>
        <v>0</v>
      </c>
      <c r="H79" s="26">
        <f t="shared" si="13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25" t="s">
        <v>52</v>
      </c>
      <c r="B80" s="26">
        <f>SUMIF(Julio!$D$4:Julio!$D$103,A80,Julio!$E$4:Julio!$E$103)</f>
        <v>0</v>
      </c>
      <c r="C80" s="26">
        <f>SUMIF(Julio!$D$4:Julio!$D$103,A80,Julio!$G$4:Julio!$G$103)</f>
        <v>0</v>
      </c>
      <c r="D80" s="26">
        <f>SUMIF(Julio!$D$4:Julio!$D$103,A80,Julio!$I$4:Julio!$I$103)</f>
        <v>0</v>
      </c>
      <c r="E80" s="26">
        <f>SUMIF(Julio!$D$4:Julio!$D$103,A80,Julio!$L$4:Julio!$L$103)</f>
        <v>0</v>
      </c>
      <c r="F80" s="26">
        <f>SUMIF(Julio!$D$4:Julio!$D$103,A80,Julio!$M$4:Julio!$M$103)</f>
        <v>0</v>
      </c>
      <c r="G80" s="26">
        <f>COUNTIF(Julio!$D$4:Julio!$D$103,A80)</f>
        <v>0</v>
      </c>
      <c r="H80" s="26">
        <f t="shared" si="13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25" t="s">
        <v>53</v>
      </c>
      <c r="B81" s="26">
        <f>SUMIF(Julio!$D$4:Julio!$D$103,A81,Julio!$E$4:Julio!$E$103)</f>
        <v>0</v>
      </c>
      <c r="C81" s="26">
        <f>SUMIF(Julio!$D$4:Julio!$D$103,A81,Julio!$G$4:Julio!$G$103)</f>
        <v>0</v>
      </c>
      <c r="D81" s="26">
        <f>SUMIF(Julio!$D$4:Julio!$D$103,A81,Julio!$I$4:Julio!$I$103)</f>
        <v>0</v>
      </c>
      <c r="E81" s="26">
        <f>SUMIF(Julio!$D$4:Julio!$D$103,A81,Julio!$L$4:Julio!$L$103)</f>
        <v>0</v>
      </c>
      <c r="F81" s="26">
        <f>SUMIF(Julio!$D$4:Julio!$D$103,A81,Julio!$M$4:Julio!$M$103)</f>
        <v>0</v>
      </c>
      <c r="G81" s="26">
        <f>COUNTIF(Julio!$D$4:Julio!$D$103,A81)</f>
        <v>0</v>
      </c>
      <c r="H81" s="26">
        <f t="shared" si="13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25" t="s">
        <v>109</v>
      </c>
      <c r="B82" s="26">
        <f>SUMIF(Julio!$D$4:Julio!$D$103,A82,Julio!$E$4:Julio!$E$103)</f>
        <v>0</v>
      </c>
      <c r="C82" s="26">
        <f>SUMIF(Julio!$D$4:Julio!$D$103,A82,Julio!$G$4:Julio!$G$103)</f>
        <v>0</v>
      </c>
      <c r="D82" s="26">
        <f>SUMIF(Julio!$D$4:Julio!$D$103,A82,Julio!$I$4:Julio!$I$103)</f>
        <v>0</v>
      </c>
      <c r="E82" s="26">
        <f>SUMIF(Julio!$D$4:Julio!$D$103,A82,Julio!$L$4:Julio!$L$103)</f>
        <v>0</v>
      </c>
      <c r="F82" s="26">
        <f>SUMIF(Julio!$D$4:Julio!$D$103,A82,Julio!$M$4:Julio!$M$103)</f>
        <v>0</v>
      </c>
      <c r="G82" s="26">
        <f>COUNTIF(Julio!$D$4:Julio!$D$103,A82)</f>
        <v>0</v>
      </c>
      <c r="H82" s="26">
        <f t="shared" si="13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25" t="s">
        <v>110</v>
      </c>
      <c r="B83" s="26">
        <f>SUMIF(Julio!$D$4:Julio!$D$103,A83,Julio!$E$4:Julio!$E$103)</f>
        <v>0</v>
      </c>
      <c r="C83" s="26">
        <f>SUMIF(Julio!$D$4:Julio!$D$103,A83,Julio!$G$4:Julio!$G$103)</f>
        <v>0</v>
      </c>
      <c r="D83" s="26">
        <f>SUMIF(Julio!$D$4:Julio!$D$103,A83,Julio!$I$4:Julio!$I$103)</f>
        <v>0</v>
      </c>
      <c r="E83" s="26">
        <f>SUMIF(Julio!$D$4:Julio!$D$103,A83,Julio!$L$4:Julio!$L$103)</f>
        <v>0</v>
      </c>
      <c r="F83" s="26">
        <f>SUMIF(Julio!$D$4:Julio!$D$103,A83,Julio!$M$4:Julio!$M$103)</f>
        <v>0</v>
      </c>
      <c r="G83" s="26">
        <f>COUNTIF(Julio!$D$4:Julio!$D$103,A83)</f>
        <v>0</v>
      </c>
      <c r="H83" s="26">
        <f t="shared" si="13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25" t="s">
        <v>111</v>
      </c>
      <c r="B84" s="26">
        <f t="shared" ref="B84:H84" si="14">SUM(B77:B83)</f>
        <v>0</v>
      </c>
      <c r="C84" s="26">
        <f t="shared" si="14"/>
        <v>0</v>
      </c>
      <c r="D84" s="26">
        <f t="shared" si="14"/>
        <v>0</v>
      </c>
      <c r="E84" s="26">
        <f t="shared" si="14"/>
        <v>0</v>
      </c>
      <c r="F84" s="26">
        <f t="shared" si="14"/>
        <v>0</v>
      </c>
      <c r="G84" s="26">
        <f t="shared" si="14"/>
        <v>0</v>
      </c>
      <c r="H84" s="26">
        <f t="shared" si="14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1" t="s">
        <v>118</v>
      </c>
      <c r="B87" s="22"/>
      <c r="C87" s="22"/>
      <c r="D87" s="22"/>
      <c r="E87" s="22"/>
      <c r="F87" s="22"/>
      <c r="G87" s="22"/>
      <c r="H87" s="2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24" t="s">
        <v>5</v>
      </c>
      <c r="B88" s="24" t="s">
        <v>102</v>
      </c>
      <c r="C88" s="24" t="s">
        <v>103</v>
      </c>
      <c r="D88" s="24" t="s">
        <v>104</v>
      </c>
      <c r="E88" s="24" t="s">
        <v>105</v>
      </c>
      <c r="F88" s="24" t="s">
        <v>106</v>
      </c>
      <c r="G88" s="24" t="s">
        <v>107</v>
      </c>
      <c r="H88" s="24" t="s">
        <v>108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25" t="s">
        <v>49</v>
      </c>
      <c r="B89" s="26">
        <f>SUMIF(Agosto!$D$4:Agosto!$D$103,A89,Agosto!$E$4:Agosto!$E$103)</f>
        <v>0</v>
      </c>
      <c r="C89" s="26">
        <f>SUMIF(Agosto!$D$4:Agosto!$D$103,A89,Agosto!$G$4:Agosto!$G$103)</f>
        <v>0</v>
      </c>
      <c r="D89" s="26">
        <f>SUMIF(Agosto!$D$4:Agosto!$D$103,A89,Agosto!$I$4:Agosto!$I$103)</f>
        <v>0</v>
      </c>
      <c r="E89" s="26">
        <f>SUMIF(Agosto!$D$4:Agosto!$D$103,A89,Agosto!$L$4:Agosto!$L$103)</f>
        <v>0</v>
      </c>
      <c r="F89" s="26">
        <f>SUMIF(Agosto!$D$4:Agosto!$D$103,A89,Agosto!$M$4:Agosto!$M$103)</f>
        <v>0</v>
      </c>
      <c r="G89" s="26">
        <f>COUNTIF(Agosto!$D$4:Agosto!$D$103,A89)</f>
        <v>0</v>
      </c>
      <c r="H89" s="26">
        <f t="shared" ref="H89:H95" si="15">IF(G89=0,0,B89/G89)</f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25" t="s">
        <v>50</v>
      </c>
      <c r="B90" s="26">
        <f>SUMIF(Agosto!$D$4:Agosto!$D$103,A90,Agosto!$E$4:Agosto!$E$103)</f>
        <v>0</v>
      </c>
      <c r="C90" s="26">
        <f>SUMIF(Agosto!$D$4:Agosto!$D$103,A90,Agosto!$G$4:Agosto!$G$103)</f>
        <v>0</v>
      </c>
      <c r="D90" s="26">
        <f>SUMIF(Agosto!$D$4:Agosto!$D$103,A90,Agosto!$I$4:Agosto!$I$103)</f>
        <v>0</v>
      </c>
      <c r="E90" s="26">
        <f>SUMIF(Agosto!$D$4:Agosto!$D$103,A90,Agosto!$L$4:Agosto!$L$103)</f>
        <v>0</v>
      </c>
      <c r="F90" s="26">
        <f>SUMIF(Agosto!$D$4:Agosto!$D$103,A90,Agosto!$M$4:Agosto!$M$103)</f>
        <v>0</v>
      </c>
      <c r="G90" s="26">
        <f>COUNTIF(Agosto!$D$4:Agosto!$D$103,A90)</f>
        <v>0</v>
      </c>
      <c r="H90" s="26">
        <f t="shared" si="15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25" t="s">
        <v>51</v>
      </c>
      <c r="B91" s="26">
        <f>SUMIF(Agosto!$D$4:Agosto!$D$103,A91,Agosto!$E$4:Agosto!$E$103)</f>
        <v>0</v>
      </c>
      <c r="C91" s="26">
        <f>SUMIF(Agosto!$D$4:Agosto!$D$103,A91,Agosto!$G$4:Agosto!$G$103)</f>
        <v>0</v>
      </c>
      <c r="D91" s="26">
        <f>SUMIF(Agosto!$D$4:Agosto!$D$103,A91,Agosto!$I$4:Agosto!$I$103)</f>
        <v>0</v>
      </c>
      <c r="E91" s="26">
        <f>SUMIF(Agosto!$D$4:Agosto!$D$103,A91,Agosto!$L$4:Agosto!$L$103)</f>
        <v>0</v>
      </c>
      <c r="F91" s="26">
        <f>SUMIF(Agosto!$D$4:Agosto!$D$103,A91,Agosto!$M$4:Agosto!$M$103)</f>
        <v>0</v>
      </c>
      <c r="G91" s="26">
        <f>COUNTIF(Agosto!$D$4:Agosto!$D$103,A91)</f>
        <v>0</v>
      </c>
      <c r="H91" s="26">
        <f t="shared" si="15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25" t="s">
        <v>52</v>
      </c>
      <c r="B92" s="26">
        <f>SUMIF(Agosto!$D$4:Agosto!$D$103,A92,Agosto!$E$4:Agosto!$E$103)</f>
        <v>0</v>
      </c>
      <c r="C92" s="26">
        <f>SUMIF(Agosto!$D$4:Agosto!$D$103,A92,Agosto!$G$4:Agosto!$G$103)</f>
        <v>0</v>
      </c>
      <c r="D92" s="26">
        <f>SUMIF(Agosto!$D$4:Agosto!$D$103,A92,Agosto!$I$4:Agosto!$I$103)</f>
        <v>0</v>
      </c>
      <c r="E92" s="26">
        <f>SUMIF(Agosto!$D$4:Agosto!$D$103,A92,Agosto!$L$4:Agosto!$L$103)</f>
        <v>0</v>
      </c>
      <c r="F92" s="26">
        <f>SUMIF(Agosto!$D$4:Agosto!$D$103,A92,Agosto!$M$4:Agosto!$M$103)</f>
        <v>0</v>
      </c>
      <c r="G92" s="26">
        <f>COUNTIF(Agosto!$D$4:Agosto!$D$103,A92)</f>
        <v>0</v>
      </c>
      <c r="H92" s="26">
        <f t="shared" si="15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25" t="s">
        <v>53</v>
      </c>
      <c r="B93" s="26">
        <f>SUMIF(Agosto!$D$4:Agosto!$D$103,A93,Agosto!$E$4:Agosto!$E$103)</f>
        <v>0</v>
      </c>
      <c r="C93" s="26">
        <f>SUMIF(Agosto!$D$4:Agosto!$D$103,A93,Agosto!$G$4:Agosto!$G$103)</f>
        <v>0</v>
      </c>
      <c r="D93" s="26">
        <f>SUMIF(Agosto!$D$4:Agosto!$D$103,A93,Agosto!$I$4:Agosto!$I$103)</f>
        <v>0</v>
      </c>
      <c r="E93" s="26">
        <f>SUMIF(Agosto!$D$4:Agosto!$D$103,A93,Agosto!$L$4:Agosto!$L$103)</f>
        <v>0</v>
      </c>
      <c r="F93" s="26">
        <f>SUMIF(Agosto!$D$4:Agosto!$D$103,A93,Agosto!$M$4:Agosto!$M$103)</f>
        <v>0</v>
      </c>
      <c r="G93" s="26">
        <f>COUNTIF(Agosto!$D$4:Agosto!$D$103,A93)</f>
        <v>0</v>
      </c>
      <c r="H93" s="26">
        <f t="shared" si="15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25" t="s">
        <v>109</v>
      </c>
      <c r="B94" s="26">
        <f>SUMIF(Agosto!$D$4:Agosto!$D$103,A94,Agosto!$E$4:Agosto!$E$103)</f>
        <v>0</v>
      </c>
      <c r="C94" s="26">
        <f>SUMIF(Agosto!$D$4:Agosto!$D$103,A94,Agosto!$G$4:Agosto!$G$103)</f>
        <v>0</v>
      </c>
      <c r="D94" s="26">
        <f>SUMIF(Agosto!$D$4:Agosto!$D$103,A94,Agosto!$I$4:Agosto!$I$103)</f>
        <v>0</v>
      </c>
      <c r="E94" s="26">
        <f>SUMIF(Agosto!$D$4:Agosto!$D$103,A94,Agosto!$L$4:Agosto!$L$103)</f>
        <v>0</v>
      </c>
      <c r="F94" s="26">
        <f>SUMIF(Agosto!$D$4:Agosto!$D$103,A94,Agosto!$M$4:Agosto!$M$103)</f>
        <v>0</v>
      </c>
      <c r="G94" s="26">
        <f>COUNTIF(Agosto!$D$4:Agosto!$D$103,A94)</f>
        <v>0</v>
      </c>
      <c r="H94" s="26">
        <f t="shared" si="15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25" t="s">
        <v>110</v>
      </c>
      <c r="B95" s="26">
        <f>SUMIF(Agosto!$D$4:Agosto!$D$103,A95,Agosto!$E$4:Agosto!$E$103)</f>
        <v>0</v>
      </c>
      <c r="C95" s="26">
        <f>SUMIF(Agosto!$D$4:Agosto!$D$103,A95,Agosto!$G$4:Agosto!$G$103)</f>
        <v>0</v>
      </c>
      <c r="D95" s="26">
        <f>SUMIF(Agosto!$D$4:Agosto!$D$103,A95,Agosto!$I$4:Agosto!$I$103)</f>
        <v>0</v>
      </c>
      <c r="E95" s="26">
        <f>SUMIF(Agosto!$D$4:Agosto!$D$103,A95,Agosto!$L$4:Agosto!$L$103)</f>
        <v>0</v>
      </c>
      <c r="F95" s="26">
        <f>SUMIF(Agosto!$D$4:Agosto!$D$103,A95,Agosto!$M$4:Agosto!$M$103)</f>
        <v>0</v>
      </c>
      <c r="G95" s="26">
        <f>COUNTIF(Agosto!$D$4:Agosto!$D$103,A95)</f>
        <v>0</v>
      </c>
      <c r="H95" s="26">
        <f t="shared" si="15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25" t="s">
        <v>111</v>
      </c>
      <c r="B96" s="26">
        <f t="shared" ref="B96:H96" si="16">SUM(B89:B95)</f>
        <v>0</v>
      </c>
      <c r="C96" s="26">
        <f t="shared" si="16"/>
        <v>0</v>
      </c>
      <c r="D96" s="26">
        <f t="shared" si="16"/>
        <v>0</v>
      </c>
      <c r="E96" s="26">
        <f t="shared" si="16"/>
        <v>0</v>
      </c>
      <c r="F96" s="26">
        <f t="shared" si="16"/>
        <v>0</v>
      </c>
      <c r="G96" s="26">
        <f t="shared" si="16"/>
        <v>0</v>
      </c>
      <c r="H96" s="26">
        <f t="shared" si="16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1" t="s">
        <v>119</v>
      </c>
      <c r="B99" s="22"/>
      <c r="C99" s="22"/>
      <c r="D99" s="22"/>
      <c r="E99" s="22"/>
      <c r="F99" s="22"/>
      <c r="G99" s="22"/>
      <c r="H99" s="2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24" t="s">
        <v>5</v>
      </c>
      <c r="B100" s="24" t="s">
        <v>102</v>
      </c>
      <c r="C100" s="24" t="s">
        <v>103</v>
      </c>
      <c r="D100" s="24" t="s">
        <v>104</v>
      </c>
      <c r="E100" s="24" t="s">
        <v>105</v>
      </c>
      <c r="F100" s="24" t="s">
        <v>106</v>
      </c>
      <c r="G100" s="24" t="s">
        <v>107</v>
      </c>
      <c r="H100" s="24" t="s">
        <v>108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25" t="s">
        <v>49</v>
      </c>
      <c r="B101" s="26">
        <f>SUMIF(Septiembre!$D$4:Septiembre!$D$103,A101,Septiembre!$E$4:Septiembre!$E$103)</f>
        <v>0</v>
      </c>
      <c r="C101" s="26">
        <f>SUMIF(Septiembre!$D$4:Septiembre!$D$103,A101,Septiembre!$G$4:Septiembre!$G$103)</f>
        <v>0</v>
      </c>
      <c r="D101" s="26">
        <f>SUMIF(Septiembre!$D$4:Septiembre!$D$103,A101,Septiembre!$I$4:Septiembre!$I$103)</f>
        <v>0</v>
      </c>
      <c r="E101" s="26">
        <f>SUMIF(Septiembre!$D$4:Septiembre!$D$103,A101,Septiembre!$L$4:Septiembre!$L$103)</f>
        <v>0</v>
      </c>
      <c r="F101" s="26">
        <f>SUMIF(Septiembre!$D$4:Septiembre!$D$103,A101,Septiembre!$M$4:Septiembre!$M$103)</f>
        <v>0</v>
      </c>
      <c r="G101" s="26">
        <f>COUNTIF(Septiembre!$D$4:Septiembre!$D$103,A101)</f>
        <v>0</v>
      </c>
      <c r="H101" s="26">
        <f t="shared" ref="H101:H107" si="17">IF(G101=0,0,B101/G101)</f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25" t="s">
        <v>50</v>
      </c>
      <c r="B102" s="26">
        <f>SUMIF(Septiembre!$D$4:Septiembre!$D$103,A102,Septiembre!$E$4:Septiembre!$E$103)</f>
        <v>0</v>
      </c>
      <c r="C102" s="26">
        <f>SUMIF(Septiembre!$D$4:Septiembre!$D$103,A102,Septiembre!$G$4:Septiembre!$G$103)</f>
        <v>0</v>
      </c>
      <c r="D102" s="26">
        <f>SUMIF(Septiembre!$D$4:Septiembre!$D$103,A102,Septiembre!$I$4:Septiembre!$I$103)</f>
        <v>0</v>
      </c>
      <c r="E102" s="26">
        <f>SUMIF(Septiembre!$D$4:Septiembre!$D$103,A102,Septiembre!$L$4:Septiembre!$L$103)</f>
        <v>0</v>
      </c>
      <c r="F102" s="26">
        <f>SUMIF(Septiembre!$D$4:Septiembre!$D$103,A102,Septiembre!$M$4:Septiembre!$M$103)</f>
        <v>0</v>
      </c>
      <c r="G102" s="26">
        <f>COUNTIF(Septiembre!$D$4:Septiembre!$D$103,A102)</f>
        <v>0</v>
      </c>
      <c r="H102" s="26">
        <f t="shared" si="17"/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25" t="s">
        <v>51</v>
      </c>
      <c r="B103" s="26">
        <f>SUMIF(Septiembre!$D$4:Septiembre!$D$103,A103,Septiembre!$E$4:Septiembre!$E$103)</f>
        <v>0</v>
      </c>
      <c r="C103" s="26">
        <f>SUMIF(Septiembre!$D$4:Septiembre!$D$103,A103,Septiembre!$G$4:Septiembre!$G$103)</f>
        <v>0</v>
      </c>
      <c r="D103" s="26">
        <f>SUMIF(Septiembre!$D$4:Septiembre!$D$103,A103,Septiembre!$I$4:Septiembre!$I$103)</f>
        <v>0</v>
      </c>
      <c r="E103" s="26">
        <f>SUMIF(Septiembre!$D$4:Septiembre!$D$103,A103,Septiembre!$L$4:Septiembre!$L$103)</f>
        <v>0</v>
      </c>
      <c r="F103" s="26">
        <f>SUMIF(Septiembre!$D$4:Septiembre!$D$103,A103,Septiembre!$M$4:Septiembre!$M$103)</f>
        <v>0</v>
      </c>
      <c r="G103" s="26">
        <f>COUNTIF(Septiembre!$D$4:Septiembre!$D$103,A103)</f>
        <v>0</v>
      </c>
      <c r="H103" s="26">
        <f t="shared" si="17"/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25" t="s">
        <v>52</v>
      </c>
      <c r="B104" s="26">
        <f>SUMIF(Septiembre!$D$4:Septiembre!$D$103,A104,Septiembre!$E$4:Septiembre!$E$103)</f>
        <v>0</v>
      </c>
      <c r="C104" s="26">
        <f>SUMIF(Septiembre!$D$4:Septiembre!$D$103,A104,Septiembre!$G$4:Septiembre!$G$103)</f>
        <v>0</v>
      </c>
      <c r="D104" s="26">
        <f>SUMIF(Septiembre!$D$4:Septiembre!$D$103,A104,Septiembre!$I$4:Septiembre!$I$103)</f>
        <v>0</v>
      </c>
      <c r="E104" s="26">
        <f>SUMIF(Septiembre!$D$4:Septiembre!$D$103,A104,Septiembre!$L$4:Septiembre!$L$103)</f>
        <v>0</v>
      </c>
      <c r="F104" s="26">
        <f>SUMIF(Septiembre!$D$4:Septiembre!$D$103,A104,Septiembre!$M$4:Septiembre!$M$103)</f>
        <v>0</v>
      </c>
      <c r="G104" s="26">
        <f>COUNTIF(Septiembre!$D$4:Septiembre!$D$103,A104)</f>
        <v>0</v>
      </c>
      <c r="H104" s="26">
        <f t="shared" si="17"/>
        <v>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25" t="s">
        <v>53</v>
      </c>
      <c r="B105" s="26">
        <f>SUMIF(Septiembre!$D$4:Septiembre!$D$103,A105,Septiembre!$E$4:Septiembre!$E$103)</f>
        <v>0</v>
      </c>
      <c r="C105" s="26">
        <f>SUMIF(Septiembre!$D$4:Septiembre!$D$103,A105,Septiembre!$G$4:Septiembre!$G$103)</f>
        <v>0</v>
      </c>
      <c r="D105" s="26">
        <f>SUMIF(Septiembre!$D$4:Septiembre!$D$103,A105,Septiembre!$I$4:Septiembre!$I$103)</f>
        <v>0</v>
      </c>
      <c r="E105" s="26">
        <f>SUMIF(Septiembre!$D$4:Septiembre!$D$103,A105,Septiembre!$L$4:Septiembre!$L$103)</f>
        <v>0</v>
      </c>
      <c r="F105" s="26">
        <f>SUMIF(Septiembre!$D$4:Septiembre!$D$103,A105,Septiembre!$M$4:Septiembre!$M$103)</f>
        <v>0</v>
      </c>
      <c r="G105" s="26">
        <f>COUNTIF(Septiembre!$D$4:Septiembre!$D$103,A105)</f>
        <v>0</v>
      </c>
      <c r="H105" s="26">
        <f t="shared" si="17"/>
        <v>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25" t="s">
        <v>109</v>
      </c>
      <c r="B106" s="26">
        <f>SUMIF(Septiembre!$D$4:Septiembre!$D$103,A106,Septiembre!$E$4:Septiembre!$E$103)</f>
        <v>0</v>
      </c>
      <c r="C106" s="26">
        <f>SUMIF(Septiembre!$D$4:Septiembre!$D$103,A106,Septiembre!$G$4:Septiembre!$G$103)</f>
        <v>0</v>
      </c>
      <c r="D106" s="26">
        <f>SUMIF(Septiembre!$D$4:Septiembre!$D$103,A106,Septiembre!$I$4:Septiembre!$I$103)</f>
        <v>0</v>
      </c>
      <c r="E106" s="26">
        <f>SUMIF(Septiembre!$D$4:Septiembre!$D$103,A106,Septiembre!$L$4:Septiembre!$L$103)</f>
        <v>0</v>
      </c>
      <c r="F106" s="26">
        <f>SUMIF(Septiembre!$D$4:Septiembre!$D$103,A106,Septiembre!$M$4:Septiembre!$M$103)</f>
        <v>0</v>
      </c>
      <c r="G106" s="26">
        <f>COUNTIF(Septiembre!$D$4:Septiembre!$D$103,A106)</f>
        <v>0</v>
      </c>
      <c r="H106" s="26">
        <f t="shared" si="17"/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25" t="s">
        <v>110</v>
      </c>
      <c r="B107" s="26">
        <f>SUMIF(Septiembre!$D$4:Septiembre!$D$103,A107,Septiembre!$E$4:Septiembre!$E$103)</f>
        <v>0</v>
      </c>
      <c r="C107" s="26">
        <f>SUMIF(Septiembre!$D$4:Septiembre!$D$103,A107,Septiembre!$G$4:Septiembre!$G$103)</f>
        <v>0</v>
      </c>
      <c r="D107" s="26">
        <f>SUMIF(Septiembre!$D$4:Septiembre!$D$103,A107,Septiembre!$I$4:Septiembre!$I$103)</f>
        <v>0</v>
      </c>
      <c r="E107" s="26">
        <f>SUMIF(Septiembre!$D$4:Septiembre!$D$103,A107,Septiembre!$L$4:Septiembre!$L$103)</f>
        <v>0</v>
      </c>
      <c r="F107" s="26">
        <f>SUMIF(Septiembre!$D$4:Septiembre!$D$103,A107,Septiembre!$M$4:Septiembre!$M$103)</f>
        <v>0</v>
      </c>
      <c r="G107" s="26">
        <f>COUNTIF(Septiembre!$D$4:Septiembre!$D$103,A107)</f>
        <v>0</v>
      </c>
      <c r="H107" s="26">
        <f t="shared" si="17"/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25" t="s">
        <v>111</v>
      </c>
      <c r="B108" s="26">
        <f t="shared" ref="B108:H108" si="18">SUM(B101:B107)</f>
        <v>0</v>
      </c>
      <c r="C108" s="26">
        <f t="shared" si="18"/>
        <v>0</v>
      </c>
      <c r="D108" s="26">
        <f t="shared" si="18"/>
        <v>0</v>
      </c>
      <c r="E108" s="26">
        <f t="shared" si="18"/>
        <v>0</v>
      </c>
      <c r="F108" s="26">
        <f t="shared" si="18"/>
        <v>0</v>
      </c>
      <c r="G108" s="26">
        <f t="shared" si="18"/>
        <v>0</v>
      </c>
      <c r="H108" s="26">
        <f t="shared" si="18"/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6.0" customHeight="1">
      <c r="A111" s="21" t="s">
        <v>120</v>
      </c>
      <c r="B111" s="22"/>
      <c r="C111" s="22"/>
      <c r="D111" s="22"/>
      <c r="E111" s="22"/>
      <c r="F111" s="22"/>
      <c r="G111" s="22"/>
      <c r="H111" s="2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46.5" customHeight="1">
      <c r="A112" s="24" t="s">
        <v>5</v>
      </c>
      <c r="B112" s="24" t="s">
        <v>102</v>
      </c>
      <c r="C112" s="24" t="s">
        <v>103</v>
      </c>
      <c r="D112" s="24" t="s">
        <v>104</v>
      </c>
      <c r="E112" s="24" t="s">
        <v>105</v>
      </c>
      <c r="F112" s="24" t="s">
        <v>106</v>
      </c>
      <c r="G112" s="24" t="s">
        <v>107</v>
      </c>
      <c r="H112" s="24" t="s">
        <v>108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25" t="s">
        <v>49</v>
      </c>
      <c r="B113" s="26">
        <f>SUMIF(Octubre!$D$4:Octubre!$D$103,A113,Octubre!$E$4:Octubre!$E$103)</f>
        <v>355000</v>
      </c>
      <c r="C113" s="26">
        <f>SUMIF(Octubre!$D$4:Octubre!$D$103,A113,Octubre!$G$4:Octubre!$G$103)</f>
        <v>56680.67227</v>
      </c>
      <c r="D113" s="26">
        <f>SUMIF(Octubre!$D$4:Octubre!$D$103,A113,Octubre!$I$4:Octubre!$I$103)</f>
        <v>9852.5</v>
      </c>
      <c r="E113" s="26">
        <f>SUMIF(Octubre!$D$4:Octubre!$D$103,A113,Octubre!$L$4:Octubre!$L$103)</f>
        <v>5278.934874</v>
      </c>
      <c r="F113" s="26">
        <f>SUMIF(Octubre!$D$4:Octubre!$D$103,A113,Octubre!$M$4:Octubre!$M$103)</f>
        <v>283187.8929</v>
      </c>
      <c r="G113" s="26">
        <f>COUNTIF(Octubre!$D$4:Octubre!$D$103,A113)</f>
        <v>8</v>
      </c>
      <c r="H113" s="26">
        <f t="shared" ref="H113:H119" si="19">IF(G113=0,0,B113/G113)</f>
        <v>44375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25" t="s">
        <v>50</v>
      </c>
      <c r="B114" s="26">
        <f>SUMIF(Octubre!$D$4:Octubre!$D$103,A114,Octubre!$E$4:Octubre!$E$103)</f>
        <v>848000</v>
      </c>
      <c r="C114" s="26">
        <f>SUMIF(Octubre!$D$4:Octubre!$D$103,A114,Octubre!$G$4:Octubre!$G$103)</f>
        <v>29537.81513</v>
      </c>
      <c r="D114" s="26">
        <f>SUMIF(Octubre!$D$4:Octubre!$D$103,A114,Octubre!$I$4:Octubre!$I$103)</f>
        <v>5087.5</v>
      </c>
      <c r="E114" s="26">
        <f>SUMIF(Octubre!$D$4:Octubre!$D$103,A114,Octubre!$L$4:Octubre!$L$103)</f>
        <v>43400</v>
      </c>
      <c r="F114" s="26">
        <f>SUMIF(Octubre!$D$4:Octubre!$D$103,A114,Octubre!$M$4:Octubre!$M$103)</f>
        <v>769974.6849</v>
      </c>
      <c r="G114" s="26">
        <f>COUNTIF(Octubre!$D$4:Octubre!$D$103,A114)</f>
        <v>7</v>
      </c>
      <c r="H114" s="26">
        <f t="shared" si="19"/>
        <v>121142.8571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25" t="s">
        <v>51</v>
      </c>
      <c r="B115" s="26">
        <f>SUMIF(Octubre!$D$4:Octubre!$D$103,A115,Octubre!$E$4:Octubre!$E$103)</f>
        <v>279000</v>
      </c>
      <c r="C115" s="26">
        <f>SUMIF(Octubre!$D$4:Octubre!$D$103,A115,Octubre!$G$4:Octubre!$G$103)</f>
        <v>19957.98319</v>
      </c>
      <c r="D115" s="26">
        <f>SUMIF(Octubre!$D$4:Octubre!$D$103,A115,Octubre!$I$4:Octubre!$I$103)</f>
        <v>3597.5</v>
      </c>
      <c r="E115" s="26">
        <f>SUMIF(Octubre!$D$4:Octubre!$D$103,A115,Octubre!$L$4:Octubre!$L$103)</f>
        <v>5763.344538</v>
      </c>
      <c r="F115" s="26">
        <f>SUMIF(Octubre!$D$4:Octubre!$D$103,A115,Octubre!$M$4:Octubre!$M$103)</f>
        <v>249681.1723</v>
      </c>
      <c r="G115" s="26">
        <f>COUNTIF(Octubre!$D$4:Octubre!$D$103,A115)</f>
        <v>5</v>
      </c>
      <c r="H115" s="26">
        <f t="shared" si="19"/>
        <v>55800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25" t="s">
        <v>52</v>
      </c>
      <c r="B116" s="26">
        <f>SUMIF(Octubre!$D$4:Octubre!$D$103,A116,Octubre!$E$4:Octubre!$E$103)</f>
        <v>178000</v>
      </c>
      <c r="C116" s="26">
        <f>SUMIF(Octubre!$D$4:Octubre!$D$103,A116,Octubre!$G$4:Octubre!$G$103)</f>
        <v>14050.42017</v>
      </c>
      <c r="D116" s="26">
        <f>SUMIF(Octubre!$D$4:Octubre!$D$103,A116,Octubre!$I$4:Octubre!$I$103)</f>
        <v>2420</v>
      </c>
      <c r="E116" s="26">
        <f>SUMIF(Octubre!$D$4:Octubre!$D$103,A116,Octubre!$L$4:Octubre!$L$103)</f>
        <v>3150</v>
      </c>
      <c r="F116" s="26">
        <f>SUMIF(Octubre!$D$4:Octubre!$D$103,A116,Octubre!$M$4:Octubre!$M$103)</f>
        <v>158379.5798</v>
      </c>
      <c r="G116" s="26">
        <f>COUNTIF(Octubre!$D$4:Octubre!$D$103,A116)</f>
        <v>4</v>
      </c>
      <c r="H116" s="26">
        <f t="shared" si="19"/>
        <v>44500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25" t="s">
        <v>53</v>
      </c>
      <c r="B117" s="26">
        <f>SUMIF(Octubre!$D$4:Octubre!$D$103,A117,Octubre!$E$4:Octubre!$E$103)</f>
        <v>487000</v>
      </c>
      <c r="C117" s="26">
        <f>SUMIF(Octubre!$D$4:Octubre!$D$103,A117,Octubre!$G$4:Octubre!$G$103)</f>
        <v>26663.86555</v>
      </c>
      <c r="D117" s="26">
        <f>SUMIF(Octubre!$D$4:Octubre!$D$103,A117,Octubre!$I$4:Octubre!$I$103)</f>
        <v>4692.5</v>
      </c>
      <c r="E117" s="26">
        <f>SUMIF(Octubre!$D$4:Octubre!$D$103,A117,Octubre!$L$4:Octubre!$L$103)</f>
        <v>13396.34454</v>
      </c>
      <c r="F117" s="26">
        <f>SUMIF(Octubre!$D$4:Octubre!$D$103,A117,Octubre!$M$4:Octubre!$M$103)</f>
        <v>442247.2899</v>
      </c>
      <c r="G117" s="26">
        <f>COUNTIF(Octubre!$D$4:Octubre!$D$103,A117)</f>
        <v>11</v>
      </c>
      <c r="H117" s="26">
        <f t="shared" si="19"/>
        <v>44272.72727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25" t="s">
        <v>109</v>
      </c>
      <c r="B118" s="26">
        <f>SUMIF(Octubre!$D$4:Octubre!$D$103,A118,Octubre!$E$4:Octubre!$E$103)</f>
        <v>1304000</v>
      </c>
      <c r="C118" s="26">
        <f>SUMIF(Octubre!$D$4:Octubre!$D$103,A118,Octubre!$G$4:Octubre!$G$103)</f>
        <v>112403.3613</v>
      </c>
      <c r="D118" s="26">
        <f>SUMIF(Octubre!$D$4:Octubre!$D$103,A118,Octubre!$I$4:Octubre!$I$103)</f>
        <v>20504</v>
      </c>
      <c r="E118" s="34">
        <f>SUMIF(Octubre!$D$4:Octubre!$D$103,A118,Octubre!$L$4:Octubre!$L$103)</f>
        <v>70554.63193</v>
      </c>
      <c r="F118" s="26">
        <f>SUMIF(Octubre!$D$4:Octubre!$D$103,A118,Octubre!$M$4:Octubre!$M$103)</f>
        <v>1100538.007</v>
      </c>
      <c r="G118" s="26">
        <f>COUNTIF(Octubre!$D$4:Octubre!$D$103,A118)</f>
        <v>15</v>
      </c>
      <c r="H118" s="26">
        <f t="shared" si="19"/>
        <v>86933.33333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25" t="s">
        <v>110</v>
      </c>
      <c r="B119" s="26">
        <f>SUMIF(Octubre!$D$4:Octubre!$D$103,A119,Octubre!$E$4:Octubre!$E$103)</f>
        <v>25000</v>
      </c>
      <c r="C119" s="26">
        <f>SUMIF(Octubre!$D$4:Octubre!$D$103,A119,Octubre!$G$4:Octubre!$G$103)</f>
        <v>0</v>
      </c>
      <c r="D119" s="26">
        <f>SUMIF(Octubre!$D$4:Octubre!$D$103,A119,Octubre!$I$4:Octubre!$I$103)</f>
        <v>0</v>
      </c>
      <c r="E119" s="26">
        <f>SUMIF(Octubre!$D$4:Octubre!$D$103,A119,Octubre!$L$4:Octubre!$L$103)</f>
        <v>0</v>
      </c>
      <c r="F119" s="26">
        <f>SUMIF(Octubre!$D$4:Octubre!$D$103,A119,Octubre!$M$4:Octubre!$M$103)</f>
        <v>25000</v>
      </c>
      <c r="G119" s="26">
        <f>COUNTIF(Octubre!$D$4:Octubre!$D$103,A119)</f>
        <v>1</v>
      </c>
      <c r="H119" s="26">
        <f t="shared" si="19"/>
        <v>25000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25" t="s">
        <v>111</v>
      </c>
      <c r="B120" s="26">
        <f t="shared" ref="B120:H120" si="20">SUM(B113:B119)</f>
        <v>3476000</v>
      </c>
      <c r="C120" s="26">
        <f t="shared" si="20"/>
        <v>259294.1176</v>
      </c>
      <c r="D120" s="26">
        <f t="shared" si="20"/>
        <v>46154</v>
      </c>
      <c r="E120" s="26">
        <f t="shared" si="20"/>
        <v>141543.2559</v>
      </c>
      <c r="F120" s="26">
        <f t="shared" si="20"/>
        <v>3029008.626</v>
      </c>
      <c r="G120" s="26">
        <f t="shared" si="20"/>
        <v>51</v>
      </c>
      <c r="H120" s="26">
        <f t="shared" si="20"/>
        <v>422023.9177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6.0" customHeight="1">
      <c r="A123" s="21" t="s">
        <v>121</v>
      </c>
      <c r="B123" s="22"/>
      <c r="C123" s="22"/>
      <c r="D123" s="22"/>
      <c r="E123" s="22"/>
      <c r="F123" s="22"/>
      <c r="G123" s="22"/>
      <c r="H123" s="2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6.5" customHeight="1">
      <c r="A124" s="24" t="s">
        <v>5</v>
      </c>
      <c r="B124" s="24" t="s">
        <v>102</v>
      </c>
      <c r="C124" s="24" t="s">
        <v>103</v>
      </c>
      <c r="D124" s="24" t="s">
        <v>104</v>
      </c>
      <c r="E124" s="24" t="s">
        <v>105</v>
      </c>
      <c r="F124" s="24" t="s">
        <v>106</v>
      </c>
      <c r="G124" s="24" t="s">
        <v>107</v>
      </c>
      <c r="H124" s="24" t="s">
        <v>108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25" t="s">
        <v>49</v>
      </c>
      <c r="B125" s="26">
        <f>SUMIF(Noviembre!$D$4:Noviembre!$D$103,A125,Noviembre!$E$4:Noviembre!$E$103)</f>
        <v>25000</v>
      </c>
      <c r="C125" s="26">
        <f>SUMIF(Noviembre!$D$4:Noviembre!$D$103,A125,Noviembre!$G$4:Noviembre!$G$103)</f>
        <v>0</v>
      </c>
      <c r="D125" s="26">
        <f>SUMIF(Noviembre!$D$4:Noviembre!$D$103,A125,Noviembre!$I$4:Noviembre!$I$103)</f>
        <v>0</v>
      </c>
      <c r="E125" s="26">
        <f>SUMIF(Noviembre!$D$4:Noviembre!$D$103,A125,Noviembre!$L$4:Noviembre!$L$103)</f>
        <v>0</v>
      </c>
      <c r="F125" s="26">
        <f>SUMIF(Noviembre!$D$4:Noviembre!$D$103,A125,Noviembre!$M$4:Noviembre!$M$103)</f>
        <v>25000</v>
      </c>
      <c r="G125" s="26">
        <f>COUNTIF(Noviembre!$D$4:Noviembre!$D$103,A125)</f>
        <v>1</v>
      </c>
      <c r="H125" s="26">
        <f t="shared" ref="H125:H131" si="21">IF(G125=0,0,B125/G125)</f>
        <v>25000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25" t="s">
        <v>50</v>
      </c>
      <c r="B126" s="26">
        <f>SUMIF(Noviembre!$D$4:Noviembre!$D$103,A126,Noviembre!$E$4:Noviembre!$E$103)</f>
        <v>338000</v>
      </c>
      <c r="C126" s="26">
        <f>SUMIF(Noviembre!$D$4:Noviembre!$D$103,A126,Noviembre!$G$4:Noviembre!$G$103)</f>
        <v>53966.38655</v>
      </c>
      <c r="D126" s="26">
        <f>SUMIF(Noviembre!$D$4:Noviembre!$D$103,A126,Noviembre!$I$4:Noviembre!$I$103)</f>
        <v>9351</v>
      </c>
      <c r="E126" s="26">
        <f>SUMIF(Noviembre!$D$4:Noviembre!$D$103,A126,Noviembre!$L$4:Noviembre!$L$103)</f>
        <v>8857.113866</v>
      </c>
      <c r="F126" s="26">
        <f>SUMIF(Noviembre!$D$4:Noviembre!$D$103,A126,Noviembre!$M$4:Noviembre!$M$103)</f>
        <v>265825.4996</v>
      </c>
      <c r="G126" s="26">
        <f>COUNTIF(Noviembre!$D$4:Noviembre!$D$103,A126)</f>
        <v>7</v>
      </c>
      <c r="H126" s="26">
        <f t="shared" si="21"/>
        <v>48285.71429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25" t="s">
        <v>51</v>
      </c>
      <c r="B127" s="26">
        <f>SUMIF(Noviembre!$D$4:Noviembre!$D$103,A127,Noviembre!$E$4:Noviembre!$E$103)</f>
        <v>491000</v>
      </c>
      <c r="C127" s="26">
        <f>SUMIF(Noviembre!$D$4:Noviembre!$D$103,A127,Noviembre!$G$4:Noviembre!$G$103)</f>
        <v>33689.07563</v>
      </c>
      <c r="D127" s="26">
        <f>SUMIF(Noviembre!$D$4:Noviembre!$D$103,A127,Noviembre!$I$4:Noviembre!$I$103)</f>
        <v>5872.5</v>
      </c>
      <c r="E127" s="26">
        <f>SUMIF(Noviembre!$D$4:Noviembre!$D$103,A127,Noviembre!$L$4:Noviembre!$L$103)</f>
        <v>7942.233193</v>
      </c>
      <c r="F127" s="26">
        <f>SUMIF(Noviembre!$D$4:Noviembre!$D$103,A127,Noviembre!$M$4:Noviembre!$M$103)</f>
        <v>443496.1912</v>
      </c>
      <c r="G127" s="26">
        <f>COUNTIF(Noviembre!$D$4:Noviembre!$D$103,A127)</f>
        <v>16</v>
      </c>
      <c r="H127" s="26">
        <f t="shared" si="21"/>
        <v>30687.5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25" t="s">
        <v>52</v>
      </c>
      <c r="B128" s="26">
        <f>SUMIF(Noviembre!$D$4:Noviembre!$D$103,A128,Noviembre!$E$4:Noviembre!$E$103)</f>
        <v>0</v>
      </c>
      <c r="C128" s="26">
        <f>SUMIF(Noviembre!$D$4:Noviembre!$D$103,A128,Noviembre!$G$4:Noviembre!$G$103)</f>
        <v>0</v>
      </c>
      <c r="D128" s="26">
        <f>SUMIF(Noviembre!$D$4:Noviembre!$D$103,A128,Noviembre!$I$4:Noviembre!$I$103)</f>
        <v>0</v>
      </c>
      <c r="E128" s="26">
        <f>SUMIF(Noviembre!$D$4:Noviembre!$D$103,A128,Noviembre!$L$4:Noviembre!$L$103)</f>
        <v>0</v>
      </c>
      <c r="F128" s="26">
        <f>SUMIF(Noviembre!$D$4:Noviembre!$D$103,A128,Noviembre!$M$4:Noviembre!$M$103)</f>
        <v>0</v>
      </c>
      <c r="G128" s="26">
        <f>COUNTIF(Noviembre!$D$4:Noviembre!$D$103,A128)</f>
        <v>0</v>
      </c>
      <c r="H128" s="26">
        <f t="shared" si="21"/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25" t="s">
        <v>53</v>
      </c>
      <c r="B129" s="26">
        <f>SUMIF(Noviembre!$D$4:Noviembre!$D$103,A129,Noviembre!$E$4:Noviembre!$E$103)</f>
        <v>386000</v>
      </c>
      <c r="C129" s="34">
        <f>SUMIF(Noviembre!$D$4:Noviembre!$D$103,A129,Noviembre!$G$4:Noviembre!$G$103)</f>
        <v>36722.68908</v>
      </c>
      <c r="D129" s="26">
        <f>SUMIF(Noviembre!$D$4:Noviembre!$D$103,A129,Noviembre!$I$4:Noviembre!$I$103)</f>
        <v>6495</v>
      </c>
      <c r="E129" s="26">
        <f>SUMIF(Noviembre!$D$4:Noviembre!$D$103,A129,Noviembre!$L$4:Noviembre!$L$103)</f>
        <v>8461.889706</v>
      </c>
      <c r="F129" s="26">
        <f>SUMIF(Noviembre!$D$4:Noviembre!$D$103,A129,Noviembre!$M$4:Noviembre!$M$103)</f>
        <v>334320.4212</v>
      </c>
      <c r="G129" s="26">
        <f>COUNTIF(Noviembre!$D$4:Noviembre!$D$103,A129)</f>
        <v>12</v>
      </c>
      <c r="H129" s="26">
        <f t="shared" si="21"/>
        <v>32166.66667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25" t="s">
        <v>109</v>
      </c>
      <c r="B130" s="26">
        <f>SUMIF(Noviembre!$D$4:Noviembre!$D$103,A130,Noviembre!$E$4:Noviembre!$E$103)</f>
        <v>914500</v>
      </c>
      <c r="C130" s="26">
        <f>SUMIF(Noviembre!$D$4:Noviembre!$D$103,A130,Noviembre!$G$4:Noviembre!$G$103)</f>
        <v>102663.8655</v>
      </c>
      <c r="D130" s="26">
        <f>SUMIF(Noviembre!$D$4:Noviembre!$D$103,A130,Noviembre!$I$4:Noviembre!$I$103)</f>
        <v>18282.5</v>
      </c>
      <c r="E130" s="26">
        <f>SUMIF(Noviembre!$D$4:Noviembre!$D$103,A130,Noviembre!$L$4:Noviembre!$L$103)</f>
        <v>38232.00945</v>
      </c>
      <c r="F130" s="26">
        <f>SUMIF(Noviembre!$D$4:Noviembre!$D$103,A130,Noviembre!$M$4:Noviembre!$M$103)</f>
        <v>755321.625</v>
      </c>
      <c r="G130" s="26">
        <f>COUNTIF(Noviembre!$D$4:Noviembre!$D$103,A130)</f>
        <v>14</v>
      </c>
      <c r="H130" s="26">
        <f t="shared" si="21"/>
        <v>65321.42857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25" t="s">
        <v>110</v>
      </c>
      <c r="B131" s="26">
        <f>SUMIF(Noviembre!$D$4:Noviembre!$D$103,A131,Noviembre!$E$4:Noviembre!$E$103)</f>
        <v>681000</v>
      </c>
      <c r="C131" s="26">
        <f>SUMIF(Noviembre!$D$4:Noviembre!$D$103,A131,Noviembre!$G$4:Noviembre!$G$103)</f>
        <v>45184.87395</v>
      </c>
      <c r="D131" s="26">
        <f>SUMIF(Noviembre!$D$4:Noviembre!$D$103,A131,Noviembre!$I$4:Noviembre!$I$103)</f>
        <v>7882.5</v>
      </c>
      <c r="E131" s="26">
        <f>SUMIF(Noviembre!$D$4:Noviembre!$D$103,A131,Noviembre!$L$4:Noviembre!$L$103)</f>
        <v>13777.89706</v>
      </c>
      <c r="F131" s="26">
        <f>SUMIF(Noviembre!$D$4:Noviembre!$D$103,A131,Noviembre!$M$4:Noviembre!$M$103)</f>
        <v>614154.729</v>
      </c>
      <c r="G131" s="26">
        <f>COUNTIF(Noviembre!$D$4:Noviembre!$D$103,A131)</f>
        <v>19</v>
      </c>
      <c r="H131" s="26">
        <f t="shared" si="21"/>
        <v>35842.10526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25" t="s">
        <v>111</v>
      </c>
      <c r="B132" s="26">
        <f t="shared" ref="B132:H132" si="22">SUM(B125:B131)</f>
        <v>2835500</v>
      </c>
      <c r="C132" s="26">
        <f t="shared" si="22"/>
        <v>272226.8908</v>
      </c>
      <c r="D132" s="26">
        <f t="shared" si="22"/>
        <v>47883.5</v>
      </c>
      <c r="E132" s="26">
        <f t="shared" si="22"/>
        <v>77271.14328</v>
      </c>
      <c r="F132" s="26">
        <f t="shared" si="22"/>
        <v>2438118.466</v>
      </c>
      <c r="G132" s="26">
        <f t="shared" si="22"/>
        <v>69</v>
      </c>
      <c r="H132" s="26">
        <f t="shared" si="22"/>
        <v>237303.4148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21" t="s">
        <v>122</v>
      </c>
      <c r="B135" s="22"/>
      <c r="C135" s="22"/>
      <c r="D135" s="22"/>
      <c r="E135" s="22"/>
      <c r="F135" s="22"/>
      <c r="G135" s="22"/>
      <c r="H135" s="2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24" t="s">
        <v>5</v>
      </c>
      <c r="B136" s="24" t="s">
        <v>102</v>
      </c>
      <c r="C136" s="24" t="s">
        <v>103</v>
      </c>
      <c r="D136" s="24" t="s">
        <v>104</v>
      </c>
      <c r="E136" s="24" t="s">
        <v>105</v>
      </c>
      <c r="F136" s="24" t="s">
        <v>106</v>
      </c>
      <c r="G136" s="24" t="s">
        <v>107</v>
      </c>
      <c r="H136" s="24" t="s">
        <v>108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25" t="s">
        <v>49</v>
      </c>
      <c r="B137" s="26">
        <f>SUMIF(Diciembre!$D$4:Diciembre!$D$103,A137,Diciembre!$E$4:Diciembre!$E$103)</f>
        <v>0</v>
      </c>
      <c r="C137" s="26">
        <f>SUMIF(Diciembre!$D$4:Diciembre!$D$103,A137,Diciembre!$G$4:Diciembre!$G$103)</f>
        <v>0</v>
      </c>
      <c r="D137" s="26">
        <f>SUMIF(Diciembre!$D$4:Diciembre!$D$103,A137,Diciembre!$I$4:Diciembre!$I$103)</f>
        <v>0</v>
      </c>
      <c r="E137" s="26">
        <f>SUMIF(Diciembre!$D$4:Diciembre!$D$103,A137,Diciembre!$L$4:Diciembre!$L$103)</f>
        <v>0</v>
      </c>
      <c r="F137" s="26">
        <f>SUMIF(Diciembre!$D$4:Diciembre!$D$103,A137,Diciembre!$M$4:Diciembre!$M$103)</f>
        <v>0</v>
      </c>
      <c r="G137" s="26">
        <f>COUNTIF(Diciembre!$D$4:Diciembre!$D$103,A137)</f>
        <v>0</v>
      </c>
      <c r="H137" s="26">
        <f t="shared" ref="H137:H143" si="23">IF(G137=0,0,B137/G137)</f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25" t="s">
        <v>50</v>
      </c>
      <c r="B138" s="26">
        <f>SUMIF(Diciembre!$D$4:Diciembre!$D$103,A138,Diciembre!$E$4:Diciembre!$E$103)</f>
        <v>2278000</v>
      </c>
      <c r="C138" s="26">
        <f>SUMIF(Diciembre!$D$4:Diciembre!$D$103,A138,Diciembre!$G$4:Diciembre!$G$103)</f>
        <v>0</v>
      </c>
      <c r="D138" s="26">
        <f>SUMIF(Diciembre!$D$4:Diciembre!$D$103,A138,Diciembre!$I$4:Diciembre!$I$103)</f>
        <v>0</v>
      </c>
      <c r="E138" s="26">
        <f>SUMIF(Diciembre!$D$4:Diciembre!$D$103,A138,Diciembre!$L$4:Diciembre!$L$103)</f>
        <v>152460</v>
      </c>
      <c r="F138" s="26">
        <f>SUMIF(Diciembre!$D$4:Diciembre!$D$103,A138,Diciembre!$M$4:Diciembre!$M$103)</f>
        <v>2125540</v>
      </c>
      <c r="G138" s="26">
        <f>COUNTIF(Diciembre!$D$4:Diciembre!$D$103,A138)</f>
        <v>54</v>
      </c>
      <c r="H138" s="26">
        <f t="shared" si="23"/>
        <v>42185.18519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25" t="s">
        <v>51</v>
      </c>
      <c r="B139" s="26">
        <f>SUMIF(Diciembre!$D$4:Diciembre!$D$103,A139,Diciembre!$E$4:Diciembre!$E$103)</f>
        <v>0</v>
      </c>
      <c r="C139" s="26">
        <f>SUMIF(Diciembre!$D$4:Diciembre!$D$103,A139,Diciembre!$G$4:Diciembre!$G$103)</f>
        <v>0</v>
      </c>
      <c r="D139" s="26">
        <f>SUMIF(Diciembre!$D$4:Diciembre!$D$103,A139,Diciembre!$I$4:Diciembre!$I$103)</f>
        <v>0</v>
      </c>
      <c r="E139" s="26">
        <f>SUMIF(Diciembre!$D$4:Diciembre!$D$103,A139,Diciembre!$L$4:Diciembre!$L$103)</f>
        <v>0</v>
      </c>
      <c r="F139" s="26">
        <f>SUMIF(Diciembre!$D$4:Diciembre!$D$103,A139,Diciembre!$M$4:Diciembre!$M$103)</f>
        <v>0</v>
      </c>
      <c r="G139" s="26">
        <f>COUNTIF(Diciembre!$D$4:Diciembre!$D$103,A139)</f>
        <v>0</v>
      </c>
      <c r="H139" s="26">
        <f t="shared" si="23"/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25" t="s">
        <v>52</v>
      </c>
      <c r="B140" s="26">
        <f>SUMIF(Diciembre!$D$4:Diciembre!$D$103,A140,Diciembre!$E$4:Diciembre!$E$103)</f>
        <v>0</v>
      </c>
      <c r="C140" s="26">
        <f>SUMIF(Diciembre!$D$4:Diciembre!$D$103,A140,Diciembre!$G$4:Diciembre!$G$103)</f>
        <v>0</v>
      </c>
      <c r="D140" s="26">
        <f>SUMIF(Diciembre!$D$4:Diciembre!$D$103,A140,Diciembre!$I$4:Diciembre!$I$103)</f>
        <v>0</v>
      </c>
      <c r="E140" s="26">
        <f>SUMIF(Diciembre!$D$4:Diciembre!$D$103,A140,Diciembre!$L$4:Diciembre!$L$103)</f>
        <v>0</v>
      </c>
      <c r="F140" s="26">
        <f>SUMIF(Diciembre!$D$4:Diciembre!$D$103,A140,Diciembre!$M$4:Diciembre!$M$103)</f>
        <v>0</v>
      </c>
      <c r="G140" s="26">
        <f>COUNTIF(Diciembre!$D$4:Diciembre!$D$103,A140)</f>
        <v>0</v>
      </c>
      <c r="H140" s="26">
        <f t="shared" si="23"/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25" t="s">
        <v>53</v>
      </c>
      <c r="B141" s="26">
        <f>SUMIF(Diciembre!$D$4:Diciembre!$D$103,A141,Diciembre!$E$4:Diciembre!$E$103)</f>
        <v>0</v>
      </c>
      <c r="C141" s="26">
        <f>SUMIF(Diciembre!$D$4:Diciembre!$D$103,A141,Diciembre!$G$4:Diciembre!$G$103)</f>
        <v>0</v>
      </c>
      <c r="D141" s="26">
        <f>SUMIF(Diciembre!$D$4:Diciembre!$D$103,A141,Diciembre!$I$4:Diciembre!$I$103)</f>
        <v>0</v>
      </c>
      <c r="E141" s="26">
        <f>SUMIF(Diciembre!$D$4:Diciembre!$D$103,A141,Diciembre!$L$4:Diciembre!$L$103)</f>
        <v>0</v>
      </c>
      <c r="F141" s="26">
        <f>SUMIF(Diciembre!$D$4:Diciembre!$D$103,A141,Diciembre!$M$4:Diciembre!$M$103)</f>
        <v>0</v>
      </c>
      <c r="G141" s="26">
        <f>COUNTIF(Diciembre!$D$4:Diciembre!$D$103,A141)</f>
        <v>0</v>
      </c>
      <c r="H141" s="26">
        <f t="shared" si="23"/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25" t="s">
        <v>109</v>
      </c>
      <c r="B142" s="26">
        <f>SUMIF(Diciembre!$D$4:Diciembre!$D$103,A142,Diciembre!$E$4:Diciembre!$E$103)</f>
        <v>75000</v>
      </c>
      <c r="C142" s="26">
        <f>SUMIF(Diciembre!$D$4:Diciembre!$D$103,A142,Diciembre!$G$4:Diciembre!$G$103)</f>
        <v>0</v>
      </c>
      <c r="D142" s="26">
        <f>SUMIF(Diciembre!$D$4:Diciembre!$D$103,A142,Diciembre!$I$4:Diciembre!$I$103)</f>
        <v>0</v>
      </c>
      <c r="E142" s="26">
        <f>SUMIF(Diciembre!$D$4:Diciembre!$D$103,A142,Diciembre!$L$4:Diciembre!$L$103)</f>
        <v>5250</v>
      </c>
      <c r="F142" s="26">
        <f>SUMIF(Diciembre!$D$4:Diciembre!$D$103,A142,Diciembre!$M$4:Diciembre!$M$103)</f>
        <v>69750</v>
      </c>
      <c r="G142" s="26">
        <f>COUNTIF(Diciembre!$D$4:Diciembre!$D$103,A142)</f>
        <v>2</v>
      </c>
      <c r="H142" s="26">
        <f t="shared" si="23"/>
        <v>37500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25" t="s">
        <v>110</v>
      </c>
      <c r="B143" s="26">
        <f>SUMIF(Diciembre!$D$4:Diciembre!$D$103,A143,Diciembre!$E$4:Diciembre!$E$103)</f>
        <v>0</v>
      </c>
      <c r="C143" s="26">
        <f>SUMIF(Diciembre!$D$4:Diciembre!$D$103,A143,Diciembre!$G$4:Diciembre!$G$103)</f>
        <v>0</v>
      </c>
      <c r="D143" s="26">
        <f>SUMIF(Diciembre!$D$4:Diciembre!$D$103,A143,Diciembre!$I$4:Diciembre!$I$103)</f>
        <v>0</v>
      </c>
      <c r="E143" s="26">
        <f>SUMIF(Diciembre!$D$4:Diciembre!$D$103,A143,Diciembre!$L$4:Diciembre!$L$103)</f>
        <v>0</v>
      </c>
      <c r="F143" s="26">
        <f>SUMIF(Diciembre!$D$4:Diciembre!$D$103,A143,Diciembre!$M$4:Diciembre!$M$103)</f>
        <v>0</v>
      </c>
      <c r="G143" s="26">
        <f>COUNTIF(Diciembre!$D$4:Diciembre!$D$103,A143)</f>
        <v>0</v>
      </c>
      <c r="H143" s="26">
        <f t="shared" si="23"/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25" t="s">
        <v>111</v>
      </c>
      <c r="B144" s="26">
        <f t="shared" ref="B144:H144" si="24">SUM(B137:B143)</f>
        <v>2353000</v>
      </c>
      <c r="C144" s="26">
        <f t="shared" si="24"/>
        <v>0</v>
      </c>
      <c r="D144" s="26">
        <f t="shared" si="24"/>
        <v>0</v>
      </c>
      <c r="E144" s="26">
        <f t="shared" si="24"/>
        <v>157710</v>
      </c>
      <c r="F144" s="26">
        <f t="shared" si="24"/>
        <v>2195290</v>
      </c>
      <c r="G144" s="26">
        <f t="shared" si="24"/>
        <v>56</v>
      </c>
      <c r="H144" s="26">
        <f t="shared" si="24"/>
        <v>79685.18519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75:H75"/>
    <mergeCell ref="A87:H87"/>
    <mergeCell ref="A99:H99"/>
    <mergeCell ref="A111:H111"/>
    <mergeCell ref="A123:H123"/>
    <mergeCell ref="A135:H135"/>
    <mergeCell ref="A1:H1"/>
    <mergeCell ref="A3:H3"/>
    <mergeCell ref="A15:H15"/>
    <mergeCell ref="A27:H27"/>
    <mergeCell ref="A39:H39"/>
    <mergeCell ref="A51:H51"/>
    <mergeCell ref="A63:H6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71"/>
    <col customWidth="1" min="2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9.71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123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2795000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18361.34454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38" t="s">
        <v>133</v>
      </c>
      <c r="B4" s="38" t="s">
        <v>134</v>
      </c>
      <c r="C4" s="38" t="s">
        <v>135</v>
      </c>
      <c r="D4" s="38" t="s">
        <v>50</v>
      </c>
      <c r="E4" s="39">
        <v>95000.0</v>
      </c>
      <c r="F4" s="38" t="s">
        <v>136</v>
      </c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95000</v>
      </c>
      <c r="K4" s="40">
        <f t="shared" ref="K4:K103" si="5">IF($O4&lt;&gt;"Tienda",0,IF(OR($F4="Débito",$F4="Crédito"),0.05,IF(OR($F4="Efectivo",$F4="Transferencia"),0.07,0)))</f>
        <v>0.07</v>
      </c>
      <c r="L4" s="36">
        <f t="shared" ref="L4:L103" si="6">IF($O4&lt;&gt;"Tienda",0,$J4*$K4)</f>
        <v>6650</v>
      </c>
      <c r="M4" s="36">
        <f t="shared" ref="M4:M103" si="7">E4-G4-I4-L4</f>
        <v>88350</v>
      </c>
      <c r="N4" s="38" t="s">
        <v>137</v>
      </c>
      <c r="O4" s="38" t="s">
        <v>135</v>
      </c>
      <c r="P4" s="35" t="s">
        <v>104</v>
      </c>
      <c r="Q4" s="36">
        <f>SUM(I4:I103)</f>
        <v>550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1" t="s">
        <v>138</v>
      </c>
      <c r="B5" s="38">
        <v>38.0</v>
      </c>
      <c r="C5" s="38" t="s">
        <v>135</v>
      </c>
      <c r="D5" s="38" t="s">
        <v>50</v>
      </c>
      <c r="E5" s="39">
        <v>80000.0</v>
      </c>
      <c r="F5" s="38" t="s">
        <v>136</v>
      </c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80000</v>
      </c>
      <c r="K5" s="40">
        <f t="shared" si="5"/>
        <v>0.07</v>
      </c>
      <c r="L5" s="36">
        <f t="shared" si="6"/>
        <v>5600</v>
      </c>
      <c r="M5" s="36">
        <f t="shared" si="7"/>
        <v>74400</v>
      </c>
      <c r="N5" s="38" t="s">
        <v>139</v>
      </c>
      <c r="O5" s="38" t="s">
        <v>135</v>
      </c>
      <c r="P5" s="35" t="s">
        <v>140</v>
      </c>
      <c r="Q5" s="36">
        <f>SUM(L4:L103)</f>
        <v>156562.8361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38" t="s">
        <v>141</v>
      </c>
      <c r="B6" s="38" t="s">
        <v>134</v>
      </c>
      <c r="C6" s="38" t="s">
        <v>135</v>
      </c>
      <c r="D6" s="38" t="s">
        <v>50</v>
      </c>
      <c r="E6" s="39">
        <v>180000.0</v>
      </c>
      <c r="F6" s="38" t="s">
        <v>136</v>
      </c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180000</v>
      </c>
      <c r="K6" s="40">
        <f t="shared" si="5"/>
        <v>0</v>
      </c>
      <c r="L6" s="36">
        <f t="shared" si="6"/>
        <v>0</v>
      </c>
      <c r="M6" s="36">
        <f t="shared" si="7"/>
        <v>180000</v>
      </c>
      <c r="N6" s="42"/>
      <c r="O6" s="38"/>
      <c r="P6" s="35" t="s">
        <v>142</v>
      </c>
      <c r="Q6" s="36">
        <f>SUM(M4:M103)</f>
        <v>2619525.819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38" t="s">
        <v>143</v>
      </c>
      <c r="B7" s="38">
        <v>37.0</v>
      </c>
      <c r="C7" s="38" t="s">
        <v>135</v>
      </c>
      <c r="D7" s="38" t="s">
        <v>50</v>
      </c>
      <c r="E7" s="39">
        <v>80000.0</v>
      </c>
      <c r="F7" s="38" t="s">
        <v>136</v>
      </c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80000</v>
      </c>
      <c r="K7" s="40">
        <f t="shared" si="5"/>
        <v>0</v>
      </c>
      <c r="L7" s="36">
        <f t="shared" si="6"/>
        <v>0</v>
      </c>
      <c r="M7" s="36">
        <f t="shared" si="7"/>
        <v>80000</v>
      </c>
      <c r="N7" s="42"/>
      <c r="O7" s="38"/>
      <c r="P7" s="35" t="s">
        <v>144</v>
      </c>
      <c r="Q7" s="36">
        <f>COUNTA(E4:E103)</f>
        <v>28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38" t="s">
        <v>145</v>
      </c>
      <c r="B8" s="38" t="s">
        <v>146</v>
      </c>
      <c r="C8" s="38" t="s">
        <v>135</v>
      </c>
      <c r="D8" s="38" t="s">
        <v>50</v>
      </c>
      <c r="E8" s="39">
        <v>95000.0</v>
      </c>
      <c r="F8" s="38" t="s">
        <v>136</v>
      </c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95000</v>
      </c>
      <c r="K8" s="40">
        <f t="shared" si="5"/>
        <v>0.07</v>
      </c>
      <c r="L8" s="36">
        <f t="shared" si="6"/>
        <v>6650</v>
      </c>
      <c r="M8" s="36">
        <f t="shared" si="7"/>
        <v>88350</v>
      </c>
      <c r="N8" s="38" t="s">
        <v>147</v>
      </c>
      <c r="O8" s="38" t="s">
        <v>135</v>
      </c>
      <c r="P8" s="35" t="s">
        <v>148</v>
      </c>
      <c r="Q8" s="36">
        <f>IF(Q7=0,0,Q6/Q7)</f>
        <v>93554.49355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1" t="s">
        <v>149</v>
      </c>
      <c r="B9" s="42"/>
      <c r="C9" s="38" t="s">
        <v>135</v>
      </c>
      <c r="D9" s="38" t="s">
        <v>50</v>
      </c>
      <c r="E9" s="39">
        <v>95000.0</v>
      </c>
      <c r="F9" s="38" t="s">
        <v>150</v>
      </c>
      <c r="G9" s="36">
        <f t="shared" si="1"/>
        <v>15168.06723</v>
      </c>
      <c r="H9" s="40">
        <f t="shared" si="2"/>
        <v>0</v>
      </c>
      <c r="I9" s="36">
        <f t="shared" si="3"/>
        <v>0</v>
      </c>
      <c r="J9" s="36">
        <f t="shared" si="4"/>
        <v>79831.93277</v>
      </c>
      <c r="K9" s="40">
        <f t="shared" si="5"/>
        <v>0</v>
      </c>
      <c r="L9" s="36">
        <f t="shared" si="6"/>
        <v>0</v>
      </c>
      <c r="M9" s="36">
        <f t="shared" si="7"/>
        <v>79831.93277</v>
      </c>
      <c r="N9" s="42"/>
      <c r="O9" s="38" t="s">
        <v>135</v>
      </c>
      <c r="P9" s="35" t="s">
        <v>151</v>
      </c>
      <c r="Q9" s="36">
        <f>SUMIF(F4:F103,"Débito",M4:M103)</f>
        <v>15443.88655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38" t="s">
        <v>152</v>
      </c>
      <c r="B10" s="42"/>
      <c r="C10" s="38" t="s">
        <v>135</v>
      </c>
      <c r="D10" s="38" t="s">
        <v>50</v>
      </c>
      <c r="E10" s="39">
        <v>280000.0</v>
      </c>
      <c r="F10" s="38" t="s">
        <v>136</v>
      </c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280000</v>
      </c>
      <c r="K10" s="40">
        <f t="shared" si="5"/>
        <v>0.07</v>
      </c>
      <c r="L10" s="36">
        <f t="shared" si="6"/>
        <v>19600</v>
      </c>
      <c r="M10" s="36">
        <f t="shared" si="7"/>
        <v>260400</v>
      </c>
      <c r="N10" s="42"/>
      <c r="O10" s="38" t="s">
        <v>135</v>
      </c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38" t="s">
        <v>154</v>
      </c>
      <c r="B11" s="42"/>
      <c r="C11" s="38" t="s">
        <v>135</v>
      </c>
      <c r="D11" s="38" t="s">
        <v>53</v>
      </c>
      <c r="E11" s="39">
        <v>350000.0</v>
      </c>
      <c r="F11" s="38" t="s">
        <v>136</v>
      </c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350000</v>
      </c>
      <c r="K11" s="40">
        <f t="shared" si="5"/>
        <v>0.07</v>
      </c>
      <c r="L11" s="36">
        <f t="shared" si="6"/>
        <v>24500</v>
      </c>
      <c r="M11" s="36">
        <f t="shared" si="7"/>
        <v>325500</v>
      </c>
      <c r="N11" s="38" t="s">
        <v>155</v>
      </c>
      <c r="O11" s="38" t="s">
        <v>135</v>
      </c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38" t="s">
        <v>157</v>
      </c>
      <c r="B12" s="42"/>
      <c r="C12" s="38" t="s">
        <v>53</v>
      </c>
      <c r="D12" s="38" t="s">
        <v>50</v>
      </c>
      <c r="E12" s="39">
        <v>120000.0</v>
      </c>
      <c r="F12" s="38" t="s">
        <v>136</v>
      </c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120000</v>
      </c>
      <c r="K12" s="40">
        <f t="shared" si="5"/>
        <v>0.07</v>
      </c>
      <c r="L12" s="36">
        <f t="shared" si="6"/>
        <v>8400</v>
      </c>
      <c r="M12" s="36">
        <f t="shared" si="7"/>
        <v>111600</v>
      </c>
      <c r="N12" s="42"/>
      <c r="O12" s="38" t="s">
        <v>135</v>
      </c>
      <c r="P12" s="35" t="s">
        <v>158</v>
      </c>
      <c r="Q12" s="36">
        <f>SUMIF(F4:F103,"Transferencia",M4:M103)</f>
        <v>2524250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38" t="s">
        <v>157</v>
      </c>
      <c r="B13" s="42"/>
      <c r="C13" s="38" t="s">
        <v>135</v>
      </c>
      <c r="D13" s="38" t="s">
        <v>50</v>
      </c>
      <c r="E13" s="39">
        <v>60000.0</v>
      </c>
      <c r="F13" s="38" t="s">
        <v>136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60000</v>
      </c>
      <c r="K13" s="40">
        <f t="shared" si="5"/>
        <v>0.07</v>
      </c>
      <c r="L13" s="36">
        <f t="shared" si="6"/>
        <v>4200</v>
      </c>
      <c r="M13" s="36">
        <f t="shared" si="7"/>
        <v>55800</v>
      </c>
      <c r="N13" s="42"/>
      <c r="O13" s="38" t="s">
        <v>135</v>
      </c>
      <c r="P13" s="35" t="s">
        <v>159</v>
      </c>
      <c r="Q13" s="36">
        <f>SUMIF(F4:F103,"Internet(Shopify)",M4:M103)</f>
        <v>79831.93277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8" t="s">
        <v>160</v>
      </c>
      <c r="B14" s="38" t="s">
        <v>161</v>
      </c>
      <c r="C14" s="38" t="s">
        <v>135</v>
      </c>
      <c r="D14" s="38" t="s">
        <v>50</v>
      </c>
      <c r="E14" s="43">
        <v>25000.0</v>
      </c>
      <c r="F14" s="38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25000</v>
      </c>
      <c r="K14" s="40">
        <f t="shared" si="5"/>
        <v>0</v>
      </c>
      <c r="L14" s="36">
        <f t="shared" si="6"/>
        <v>0</v>
      </c>
      <c r="M14" s="36">
        <f t="shared" si="7"/>
        <v>25000</v>
      </c>
      <c r="N14" s="38" t="s">
        <v>162</v>
      </c>
      <c r="O14" s="38" t="s">
        <v>163</v>
      </c>
      <c r="P14" s="35" t="s">
        <v>164</v>
      </c>
      <c r="Q14" s="36">
        <f>SUMIF(F4:F103,"Débito",M4:M103)+SUMIF(F4:F103,"Crédito",M4:M103)+SUMIF(F4:F103,"Transferencia",M4:M103)</f>
        <v>2539693.887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38" t="s">
        <v>165</v>
      </c>
      <c r="B15" s="42"/>
      <c r="C15" s="38" t="s">
        <v>166</v>
      </c>
      <c r="D15" s="38" t="s">
        <v>49</v>
      </c>
      <c r="E15" s="39">
        <v>95000.0</v>
      </c>
      <c r="F15" s="38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95000</v>
      </c>
      <c r="K15" s="40">
        <f t="shared" si="5"/>
        <v>0.07</v>
      </c>
      <c r="L15" s="36">
        <f t="shared" si="6"/>
        <v>6650</v>
      </c>
      <c r="M15" s="36">
        <f t="shared" si="7"/>
        <v>88350</v>
      </c>
      <c r="N15" s="38" t="s">
        <v>167</v>
      </c>
      <c r="O15" s="38" t="s">
        <v>135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38" t="s">
        <v>169</v>
      </c>
      <c r="B16" s="42"/>
      <c r="C16" s="38" t="s">
        <v>135</v>
      </c>
      <c r="D16" s="38" t="s">
        <v>49</v>
      </c>
      <c r="E16" s="39">
        <v>15000.0</v>
      </c>
      <c r="F16" s="38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15000</v>
      </c>
      <c r="K16" s="40">
        <f t="shared" si="5"/>
        <v>0.07</v>
      </c>
      <c r="L16" s="36">
        <f t="shared" si="6"/>
        <v>1050</v>
      </c>
      <c r="M16" s="36">
        <f t="shared" si="7"/>
        <v>13950</v>
      </c>
      <c r="N16" s="42"/>
      <c r="O16" s="38" t="s">
        <v>135</v>
      </c>
      <c r="P16" s="35" t="s">
        <v>170</v>
      </c>
      <c r="Q16" s="36">
        <f>Q3-Q15</f>
        <v>18361.34454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38" t="s">
        <v>171</v>
      </c>
      <c r="B17" s="38" t="s">
        <v>161</v>
      </c>
      <c r="C17" s="38" t="s">
        <v>135</v>
      </c>
      <c r="D17" s="38" t="s">
        <v>50</v>
      </c>
      <c r="E17" s="39">
        <v>300000.0</v>
      </c>
      <c r="F17" s="38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300000</v>
      </c>
      <c r="K17" s="40">
        <f t="shared" si="5"/>
        <v>0.07</v>
      </c>
      <c r="L17" s="36">
        <f t="shared" si="6"/>
        <v>21000</v>
      </c>
      <c r="M17" s="36">
        <f t="shared" si="7"/>
        <v>279000</v>
      </c>
      <c r="N17" s="42"/>
      <c r="O17" s="38" t="s">
        <v>135</v>
      </c>
      <c r="P17" s="44" t="s">
        <v>172</v>
      </c>
      <c r="Q17" s="45">
        <f>50000+15000+40000+220000+18750+20000+15000+22500+45000+15000</f>
        <v>461250</v>
      </c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38" t="s">
        <v>173</v>
      </c>
      <c r="B18" s="38" t="s">
        <v>146</v>
      </c>
      <c r="C18" s="38" t="s">
        <v>135</v>
      </c>
      <c r="D18" s="38" t="s">
        <v>50</v>
      </c>
      <c r="E18" s="39">
        <v>80000.0</v>
      </c>
      <c r="F18" s="38" t="s">
        <v>136</v>
      </c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80000</v>
      </c>
      <c r="K18" s="40">
        <f t="shared" si="5"/>
        <v>0.07</v>
      </c>
      <c r="L18" s="36">
        <f t="shared" si="6"/>
        <v>5600</v>
      </c>
      <c r="M18" s="36">
        <f t="shared" si="7"/>
        <v>74400</v>
      </c>
      <c r="N18" s="42"/>
      <c r="O18" s="38" t="s">
        <v>135</v>
      </c>
      <c r="P18" s="46" t="s">
        <v>174</v>
      </c>
      <c r="Q18" s="47">
        <f>Q6-Q17</f>
        <v>2158275.819</v>
      </c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38" t="s">
        <v>175</v>
      </c>
      <c r="B19" s="42"/>
      <c r="C19" s="38" t="s">
        <v>53</v>
      </c>
      <c r="D19" s="38" t="s">
        <v>50</v>
      </c>
      <c r="E19" s="39">
        <v>20000.0</v>
      </c>
      <c r="F19" s="38" t="s">
        <v>176</v>
      </c>
      <c r="G19" s="36">
        <f t="shared" si="1"/>
        <v>3193.277311</v>
      </c>
      <c r="H19" s="40">
        <f t="shared" si="2"/>
        <v>0.0275</v>
      </c>
      <c r="I19" s="36">
        <f t="shared" si="3"/>
        <v>550</v>
      </c>
      <c r="J19" s="36">
        <f t="shared" si="4"/>
        <v>16256.72269</v>
      </c>
      <c r="K19" s="40">
        <f t="shared" si="5"/>
        <v>0.05</v>
      </c>
      <c r="L19" s="36">
        <f t="shared" si="6"/>
        <v>812.8361345</v>
      </c>
      <c r="M19" s="36">
        <f t="shared" si="7"/>
        <v>15443.88655</v>
      </c>
      <c r="N19" s="42"/>
      <c r="O19" s="38" t="s">
        <v>135</v>
      </c>
      <c r="P19" s="48"/>
      <c r="Q19" s="48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38" t="s">
        <v>177</v>
      </c>
      <c r="B20" s="42"/>
      <c r="C20" s="38" t="s">
        <v>135</v>
      </c>
      <c r="D20" s="38" t="s">
        <v>50</v>
      </c>
      <c r="E20" s="39">
        <v>120000.0</v>
      </c>
      <c r="F20" s="38" t="s">
        <v>136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120000</v>
      </c>
      <c r="K20" s="40">
        <f t="shared" si="5"/>
        <v>0.07</v>
      </c>
      <c r="L20" s="36">
        <f t="shared" si="6"/>
        <v>8400</v>
      </c>
      <c r="M20" s="36">
        <f t="shared" si="7"/>
        <v>111600</v>
      </c>
      <c r="N20" s="42"/>
      <c r="O20" s="38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38" t="s">
        <v>178</v>
      </c>
      <c r="B21" s="38" t="s">
        <v>179</v>
      </c>
      <c r="C21" s="38" t="s">
        <v>135</v>
      </c>
      <c r="D21" s="38" t="s">
        <v>50</v>
      </c>
      <c r="E21" s="43">
        <v>20000.0</v>
      </c>
      <c r="F21" s="38" t="s">
        <v>136</v>
      </c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20000</v>
      </c>
      <c r="K21" s="40">
        <f t="shared" si="5"/>
        <v>0</v>
      </c>
      <c r="L21" s="36">
        <f t="shared" si="6"/>
        <v>0</v>
      </c>
      <c r="M21" s="36">
        <f t="shared" si="7"/>
        <v>20000</v>
      </c>
      <c r="N21" s="38" t="s">
        <v>180</v>
      </c>
      <c r="O21" s="38" t="s">
        <v>163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38" t="s">
        <v>181</v>
      </c>
      <c r="B22" s="38" t="s">
        <v>179</v>
      </c>
      <c r="C22" s="38" t="s">
        <v>135</v>
      </c>
      <c r="D22" s="38" t="s">
        <v>50</v>
      </c>
      <c r="E22" s="39">
        <v>30000.0</v>
      </c>
      <c r="F22" s="38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30000</v>
      </c>
      <c r="K22" s="40">
        <f t="shared" si="5"/>
        <v>0</v>
      </c>
      <c r="L22" s="36">
        <f t="shared" si="6"/>
        <v>0</v>
      </c>
      <c r="M22" s="36">
        <f t="shared" si="7"/>
        <v>30000</v>
      </c>
      <c r="N22" s="38" t="s">
        <v>182</v>
      </c>
      <c r="O22" s="38" t="s">
        <v>183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38" t="s">
        <v>184</v>
      </c>
      <c r="B23" s="38" t="s">
        <v>185</v>
      </c>
      <c r="C23" s="38" t="s">
        <v>135</v>
      </c>
      <c r="D23" s="42"/>
      <c r="E23" s="43">
        <v>90000.0</v>
      </c>
      <c r="F23" s="38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90000</v>
      </c>
      <c r="K23" s="40">
        <f t="shared" si="5"/>
        <v>0.07</v>
      </c>
      <c r="L23" s="36">
        <f t="shared" si="6"/>
        <v>6300</v>
      </c>
      <c r="M23" s="36">
        <f t="shared" si="7"/>
        <v>83700</v>
      </c>
      <c r="N23" s="38" t="s">
        <v>186</v>
      </c>
      <c r="O23" s="38" t="s">
        <v>135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38" t="s">
        <v>187</v>
      </c>
      <c r="B24" s="38" t="s">
        <v>134</v>
      </c>
      <c r="C24" s="38" t="s">
        <v>53</v>
      </c>
      <c r="D24" s="42"/>
      <c r="E24" s="43">
        <v>30000.0</v>
      </c>
      <c r="F24" s="38" t="s">
        <v>136</v>
      </c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30000</v>
      </c>
      <c r="K24" s="40">
        <f t="shared" si="5"/>
        <v>0.07</v>
      </c>
      <c r="L24" s="36">
        <f t="shared" si="6"/>
        <v>2100</v>
      </c>
      <c r="M24" s="36">
        <f t="shared" si="7"/>
        <v>27900</v>
      </c>
      <c r="N24" s="38" t="s">
        <v>186</v>
      </c>
      <c r="O24" s="38" t="s">
        <v>135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38" t="s">
        <v>188</v>
      </c>
      <c r="B25" s="38" t="s">
        <v>146</v>
      </c>
      <c r="C25" s="38" t="s">
        <v>135</v>
      </c>
      <c r="D25" s="38" t="s">
        <v>109</v>
      </c>
      <c r="E25" s="39">
        <v>30000.0</v>
      </c>
      <c r="F25" s="38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30000</v>
      </c>
      <c r="K25" s="40">
        <f t="shared" si="5"/>
        <v>0.07</v>
      </c>
      <c r="L25" s="36">
        <f t="shared" si="6"/>
        <v>2100</v>
      </c>
      <c r="M25" s="36">
        <f t="shared" si="7"/>
        <v>27900</v>
      </c>
      <c r="N25" s="42"/>
      <c r="O25" s="38" t="s">
        <v>135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38" t="s">
        <v>189</v>
      </c>
      <c r="B26" s="42"/>
      <c r="C26" s="38" t="s">
        <v>135</v>
      </c>
      <c r="D26" s="38" t="s">
        <v>49</v>
      </c>
      <c r="E26" s="43">
        <v>250000.0</v>
      </c>
      <c r="F26" s="38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250000</v>
      </c>
      <c r="K26" s="40">
        <f t="shared" si="5"/>
        <v>0.07</v>
      </c>
      <c r="L26" s="36">
        <f t="shared" si="6"/>
        <v>17500</v>
      </c>
      <c r="M26" s="36">
        <f t="shared" si="7"/>
        <v>232500</v>
      </c>
      <c r="N26" s="42"/>
      <c r="O26" s="38" t="s">
        <v>135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38" t="s">
        <v>190</v>
      </c>
      <c r="B27" s="38" t="s">
        <v>179</v>
      </c>
      <c r="C27" s="38" t="s">
        <v>135</v>
      </c>
      <c r="D27" s="38" t="s">
        <v>109</v>
      </c>
      <c r="E27" s="39">
        <v>60000.0</v>
      </c>
      <c r="F27" s="38" t="s">
        <v>136</v>
      </c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60000</v>
      </c>
      <c r="K27" s="40">
        <f t="shared" si="5"/>
        <v>0</v>
      </c>
      <c r="L27" s="36">
        <f t="shared" si="6"/>
        <v>0</v>
      </c>
      <c r="M27" s="36">
        <f t="shared" si="7"/>
        <v>60000</v>
      </c>
      <c r="N27" s="38" t="s">
        <v>191</v>
      </c>
      <c r="O27" s="38" t="s">
        <v>192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38" t="s">
        <v>193</v>
      </c>
      <c r="B28" s="38" t="s">
        <v>134</v>
      </c>
      <c r="C28" s="38" t="s">
        <v>53</v>
      </c>
      <c r="D28" s="38" t="s">
        <v>109</v>
      </c>
      <c r="E28" s="39">
        <v>25000.0</v>
      </c>
      <c r="F28" s="38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25000</v>
      </c>
      <c r="K28" s="40">
        <f t="shared" si="5"/>
        <v>0.07</v>
      </c>
      <c r="L28" s="36">
        <f t="shared" si="6"/>
        <v>1750</v>
      </c>
      <c r="M28" s="36">
        <f t="shared" si="7"/>
        <v>23250</v>
      </c>
      <c r="N28" s="42"/>
      <c r="O28" s="38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38" t="s">
        <v>194</v>
      </c>
      <c r="B29" s="42"/>
      <c r="C29" s="38" t="s">
        <v>50</v>
      </c>
      <c r="D29" s="38" t="s">
        <v>109</v>
      </c>
      <c r="E29" s="39">
        <v>110000.0</v>
      </c>
      <c r="F29" s="38" t="s">
        <v>136</v>
      </c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110000</v>
      </c>
      <c r="K29" s="40">
        <f t="shared" si="5"/>
        <v>0.07</v>
      </c>
      <c r="L29" s="36">
        <f t="shared" si="6"/>
        <v>7700</v>
      </c>
      <c r="M29" s="36">
        <f t="shared" si="7"/>
        <v>102300</v>
      </c>
      <c r="N29" s="42"/>
      <c r="O29" s="38" t="s">
        <v>135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38" t="s">
        <v>195</v>
      </c>
      <c r="B30" s="42"/>
      <c r="C30" s="38" t="s">
        <v>135</v>
      </c>
      <c r="D30" s="38" t="s">
        <v>109</v>
      </c>
      <c r="E30" s="43">
        <v>20000.0</v>
      </c>
      <c r="F30" s="38" t="s">
        <v>136</v>
      </c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20000</v>
      </c>
      <c r="K30" s="40">
        <f t="shared" si="5"/>
        <v>0</v>
      </c>
      <c r="L30" s="36">
        <f t="shared" si="6"/>
        <v>0</v>
      </c>
      <c r="M30" s="36">
        <f t="shared" si="7"/>
        <v>20000</v>
      </c>
      <c r="N30" s="38" t="s">
        <v>180</v>
      </c>
      <c r="O30" s="38" t="s">
        <v>163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38" t="s">
        <v>196</v>
      </c>
      <c r="B31" s="42"/>
      <c r="C31" s="38" t="s">
        <v>135</v>
      </c>
      <c r="D31" s="38" t="s">
        <v>109</v>
      </c>
      <c r="E31" s="39">
        <v>40000.0</v>
      </c>
      <c r="F31" s="38" t="s">
        <v>136</v>
      </c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40000</v>
      </c>
      <c r="K31" s="40">
        <f t="shared" si="5"/>
        <v>0</v>
      </c>
      <c r="L31" s="36">
        <f t="shared" si="6"/>
        <v>0</v>
      </c>
      <c r="M31" s="36">
        <f t="shared" si="7"/>
        <v>40000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197</v>
      </c>
      <c r="B108" s="22"/>
      <c r="C108" s="22"/>
      <c r="D108" s="23"/>
      <c r="E108" s="1"/>
      <c r="F108" s="1"/>
      <c r="G108" s="51" t="s">
        <v>198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O1"/>
    <mergeCell ref="P18:P19"/>
    <mergeCell ref="Q18:Q19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14"/>
    <col customWidth="1" min="2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7.86"/>
    <col customWidth="1" min="15" max="15" width="30.29"/>
    <col customWidth="1" min="16" max="16" width="38.0"/>
    <col customWidth="1" min="17" max="17" width="26.71"/>
    <col customWidth="1" min="18" max="18" width="20.0"/>
  </cols>
  <sheetData>
    <row r="1" ht="31.5" customHeight="1">
      <c r="A1" s="20" t="s">
        <v>210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3919000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47899.15966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38" t="s">
        <v>211</v>
      </c>
      <c r="B4" s="38" t="s">
        <v>212</v>
      </c>
      <c r="C4" s="38" t="s">
        <v>135</v>
      </c>
      <c r="D4" s="38" t="s">
        <v>49</v>
      </c>
      <c r="E4" s="39">
        <v>80000.0</v>
      </c>
      <c r="F4" s="38" t="s">
        <v>213</v>
      </c>
      <c r="G4" s="36">
        <f t="shared" ref="G4:G103" si="1">IF(OR(F4="Débito",F4="Crédito",F4="Internet(Shopify)"),E4*19/119,0)</f>
        <v>12773.10924</v>
      </c>
      <c r="H4" s="40">
        <f t="shared" ref="H4:H103" si="2">IF(F4="Débito",0.0275,IF(F4="Crédito",0.0295,0))</f>
        <v>0.0295</v>
      </c>
      <c r="I4" s="36">
        <f t="shared" ref="I4:I103" si="3">E4*H4</f>
        <v>2360</v>
      </c>
      <c r="J4" s="36">
        <f t="shared" ref="J4:J103" si="4">E4-G4-I4</f>
        <v>64866.89076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64866.89076</v>
      </c>
      <c r="N4" s="38" t="s">
        <v>214</v>
      </c>
      <c r="O4" s="42"/>
      <c r="P4" s="35" t="s">
        <v>104</v>
      </c>
      <c r="Q4" s="36">
        <f>SUM(I4:I103)</f>
        <v>8650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38" t="s">
        <v>215</v>
      </c>
      <c r="B5" s="38" t="s">
        <v>212</v>
      </c>
      <c r="C5" s="38" t="s">
        <v>135</v>
      </c>
      <c r="D5" s="38" t="s">
        <v>49</v>
      </c>
      <c r="E5" s="43">
        <v>50000.0</v>
      </c>
      <c r="F5" s="38" t="s">
        <v>136</v>
      </c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50000</v>
      </c>
      <c r="K5" s="40">
        <f t="shared" si="5"/>
        <v>0</v>
      </c>
      <c r="L5" s="36">
        <f t="shared" si="6"/>
        <v>0</v>
      </c>
      <c r="M5" s="36">
        <f t="shared" si="7"/>
        <v>50000</v>
      </c>
      <c r="N5" s="38" t="s">
        <v>216</v>
      </c>
      <c r="O5" s="42"/>
      <c r="P5" s="35" t="s">
        <v>140</v>
      </c>
      <c r="Q5" s="36">
        <f>SUM(L4:L103)</f>
        <v>218999.1975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38" t="s">
        <v>217</v>
      </c>
      <c r="B6" s="38" t="s">
        <v>212</v>
      </c>
      <c r="C6" s="38" t="s">
        <v>135</v>
      </c>
      <c r="D6" s="38" t="s">
        <v>49</v>
      </c>
      <c r="E6" s="43">
        <v>30000.0</v>
      </c>
      <c r="F6" s="38" t="s">
        <v>136</v>
      </c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30000</v>
      </c>
      <c r="K6" s="40">
        <f t="shared" si="5"/>
        <v>0</v>
      </c>
      <c r="L6" s="36">
        <f t="shared" si="6"/>
        <v>0</v>
      </c>
      <c r="M6" s="36">
        <f t="shared" si="7"/>
        <v>30000</v>
      </c>
      <c r="N6" s="38" t="s">
        <v>218</v>
      </c>
      <c r="O6" s="42"/>
      <c r="P6" s="35" t="s">
        <v>142</v>
      </c>
      <c r="Q6" s="36">
        <f>SUM(M4:M103)</f>
        <v>3643451.643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38" t="s">
        <v>219</v>
      </c>
      <c r="B7" s="38" t="s">
        <v>146</v>
      </c>
      <c r="C7" s="38" t="s">
        <v>53</v>
      </c>
      <c r="D7" s="38" t="s">
        <v>109</v>
      </c>
      <c r="E7" s="39">
        <v>35000.0</v>
      </c>
      <c r="F7" s="38" t="s">
        <v>136</v>
      </c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35000</v>
      </c>
      <c r="K7" s="40">
        <f t="shared" si="5"/>
        <v>0.07</v>
      </c>
      <c r="L7" s="36">
        <f t="shared" si="6"/>
        <v>2450</v>
      </c>
      <c r="M7" s="36">
        <f t="shared" si="7"/>
        <v>32550</v>
      </c>
      <c r="N7" s="42"/>
      <c r="O7" s="38" t="s">
        <v>135</v>
      </c>
      <c r="P7" s="35" t="s">
        <v>144</v>
      </c>
      <c r="Q7" s="36">
        <f>COUNTA(E4:E103)</f>
        <v>55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38" t="s">
        <v>220</v>
      </c>
      <c r="B8" s="42"/>
      <c r="C8" s="38" t="s">
        <v>53</v>
      </c>
      <c r="D8" s="38" t="s">
        <v>109</v>
      </c>
      <c r="E8" s="39">
        <v>100000.0</v>
      </c>
      <c r="F8" s="38" t="s">
        <v>136</v>
      </c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100000</v>
      </c>
      <c r="K8" s="40">
        <f t="shared" si="5"/>
        <v>0.07</v>
      </c>
      <c r="L8" s="36">
        <f t="shared" si="6"/>
        <v>7000</v>
      </c>
      <c r="M8" s="36">
        <f t="shared" si="7"/>
        <v>93000</v>
      </c>
      <c r="N8" s="42"/>
      <c r="O8" s="38" t="s">
        <v>135</v>
      </c>
      <c r="P8" s="35" t="s">
        <v>148</v>
      </c>
      <c r="Q8" s="36">
        <f>IF(Q7=0,0,Q6/Q7)</f>
        <v>66244.57532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38" t="s">
        <v>221</v>
      </c>
      <c r="B9" s="42"/>
      <c r="C9" s="38" t="s">
        <v>135</v>
      </c>
      <c r="D9" s="38" t="s">
        <v>109</v>
      </c>
      <c r="E9" s="39">
        <v>60000.0</v>
      </c>
      <c r="F9" s="38" t="s">
        <v>136</v>
      </c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60000</v>
      </c>
      <c r="K9" s="40">
        <f t="shared" si="5"/>
        <v>0.07</v>
      </c>
      <c r="L9" s="36">
        <f t="shared" si="6"/>
        <v>4200</v>
      </c>
      <c r="M9" s="36">
        <f t="shared" si="7"/>
        <v>55800</v>
      </c>
      <c r="N9" s="42"/>
      <c r="O9" s="38" t="s">
        <v>135</v>
      </c>
      <c r="P9" s="35" t="s">
        <v>151</v>
      </c>
      <c r="Q9" s="36">
        <f>SUMIF(F4:F103,"Débito",M4:M103)</f>
        <v>77219.43277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38" t="s">
        <v>222</v>
      </c>
      <c r="B10" s="38">
        <v>34.0</v>
      </c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157302.2101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38" t="s">
        <v>222</v>
      </c>
      <c r="B11" s="38">
        <v>34.0</v>
      </c>
      <c r="C11" s="38" t="s">
        <v>50</v>
      </c>
      <c r="D11" s="38" t="s">
        <v>109</v>
      </c>
      <c r="E11" s="39">
        <v>20000.0</v>
      </c>
      <c r="F11" s="38" t="s">
        <v>136</v>
      </c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20000</v>
      </c>
      <c r="K11" s="40">
        <f t="shared" si="5"/>
        <v>0.07</v>
      </c>
      <c r="L11" s="36">
        <f t="shared" si="6"/>
        <v>1400</v>
      </c>
      <c r="M11" s="36">
        <f t="shared" si="7"/>
        <v>18600</v>
      </c>
      <c r="N11" s="38" t="s">
        <v>223</v>
      </c>
      <c r="O11" s="38" t="s">
        <v>135</v>
      </c>
      <c r="P11" s="35" t="s">
        <v>156</v>
      </c>
      <c r="Q11" s="36">
        <f>SUMIF(F4:F103,"Efectivo",M4:M103)</f>
        <v>111600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38" t="s">
        <v>224</v>
      </c>
      <c r="B12" s="38" t="s">
        <v>134</v>
      </c>
      <c r="C12" s="38" t="s">
        <v>53</v>
      </c>
      <c r="D12" s="38" t="s">
        <v>109</v>
      </c>
      <c r="E12" s="39">
        <v>35000.0</v>
      </c>
      <c r="F12" s="38" t="s">
        <v>136</v>
      </c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35000</v>
      </c>
      <c r="K12" s="40">
        <f t="shared" si="5"/>
        <v>0.07</v>
      </c>
      <c r="L12" s="36">
        <f t="shared" si="6"/>
        <v>2450</v>
      </c>
      <c r="M12" s="36">
        <f t="shared" si="7"/>
        <v>32550</v>
      </c>
      <c r="N12" s="42"/>
      <c r="O12" s="38" t="s">
        <v>135</v>
      </c>
      <c r="P12" s="35" t="s">
        <v>158</v>
      </c>
      <c r="Q12" s="36">
        <f>SUMIF(F4:F103,"Transferencia",M4:M103)</f>
        <v>3297330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38" t="s">
        <v>225</v>
      </c>
      <c r="B13" s="38" t="s">
        <v>134</v>
      </c>
      <c r="C13" s="38" t="s">
        <v>50</v>
      </c>
      <c r="D13" s="38" t="s">
        <v>109</v>
      </c>
      <c r="E13" s="39">
        <v>8000.0</v>
      </c>
      <c r="F13" s="38" t="s">
        <v>136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8000</v>
      </c>
      <c r="K13" s="40">
        <f t="shared" si="5"/>
        <v>0.07</v>
      </c>
      <c r="L13" s="36">
        <f t="shared" si="6"/>
        <v>560</v>
      </c>
      <c r="M13" s="36">
        <f t="shared" si="7"/>
        <v>7440</v>
      </c>
      <c r="N13" s="42"/>
      <c r="O13" s="38" t="s">
        <v>135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8" t="s">
        <v>226</v>
      </c>
      <c r="B14" s="38" t="s">
        <v>227</v>
      </c>
      <c r="C14" s="38" t="s">
        <v>49</v>
      </c>
      <c r="D14" s="38" t="s">
        <v>50</v>
      </c>
      <c r="E14" s="43">
        <v>30000.0</v>
      </c>
      <c r="F14" s="38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30000</v>
      </c>
      <c r="K14" s="40">
        <f t="shared" si="5"/>
        <v>0</v>
      </c>
      <c r="L14" s="36">
        <f t="shared" si="6"/>
        <v>0</v>
      </c>
      <c r="M14" s="36">
        <f t="shared" si="7"/>
        <v>30000</v>
      </c>
      <c r="N14" s="38" t="s">
        <v>228</v>
      </c>
      <c r="O14" s="42"/>
      <c r="P14" s="35" t="s">
        <v>164</v>
      </c>
      <c r="Q14" s="36">
        <f>SUMIF(F4:F103,"Débito",M4:M103)+SUMIF(F4:F103,"Crédito",M4:M103)+SUMIF(F4:F103,"Transferencia",M4:M103)</f>
        <v>3531851.643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38" t="s">
        <v>229</v>
      </c>
      <c r="B15" s="38" t="s">
        <v>179</v>
      </c>
      <c r="C15" s="38" t="s">
        <v>50</v>
      </c>
      <c r="D15" s="38" t="s">
        <v>50</v>
      </c>
      <c r="E15" s="43">
        <v>13000.0</v>
      </c>
      <c r="F15" s="38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13000</v>
      </c>
      <c r="K15" s="40">
        <f t="shared" si="5"/>
        <v>0</v>
      </c>
      <c r="L15" s="36">
        <f t="shared" si="6"/>
        <v>0</v>
      </c>
      <c r="M15" s="36">
        <f t="shared" si="7"/>
        <v>13000</v>
      </c>
      <c r="N15" s="38" t="s">
        <v>230</v>
      </c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38" t="s">
        <v>231</v>
      </c>
      <c r="B16" s="42"/>
      <c r="C16" s="38" t="s">
        <v>50</v>
      </c>
      <c r="D16" s="38" t="s">
        <v>53</v>
      </c>
      <c r="E16" s="39">
        <v>30000.0</v>
      </c>
      <c r="F16" s="38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30000</v>
      </c>
      <c r="K16" s="40">
        <f t="shared" si="5"/>
        <v>0.07</v>
      </c>
      <c r="L16" s="36">
        <f t="shared" si="6"/>
        <v>2100</v>
      </c>
      <c r="M16" s="36">
        <f t="shared" si="7"/>
        <v>27900</v>
      </c>
      <c r="N16" s="42"/>
      <c r="O16" s="38" t="s">
        <v>135</v>
      </c>
      <c r="P16" s="35" t="s">
        <v>170</v>
      </c>
      <c r="Q16" s="36">
        <f>Q3-Q15</f>
        <v>47899.15966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38" t="s">
        <v>232</v>
      </c>
      <c r="B17" s="42"/>
      <c r="C17" s="38" t="s">
        <v>166</v>
      </c>
      <c r="D17" s="38" t="s">
        <v>53</v>
      </c>
      <c r="E17" s="43">
        <v>30000.0</v>
      </c>
      <c r="F17" s="38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30000</v>
      </c>
      <c r="K17" s="40">
        <f t="shared" si="5"/>
        <v>0</v>
      </c>
      <c r="L17" s="36">
        <f t="shared" si="6"/>
        <v>0</v>
      </c>
      <c r="M17" s="36">
        <f t="shared" si="7"/>
        <v>30000</v>
      </c>
      <c r="N17" s="38" t="s">
        <v>233</v>
      </c>
      <c r="O17" s="38" t="s">
        <v>234</v>
      </c>
      <c r="P17" s="60" t="s">
        <v>235</v>
      </c>
      <c r="Q17" s="61">
        <f>SUM(E4:E26)</f>
        <v>959000</v>
      </c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38" t="s">
        <v>236</v>
      </c>
      <c r="B18" s="42"/>
      <c r="C18" s="38" t="s">
        <v>49</v>
      </c>
      <c r="D18" s="38" t="s">
        <v>109</v>
      </c>
      <c r="E18" s="39">
        <v>15000.0</v>
      </c>
      <c r="F18" s="38" t="s">
        <v>136</v>
      </c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15000</v>
      </c>
      <c r="K18" s="40">
        <f t="shared" si="5"/>
        <v>0.07</v>
      </c>
      <c r="L18" s="36">
        <f t="shared" si="6"/>
        <v>1050</v>
      </c>
      <c r="M18" s="36">
        <f t="shared" si="7"/>
        <v>13950</v>
      </c>
      <c r="N18" s="42"/>
      <c r="O18" s="38" t="s">
        <v>135</v>
      </c>
      <c r="P18" s="60" t="s">
        <v>237</v>
      </c>
      <c r="Q18" s="62">
        <f>SUM(E27:E560)</f>
        <v>2960000</v>
      </c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38" t="s">
        <v>238</v>
      </c>
      <c r="B19" s="42"/>
      <c r="C19" s="38" t="s">
        <v>49</v>
      </c>
      <c r="D19" s="38" t="s">
        <v>109</v>
      </c>
      <c r="E19" s="39">
        <v>40000.0</v>
      </c>
      <c r="F19" s="38" t="s">
        <v>136</v>
      </c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40000</v>
      </c>
      <c r="K19" s="40">
        <f t="shared" si="5"/>
        <v>0.07</v>
      </c>
      <c r="L19" s="36">
        <f t="shared" si="6"/>
        <v>2800</v>
      </c>
      <c r="M19" s="36">
        <f t="shared" si="7"/>
        <v>37200</v>
      </c>
      <c r="N19" s="42"/>
      <c r="O19" s="38" t="s">
        <v>135</v>
      </c>
      <c r="P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38" t="s">
        <v>239</v>
      </c>
      <c r="B20" s="38" t="s">
        <v>227</v>
      </c>
      <c r="C20" s="38" t="s">
        <v>49</v>
      </c>
      <c r="D20" s="38" t="s">
        <v>50</v>
      </c>
      <c r="E20" s="39">
        <v>20000.0</v>
      </c>
      <c r="F20" s="38" t="s">
        <v>136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20000</v>
      </c>
      <c r="K20" s="40">
        <f t="shared" si="5"/>
        <v>0.07</v>
      </c>
      <c r="L20" s="36">
        <f t="shared" si="6"/>
        <v>1400</v>
      </c>
      <c r="M20" s="36">
        <f t="shared" si="7"/>
        <v>18600</v>
      </c>
      <c r="N20" s="38" t="s">
        <v>230</v>
      </c>
      <c r="O20" s="38" t="s">
        <v>135</v>
      </c>
      <c r="P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38" t="s">
        <v>240</v>
      </c>
      <c r="B21" s="38" t="s">
        <v>227</v>
      </c>
      <c r="C21" s="38" t="s">
        <v>50</v>
      </c>
      <c r="D21" s="38" t="s">
        <v>109</v>
      </c>
      <c r="E21" s="39">
        <v>28000.0</v>
      </c>
      <c r="F21" s="38" t="s">
        <v>136</v>
      </c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28000</v>
      </c>
      <c r="K21" s="40">
        <f t="shared" si="5"/>
        <v>0.07</v>
      </c>
      <c r="L21" s="36">
        <f t="shared" si="6"/>
        <v>1960</v>
      </c>
      <c r="M21" s="36">
        <f t="shared" si="7"/>
        <v>26040</v>
      </c>
      <c r="N21" s="42"/>
      <c r="O21" s="38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38" t="s">
        <v>241</v>
      </c>
      <c r="B22" s="38">
        <v>43.0</v>
      </c>
      <c r="C22" s="38" t="s">
        <v>166</v>
      </c>
      <c r="D22" s="38" t="s">
        <v>53</v>
      </c>
      <c r="E22" s="43">
        <v>180000.0</v>
      </c>
      <c r="F22" s="38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180000</v>
      </c>
      <c r="K22" s="40">
        <f t="shared" si="5"/>
        <v>0.07</v>
      </c>
      <c r="L22" s="36">
        <f t="shared" si="6"/>
        <v>12600</v>
      </c>
      <c r="M22" s="36">
        <f t="shared" si="7"/>
        <v>167400</v>
      </c>
      <c r="N22" s="38" t="s">
        <v>242</v>
      </c>
      <c r="O22" s="38" t="s">
        <v>135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38" t="s">
        <v>243</v>
      </c>
      <c r="B23" s="38" t="s">
        <v>244</v>
      </c>
      <c r="C23" s="38" t="s">
        <v>53</v>
      </c>
      <c r="D23" s="38" t="s">
        <v>109</v>
      </c>
      <c r="E23" s="39">
        <v>35000.0</v>
      </c>
      <c r="F23" s="38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35000</v>
      </c>
      <c r="K23" s="40">
        <f t="shared" si="5"/>
        <v>0.07</v>
      </c>
      <c r="L23" s="36">
        <f t="shared" si="6"/>
        <v>2450</v>
      </c>
      <c r="M23" s="36">
        <f t="shared" si="7"/>
        <v>32550</v>
      </c>
      <c r="N23" s="42"/>
      <c r="O23" s="38" t="s">
        <v>135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38" t="s">
        <v>245</v>
      </c>
      <c r="B24" s="38" t="s">
        <v>227</v>
      </c>
      <c r="C24" s="38" t="s">
        <v>135</v>
      </c>
      <c r="D24" s="38" t="s">
        <v>109</v>
      </c>
      <c r="E24" s="39">
        <v>55000.0</v>
      </c>
      <c r="F24" s="38" t="s">
        <v>136</v>
      </c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55000</v>
      </c>
      <c r="K24" s="40">
        <f t="shared" si="5"/>
        <v>0.07</v>
      </c>
      <c r="L24" s="36">
        <f t="shared" si="6"/>
        <v>3850</v>
      </c>
      <c r="M24" s="36">
        <f t="shared" si="7"/>
        <v>51150</v>
      </c>
      <c r="N24" s="42"/>
      <c r="O24" s="38" t="s">
        <v>135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38" t="s">
        <v>246</v>
      </c>
      <c r="B25" s="38" t="s">
        <v>227</v>
      </c>
      <c r="C25" s="38" t="s">
        <v>135</v>
      </c>
      <c r="D25" s="38" t="s">
        <v>53</v>
      </c>
      <c r="E25" s="39">
        <v>25000.0</v>
      </c>
      <c r="F25" s="38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25000</v>
      </c>
      <c r="K25" s="40">
        <f t="shared" si="5"/>
        <v>0.07</v>
      </c>
      <c r="L25" s="36">
        <f t="shared" si="6"/>
        <v>1750</v>
      </c>
      <c r="M25" s="36">
        <f t="shared" si="7"/>
        <v>23250</v>
      </c>
      <c r="N25" s="42"/>
      <c r="O25" s="38" t="s">
        <v>135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38" t="s">
        <v>247</v>
      </c>
      <c r="B26" s="38" t="s">
        <v>161</v>
      </c>
      <c r="C26" s="38" t="s">
        <v>49</v>
      </c>
      <c r="D26" s="38" t="s">
        <v>53</v>
      </c>
      <c r="E26" s="39">
        <v>40000.0</v>
      </c>
      <c r="F26" s="38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40000</v>
      </c>
      <c r="K26" s="40">
        <f t="shared" si="5"/>
        <v>0.07</v>
      </c>
      <c r="L26" s="36">
        <f t="shared" si="6"/>
        <v>2800</v>
      </c>
      <c r="M26" s="36">
        <f t="shared" si="7"/>
        <v>37200</v>
      </c>
      <c r="N26" s="42"/>
      <c r="O26" s="38" t="s">
        <v>135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38" t="s">
        <v>248</v>
      </c>
      <c r="B27" s="38" t="s">
        <v>146</v>
      </c>
      <c r="C27" s="38" t="s">
        <v>49</v>
      </c>
      <c r="D27" s="38" t="s">
        <v>50</v>
      </c>
      <c r="E27" s="39">
        <v>35000.0</v>
      </c>
      <c r="F27" s="38" t="s">
        <v>136</v>
      </c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35000</v>
      </c>
      <c r="K27" s="40">
        <f t="shared" si="5"/>
        <v>0.07</v>
      </c>
      <c r="L27" s="36">
        <f t="shared" si="6"/>
        <v>2450</v>
      </c>
      <c r="M27" s="36">
        <f t="shared" si="7"/>
        <v>32550</v>
      </c>
      <c r="N27" s="42"/>
      <c r="O27" s="38" t="s">
        <v>135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38" t="s">
        <v>249</v>
      </c>
      <c r="B28" s="38" t="s">
        <v>146</v>
      </c>
      <c r="C28" s="38" t="s">
        <v>135</v>
      </c>
      <c r="D28" s="38" t="s">
        <v>50</v>
      </c>
      <c r="E28" s="39">
        <v>40000.0</v>
      </c>
      <c r="F28" s="38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40000</v>
      </c>
      <c r="K28" s="40">
        <f t="shared" si="5"/>
        <v>0.07</v>
      </c>
      <c r="L28" s="36">
        <f t="shared" si="6"/>
        <v>2800</v>
      </c>
      <c r="M28" s="36">
        <f t="shared" si="7"/>
        <v>37200</v>
      </c>
      <c r="N28" s="42"/>
      <c r="O28" s="38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38" t="s">
        <v>250</v>
      </c>
      <c r="B29" s="38" t="s">
        <v>251</v>
      </c>
      <c r="C29" s="38" t="s">
        <v>53</v>
      </c>
      <c r="D29" s="38" t="s">
        <v>53</v>
      </c>
      <c r="E29" s="39">
        <v>20000.0</v>
      </c>
      <c r="F29" s="38" t="s">
        <v>136</v>
      </c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20000</v>
      </c>
      <c r="K29" s="40">
        <f t="shared" si="5"/>
        <v>0.07</v>
      </c>
      <c r="L29" s="36">
        <f t="shared" si="6"/>
        <v>1400</v>
      </c>
      <c r="M29" s="36">
        <f t="shared" si="7"/>
        <v>18600</v>
      </c>
      <c r="N29" s="42"/>
      <c r="O29" s="38" t="s">
        <v>135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38" t="s">
        <v>252</v>
      </c>
      <c r="B30" s="38" t="s">
        <v>161</v>
      </c>
      <c r="C30" s="38" t="s">
        <v>49</v>
      </c>
      <c r="D30" s="38" t="s">
        <v>53</v>
      </c>
      <c r="E30" s="39">
        <v>70000.0</v>
      </c>
      <c r="F30" s="38" t="s">
        <v>136</v>
      </c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70000</v>
      </c>
      <c r="K30" s="40">
        <f t="shared" si="5"/>
        <v>0.07</v>
      </c>
      <c r="L30" s="36">
        <f t="shared" si="6"/>
        <v>4900</v>
      </c>
      <c r="M30" s="36">
        <f t="shared" si="7"/>
        <v>65100</v>
      </c>
      <c r="N30" s="42"/>
      <c r="O30" s="38" t="s">
        <v>135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38" t="s">
        <v>253</v>
      </c>
      <c r="B31" s="38" t="s">
        <v>244</v>
      </c>
      <c r="C31" s="38" t="s">
        <v>53</v>
      </c>
      <c r="D31" s="38" t="s">
        <v>53</v>
      </c>
      <c r="E31" s="39">
        <v>45000.0</v>
      </c>
      <c r="F31" s="38" t="s">
        <v>136</v>
      </c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45000</v>
      </c>
      <c r="K31" s="40">
        <f t="shared" si="5"/>
        <v>0.07</v>
      </c>
      <c r="L31" s="36">
        <f t="shared" si="6"/>
        <v>3150</v>
      </c>
      <c r="M31" s="36">
        <f t="shared" si="7"/>
        <v>41850</v>
      </c>
      <c r="N31" s="42"/>
      <c r="O31" s="38" t="s">
        <v>135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38" t="s">
        <v>254</v>
      </c>
      <c r="B32" s="38" t="s">
        <v>179</v>
      </c>
      <c r="C32" s="38" t="s">
        <v>49</v>
      </c>
      <c r="D32" s="38" t="s">
        <v>53</v>
      </c>
      <c r="E32" s="39">
        <v>75000.0</v>
      </c>
      <c r="F32" s="38" t="s">
        <v>136</v>
      </c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75000</v>
      </c>
      <c r="K32" s="40">
        <f t="shared" si="5"/>
        <v>0.07</v>
      </c>
      <c r="L32" s="36">
        <f t="shared" si="6"/>
        <v>5250</v>
      </c>
      <c r="M32" s="36">
        <f t="shared" si="7"/>
        <v>69750</v>
      </c>
      <c r="N32" s="42"/>
      <c r="O32" s="38" t="s">
        <v>135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38" t="s">
        <v>255</v>
      </c>
      <c r="B33" s="38" t="s">
        <v>256</v>
      </c>
      <c r="C33" s="38" t="s">
        <v>53</v>
      </c>
      <c r="D33" s="38" t="s">
        <v>50</v>
      </c>
      <c r="E33" s="39">
        <v>25000.0</v>
      </c>
      <c r="F33" s="38" t="s">
        <v>136</v>
      </c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25000</v>
      </c>
      <c r="K33" s="40">
        <f t="shared" si="5"/>
        <v>0.07</v>
      </c>
      <c r="L33" s="36">
        <f t="shared" si="6"/>
        <v>1750</v>
      </c>
      <c r="M33" s="36">
        <f t="shared" si="7"/>
        <v>23250</v>
      </c>
      <c r="N33" s="38" t="s">
        <v>257</v>
      </c>
      <c r="O33" s="38" t="s">
        <v>135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38" t="s">
        <v>258</v>
      </c>
      <c r="B34" s="38" t="s">
        <v>146</v>
      </c>
      <c r="C34" s="38" t="s">
        <v>50</v>
      </c>
      <c r="D34" s="38" t="s">
        <v>50</v>
      </c>
      <c r="E34" s="39">
        <v>25000.0</v>
      </c>
      <c r="F34" s="38" t="s">
        <v>136</v>
      </c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25000</v>
      </c>
      <c r="K34" s="40">
        <f t="shared" si="5"/>
        <v>0.07</v>
      </c>
      <c r="L34" s="36">
        <f t="shared" si="6"/>
        <v>1750</v>
      </c>
      <c r="M34" s="36">
        <f t="shared" si="7"/>
        <v>23250</v>
      </c>
      <c r="N34" s="38" t="s">
        <v>230</v>
      </c>
      <c r="O34" s="38" t="s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38" t="s">
        <v>259</v>
      </c>
      <c r="B35" s="38" t="s">
        <v>260</v>
      </c>
      <c r="C35" s="38" t="s">
        <v>50</v>
      </c>
      <c r="D35" s="38" t="s">
        <v>50</v>
      </c>
      <c r="E35" s="39">
        <v>25000.0</v>
      </c>
      <c r="F35" s="38" t="s">
        <v>176</v>
      </c>
      <c r="G35" s="36">
        <f t="shared" si="1"/>
        <v>3991.596639</v>
      </c>
      <c r="H35" s="40">
        <f t="shared" si="2"/>
        <v>0.0275</v>
      </c>
      <c r="I35" s="36">
        <f t="shared" si="3"/>
        <v>687.5</v>
      </c>
      <c r="J35" s="36">
        <f t="shared" si="4"/>
        <v>20320.90336</v>
      </c>
      <c r="K35" s="40">
        <f t="shared" si="5"/>
        <v>0.05</v>
      </c>
      <c r="L35" s="36">
        <f t="shared" si="6"/>
        <v>1016.045168</v>
      </c>
      <c r="M35" s="36">
        <f t="shared" si="7"/>
        <v>19304.85819</v>
      </c>
      <c r="N35" s="38" t="s">
        <v>230</v>
      </c>
      <c r="O35" s="38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38" t="s">
        <v>261</v>
      </c>
      <c r="B36" s="38" t="s">
        <v>262</v>
      </c>
      <c r="C36" s="38" t="s">
        <v>135</v>
      </c>
      <c r="D36" s="38" t="s">
        <v>50</v>
      </c>
      <c r="E36" s="39">
        <v>25000.0</v>
      </c>
      <c r="F36" s="38" t="s">
        <v>136</v>
      </c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25000</v>
      </c>
      <c r="K36" s="40">
        <f t="shared" si="5"/>
        <v>0</v>
      </c>
      <c r="L36" s="36">
        <f t="shared" si="6"/>
        <v>0</v>
      </c>
      <c r="M36" s="36">
        <f t="shared" si="7"/>
        <v>25000</v>
      </c>
      <c r="N36" s="38" t="s">
        <v>263</v>
      </c>
      <c r="O36" s="38" t="s">
        <v>183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38" t="s">
        <v>264</v>
      </c>
      <c r="B37" s="38" t="s">
        <v>146</v>
      </c>
      <c r="C37" s="38" t="s">
        <v>53</v>
      </c>
      <c r="D37" s="38" t="s">
        <v>53</v>
      </c>
      <c r="E37" s="39">
        <v>35000.0</v>
      </c>
      <c r="F37" s="38" t="s">
        <v>136</v>
      </c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35000</v>
      </c>
      <c r="K37" s="40">
        <f t="shared" si="5"/>
        <v>0.07</v>
      </c>
      <c r="L37" s="36">
        <f t="shared" si="6"/>
        <v>2450</v>
      </c>
      <c r="M37" s="36">
        <f t="shared" si="7"/>
        <v>32550</v>
      </c>
      <c r="N37" s="42"/>
      <c r="O37" s="38" t="s">
        <v>135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38" t="s">
        <v>265</v>
      </c>
      <c r="B38" s="38" t="s">
        <v>134</v>
      </c>
      <c r="C38" s="38" t="s">
        <v>135</v>
      </c>
      <c r="D38" s="38" t="s">
        <v>50</v>
      </c>
      <c r="E38" s="39">
        <v>140000.0</v>
      </c>
      <c r="F38" s="38" t="s">
        <v>136</v>
      </c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140000</v>
      </c>
      <c r="K38" s="40">
        <f t="shared" si="5"/>
        <v>0</v>
      </c>
      <c r="L38" s="36">
        <f t="shared" si="6"/>
        <v>0</v>
      </c>
      <c r="M38" s="36">
        <f t="shared" si="7"/>
        <v>140000</v>
      </c>
      <c r="N38" s="38" t="s">
        <v>266</v>
      </c>
      <c r="O38" s="3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38" t="s">
        <v>267</v>
      </c>
      <c r="B39" s="38" t="s">
        <v>146</v>
      </c>
      <c r="C39" s="38" t="s">
        <v>135</v>
      </c>
      <c r="D39" s="38" t="s">
        <v>50</v>
      </c>
      <c r="E39" s="39">
        <v>120000.0</v>
      </c>
      <c r="F39" s="38" t="s">
        <v>213</v>
      </c>
      <c r="G39" s="36">
        <f t="shared" si="1"/>
        <v>19159.66387</v>
      </c>
      <c r="H39" s="40">
        <f t="shared" si="2"/>
        <v>0.0295</v>
      </c>
      <c r="I39" s="36">
        <f t="shared" si="3"/>
        <v>3540</v>
      </c>
      <c r="J39" s="36">
        <f t="shared" si="4"/>
        <v>97300.33613</v>
      </c>
      <c r="K39" s="40">
        <f t="shared" si="5"/>
        <v>0.05</v>
      </c>
      <c r="L39" s="36">
        <f t="shared" si="6"/>
        <v>4865.016807</v>
      </c>
      <c r="M39" s="36">
        <f t="shared" si="7"/>
        <v>92435.31933</v>
      </c>
      <c r="N39" s="38" t="s">
        <v>257</v>
      </c>
      <c r="O39" s="38" t="s">
        <v>135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38" t="s">
        <v>268</v>
      </c>
      <c r="B40" s="42"/>
      <c r="C40" s="38" t="s">
        <v>135</v>
      </c>
      <c r="D40" s="38" t="s">
        <v>50</v>
      </c>
      <c r="E40" s="43">
        <v>100000.0</v>
      </c>
      <c r="F40" s="38" t="s">
        <v>136</v>
      </c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100000</v>
      </c>
      <c r="K40" s="40">
        <f t="shared" si="5"/>
        <v>0.07</v>
      </c>
      <c r="L40" s="36">
        <f t="shared" si="6"/>
        <v>7000</v>
      </c>
      <c r="M40" s="36">
        <f t="shared" si="7"/>
        <v>93000</v>
      </c>
      <c r="N40" s="42"/>
      <c r="O40" s="38" t="s">
        <v>135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38" t="s">
        <v>269</v>
      </c>
      <c r="B41" s="38" t="s">
        <v>146</v>
      </c>
      <c r="C41" s="38" t="s">
        <v>135</v>
      </c>
      <c r="D41" s="38" t="s">
        <v>53</v>
      </c>
      <c r="E41" s="39">
        <v>80000.0</v>
      </c>
      <c r="F41" s="38" t="s">
        <v>136</v>
      </c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80000</v>
      </c>
      <c r="K41" s="40">
        <f t="shared" si="5"/>
        <v>0</v>
      </c>
      <c r="L41" s="36">
        <f t="shared" si="6"/>
        <v>0</v>
      </c>
      <c r="M41" s="36">
        <f t="shared" si="7"/>
        <v>80000</v>
      </c>
      <c r="N41" s="38" t="s">
        <v>270</v>
      </c>
      <c r="O41" s="38" t="s">
        <v>192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38" t="s">
        <v>269</v>
      </c>
      <c r="B42" s="38" t="s">
        <v>161</v>
      </c>
      <c r="C42" s="38" t="s">
        <v>135</v>
      </c>
      <c r="D42" s="38" t="s">
        <v>109</v>
      </c>
      <c r="E42" s="43">
        <v>80000.0</v>
      </c>
      <c r="F42" s="38" t="s">
        <v>136</v>
      </c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80000</v>
      </c>
      <c r="K42" s="40">
        <f t="shared" si="5"/>
        <v>0</v>
      </c>
      <c r="L42" s="36">
        <f t="shared" si="6"/>
        <v>0</v>
      </c>
      <c r="M42" s="36">
        <f t="shared" si="7"/>
        <v>80000</v>
      </c>
      <c r="N42" s="38" t="s">
        <v>270</v>
      </c>
      <c r="O42" s="38" t="s">
        <v>192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38" t="s">
        <v>271</v>
      </c>
      <c r="B43" s="38" t="s">
        <v>134</v>
      </c>
      <c r="C43" s="38" t="s">
        <v>135</v>
      </c>
      <c r="D43" s="38" t="s">
        <v>50</v>
      </c>
      <c r="E43" s="39">
        <v>30000.0</v>
      </c>
      <c r="F43" s="38" t="s">
        <v>136</v>
      </c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30000</v>
      </c>
      <c r="K43" s="40">
        <f t="shared" si="5"/>
        <v>0.07</v>
      </c>
      <c r="L43" s="36">
        <f t="shared" si="6"/>
        <v>2100</v>
      </c>
      <c r="M43" s="36">
        <f t="shared" si="7"/>
        <v>27900</v>
      </c>
      <c r="N43" s="38" t="s">
        <v>272</v>
      </c>
      <c r="O43" s="38" t="s">
        <v>135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38" t="s">
        <v>273</v>
      </c>
      <c r="B44" s="38" t="s">
        <v>161</v>
      </c>
      <c r="C44" s="38" t="s">
        <v>135</v>
      </c>
      <c r="D44" s="38" t="s">
        <v>50</v>
      </c>
      <c r="E44" s="39">
        <v>55000.0</v>
      </c>
      <c r="F44" s="38" t="s">
        <v>136</v>
      </c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55000</v>
      </c>
      <c r="K44" s="40">
        <f t="shared" si="5"/>
        <v>0</v>
      </c>
      <c r="L44" s="36">
        <f t="shared" si="6"/>
        <v>0</v>
      </c>
      <c r="M44" s="36">
        <f t="shared" si="7"/>
        <v>55000</v>
      </c>
      <c r="N44" s="38" t="s">
        <v>274</v>
      </c>
      <c r="O44" s="38" t="s">
        <v>192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38" t="s">
        <v>275</v>
      </c>
      <c r="B45" s="42"/>
      <c r="C45" s="38" t="s">
        <v>135</v>
      </c>
      <c r="D45" s="38" t="s">
        <v>109</v>
      </c>
      <c r="E45" s="43">
        <v>20000.0</v>
      </c>
      <c r="F45" s="38" t="s">
        <v>176</v>
      </c>
      <c r="G45" s="36">
        <f t="shared" si="1"/>
        <v>3193.277311</v>
      </c>
      <c r="H45" s="40">
        <f t="shared" si="2"/>
        <v>0.0275</v>
      </c>
      <c r="I45" s="36">
        <f t="shared" si="3"/>
        <v>550</v>
      </c>
      <c r="J45" s="36">
        <f t="shared" si="4"/>
        <v>16256.72269</v>
      </c>
      <c r="K45" s="40">
        <f t="shared" si="5"/>
        <v>0.05</v>
      </c>
      <c r="L45" s="36">
        <f t="shared" si="6"/>
        <v>812.8361345</v>
      </c>
      <c r="M45" s="36">
        <f t="shared" si="7"/>
        <v>15443.88655</v>
      </c>
      <c r="N45" s="38" t="s">
        <v>53</v>
      </c>
      <c r="O45" s="38" t="s">
        <v>135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38" t="s">
        <v>276</v>
      </c>
      <c r="B46" s="38" t="s">
        <v>134</v>
      </c>
      <c r="C46" s="38" t="s">
        <v>135</v>
      </c>
      <c r="D46" s="38" t="s">
        <v>50</v>
      </c>
      <c r="E46" s="39">
        <v>250000.0</v>
      </c>
      <c r="F46" s="38" t="s">
        <v>136</v>
      </c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250000</v>
      </c>
      <c r="K46" s="40">
        <f t="shared" si="5"/>
        <v>0.07</v>
      </c>
      <c r="L46" s="36">
        <f t="shared" si="6"/>
        <v>17500</v>
      </c>
      <c r="M46" s="36">
        <f t="shared" si="7"/>
        <v>232500</v>
      </c>
      <c r="N46" s="42"/>
      <c r="O46" s="38" t="s">
        <v>135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38" t="s">
        <v>277</v>
      </c>
      <c r="B47" s="38" t="s">
        <v>134</v>
      </c>
      <c r="C47" s="38" t="s">
        <v>50</v>
      </c>
      <c r="D47" s="38" t="s">
        <v>50</v>
      </c>
      <c r="E47" s="39">
        <v>80000.0</v>
      </c>
      <c r="F47" s="38" t="s">
        <v>136</v>
      </c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80000</v>
      </c>
      <c r="K47" s="40">
        <f t="shared" si="5"/>
        <v>0.07</v>
      </c>
      <c r="L47" s="36">
        <f t="shared" si="6"/>
        <v>5600</v>
      </c>
      <c r="M47" s="36">
        <f t="shared" si="7"/>
        <v>74400</v>
      </c>
      <c r="N47" s="42"/>
      <c r="O47" s="38" t="s">
        <v>135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38" t="s">
        <v>278</v>
      </c>
      <c r="B48" s="38" t="s">
        <v>179</v>
      </c>
      <c r="C48" s="38" t="s">
        <v>135</v>
      </c>
      <c r="D48" s="38" t="s">
        <v>50</v>
      </c>
      <c r="E48" s="39">
        <v>55000.0</v>
      </c>
      <c r="F48" s="38" t="s">
        <v>176</v>
      </c>
      <c r="G48" s="36">
        <f t="shared" si="1"/>
        <v>8781.512605</v>
      </c>
      <c r="H48" s="40">
        <f t="shared" si="2"/>
        <v>0.0275</v>
      </c>
      <c r="I48" s="36">
        <f t="shared" si="3"/>
        <v>1512.5</v>
      </c>
      <c r="J48" s="36">
        <f t="shared" si="4"/>
        <v>44705.98739</v>
      </c>
      <c r="K48" s="40">
        <f t="shared" si="5"/>
        <v>0.05</v>
      </c>
      <c r="L48" s="36">
        <f t="shared" si="6"/>
        <v>2235.29937</v>
      </c>
      <c r="M48" s="36">
        <f t="shared" si="7"/>
        <v>42470.68803</v>
      </c>
      <c r="N48" s="42"/>
      <c r="O48" s="38" t="s">
        <v>135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38" t="s">
        <v>279</v>
      </c>
      <c r="B49" s="38" t="s">
        <v>134</v>
      </c>
      <c r="C49" s="38" t="s">
        <v>135</v>
      </c>
      <c r="D49" s="38" t="s">
        <v>50</v>
      </c>
      <c r="E49" s="39">
        <v>150000.0</v>
      </c>
      <c r="F49" s="38" t="s">
        <v>136</v>
      </c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150000</v>
      </c>
      <c r="K49" s="40">
        <f t="shared" si="5"/>
        <v>0.07</v>
      </c>
      <c r="L49" s="36">
        <f t="shared" si="6"/>
        <v>10500</v>
      </c>
      <c r="M49" s="36">
        <f t="shared" si="7"/>
        <v>139500</v>
      </c>
      <c r="N49" s="42"/>
      <c r="O49" s="38" t="s">
        <v>135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38" t="s">
        <v>280</v>
      </c>
      <c r="B50" s="38" t="s">
        <v>161</v>
      </c>
      <c r="C50" s="38" t="s">
        <v>135</v>
      </c>
      <c r="D50" s="38" t="s">
        <v>50</v>
      </c>
      <c r="E50" s="39">
        <v>230000.0</v>
      </c>
      <c r="F50" s="38" t="s">
        <v>136</v>
      </c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230000</v>
      </c>
      <c r="K50" s="40">
        <f t="shared" si="5"/>
        <v>0.07</v>
      </c>
      <c r="L50" s="36">
        <f t="shared" si="6"/>
        <v>16100</v>
      </c>
      <c r="M50" s="36">
        <f t="shared" si="7"/>
        <v>213900</v>
      </c>
      <c r="N50" s="38" t="s">
        <v>281</v>
      </c>
      <c r="O50" s="38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38" t="s">
        <v>282</v>
      </c>
      <c r="B51" s="38" t="s">
        <v>134</v>
      </c>
      <c r="C51" s="38" t="s">
        <v>135</v>
      </c>
      <c r="D51" s="38" t="s">
        <v>50</v>
      </c>
      <c r="E51" s="39">
        <v>180000.0</v>
      </c>
      <c r="F51" s="38" t="s">
        <v>136</v>
      </c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180000</v>
      </c>
      <c r="K51" s="40">
        <f t="shared" si="5"/>
        <v>0.07</v>
      </c>
      <c r="L51" s="36">
        <f t="shared" si="6"/>
        <v>12600</v>
      </c>
      <c r="M51" s="36">
        <f t="shared" si="7"/>
        <v>167400</v>
      </c>
      <c r="N51" s="42"/>
      <c r="O51" s="38" t="s">
        <v>135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38" t="s">
        <v>141</v>
      </c>
      <c r="B52" s="38" t="s">
        <v>134</v>
      </c>
      <c r="C52" s="38" t="s">
        <v>135</v>
      </c>
      <c r="D52" s="38" t="s">
        <v>53</v>
      </c>
      <c r="E52" s="39">
        <v>140000.0</v>
      </c>
      <c r="F52" s="38" t="s">
        <v>136</v>
      </c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140000</v>
      </c>
      <c r="K52" s="40">
        <f t="shared" si="5"/>
        <v>0.07</v>
      </c>
      <c r="L52" s="36">
        <f t="shared" si="6"/>
        <v>9800</v>
      </c>
      <c r="M52" s="36">
        <f t="shared" si="7"/>
        <v>130200</v>
      </c>
      <c r="N52" s="38" t="s">
        <v>283</v>
      </c>
      <c r="O52" s="38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38" t="s">
        <v>284</v>
      </c>
      <c r="B53" s="38" t="s">
        <v>146</v>
      </c>
      <c r="C53" s="38" t="s">
        <v>49</v>
      </c>
      <c r="D53" s="38" t="s">
        <v>50</v>
      </c>
      <c r="E53" s="39">
        <v>80000.0</v>
      </c>
      <c r="F53" s="38" t="s">
        <v>136</v>
      </c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80000</v>
      </c>
      <c r="K53" s="40">
        <f t="shared" si="5"/>
        <v>0.07</v>
      </c>
      <c r="L53" s="36">
        <f t="shared" si="6"/>
        <v>5600</v>
      </c>
      <c r="M53" s="36">
        <f t="shared" si="7"/>
        <v>74400</v>
      </c>
      <c r="N53" s="42"/>
      <c r="O53" s="38" t="s">
        <v>135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38" t="s">
        <v>285</v>
      </c>
      <c r="B54" s="38" t="s">
        <v>146</v>
      </c>
      <c r="C54" s="38" t="s">
        <v>135</v>
      </c>
      <c r="D54" s="38" t="s">
        <v>50</v>
      </c>
      <c r="E54" s="39">
        <v>85000.0</v>
      </c>
      <c r="F54" s="38" t="s">
        <v>136</v>
      </c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85000</v>
      </c>
      <c r="K54" s="40">
        <f t="shared" si="5"/>
        <v>0</v>
      </c>
      <c r="L54" s="36">
        <f t="shared" si="6"/>
        <v>0</v>
      </c>
      <c r="M54" s="36">
        <f t="shared" si="7"/>
        <v>85000</v>
      </c>
      <c r="N54" s="38" t="s">
        <v>286</v>
      </c>
      <c r="O54" s="38" t="s">
        <v>192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38" t="s">
        <v>287</v>
      </c>
      <c r="B55" s="38" t="s">
        <v>134</v>
      </c>
      <c r="C55" s="38" t="s">
        <v>135</v>
      </c>
      <c r="D55" s="38" t="s">
        <v>50</v>
      </c>
      <c r="E55" s="39">
        <v>85000.0</v>
      </c>
      <c r="F55" s="38" t="s">
        <v>136</v>
      </c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85000</v>
      </c>
      <c r="K55" s="40">
        <f t="shared" si="5"/>
        <v>0.07</v>
      </c>
      <c r="L55" s="36">
        <f t="shared" si="6"/>
        <v>5950</v>
      </c>
      <c r="M55" s="36">
        <f t="shared" si="7"/>
        <v>79050</v>
      </c>
      <c r="N55" s="38" t="s">
        <v>288</v>
      </c>
      <c r="O55" s="38" t="s">
        <v>135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38" t="s">
        <v>276</v>
      </c>
      <c r="B56" s="38" t="s">
        <v>227</v>
      </c>
      <c r="C56" s="38" t="s">
        <v>135</v>
      </c>
      <c r="D56" s="38" t="s">
        <v>53</v>
      </c>
      <c r="E56" s="39">
        <v>75000.0</v>
      </c>
      <c r="F56" s="38" t="s">
        <v>136</v>
      </c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75000</v>
      </c>
      <c r="K56" s="40">
        <f t="shared" si="5"/>
        <v>0.07</v>
      </c>
      <c r="L56" s="36">
        <f t="shared" si="6"/>
        <v>5250</v>
      </c>
      <c r="M56" s="36">
        <f t="shared" si="7"/>
        <v>69750</v>
      </c>
      <c r="N56" s="42"/>
      <c r="O56" s="38" t="s">
        <v>135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38" t="s">
        <v>289</v>
      </c>
      <c r="B57" s="38">
        <v>44.0</v>
      </c>
      <c r="C57" s="38" t="s">
        <v>166</v>
      </c>
      <c r="D57" s="38" t="s">
        <v>53</v>
      </c>
      <c r="E57" s="43">
        <v>75000.0</v>
      </c>
      <c r="F57" s="38" t="s">
        <v>136</v>
      </c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75000</v>
      </c>
      <c r="K57" s="40">
        <f t="shared" si="5"/>
        <v>0.07</v>
      </c>
      <c r="L57" s="36">
        <f t="shared" si="6"/>
        <v>5250</v>
      </c>
      <c r="M57" s="36">
        <f t="shared" si="7"/>
        <v>69750</v>
      </c>
      <c r="N57" s="38" t="s">
        <v>290</v>
      </c>
      <c r="O57" s="38" t="s">
        <v>135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38" t="s">
        <v>291</v>
      </c>
      <c r="B58" s="38" t="s">
        <v>161</v>
      </c>
      <c r="C58" s="38" t="s">
        <v>135</v>
      </c>
      <c r="D58" s="38" t="s">
        <v>53</v>
      </c>
      <c r="E58" s="39">
        <v>120000.0</v>
      </c>
      <c r="F58" s="38" t="s">
        <v>292</v>
      </c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120000</v>
      </c>
      <c r="K58" s="40">
        <f t="shared" si="5"/>
        <v>0.07</v>
      </c>
      <c r="L58" s="36">
        <f t="shared" si="6"/>
        <v>8400</v>
      </c>
      <c r="M58" s="36">
        <f t="shared" si="7"/>
        <v>111600</v>
      </c>
      <c r="N58" s="38" t="s">
        <v>230</v>
      </c>
      <c r="O58" s="38" t="s">
        <v>135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38" t="s">
        <v>293</v>
      </c>
      <c r="B59" s="38" t="s">
        <v>134</v>
      </c>
      <c r="C59" s="38" t="s">
        <v>135</v>
      </c>
      <c r="D59" s="38" t="s">
        <v>53</v>
      </c>
      <c r="E59" s="39">
        <v>310000.0</v>
      </c>
      <c r="F59" s="38" t="s">
        <v>136</v>
      </c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310000</v>
      </c>
      <c r="K59" s="40">
        <f t="shared" si="5"/>
        <v>0.07</v>
      </c>
      <c r="L59" s="36">
        <f t="shared" si="6"/>
        <v>21700</v>
      </c>
      <c r="M59" s="36">
        <f t="shared" si="7"/>
        <v>288300</v>
      </c>
      <c r="N59" s="38" t="s">
        <v>294</v>
      </c>
      <c r="O59" s="38" t="s">
        <v>135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295</v>
      </c>
      <c r="B108" s="22"/>
      <c r="C108" s="22"/>
      <c r="D108" s="23"/>
      <c r="E108" s="1"/>
      <c r="F108" s="1"/>
      <c r="G108" s="51" t="s">
        <v>296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297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/>
      <c r="B4" s="42"/>
      <c r="C4" s="42"/>
      <c r="D4" s="42"/>
      <c r="E4" s="49"/>
      <c r="F4" s="42"/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0</v>
      </c>
      <c r="N4" s="42"/>
      <c r="O4" s="42" t="s">
        <v>135</v>
      </c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/>
      <c r="B5" s="42"/>
      <c r="C5" s="42"/>
      <c r="D5" s="42"/>
      <c r="E5" s="49"/>
      <c r="F5" s="42"/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0</v>
      </c>
      <c r="K5" s="40">
        <f t="shared" si="5"/>
        <v>0</v>
      </c>
      <c r="L5" s="36">
        <f t="shared" si="6"/>
        <v>0</v>
      </c>
      <c r="M5" s="36">
        <f t="shared" si="7"/>
        <v>0</v>
      </c>
      <c r="N5" s="42"/>
      <c r="O5" s="42"/>
      <c r="P5" s="35" t="s">
        <v>140</v>
      </c>
      <c r="Q5" s="36">
        <f>SUM(L4:L103)</f>
        <v>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/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/>
      <c r="B7" s="42"/>
      <c r="C7" s="42"/>
      <c r="D7" s="42"/>
      <c r="E7" s="49"/>
      <c r="F7" s="42"/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0</v>
      </c>
      <c r="K7" s="40">
        <f t="shared" si="5"/>
        <v>0</v>
      </c>
      <c r="L7" s="36">
        <f t="shared" si="6"/>
        <v>0</v>
      </c>
      <c r="M7" s="36">
        <f t="shared" si="7"/>
        <v>0</v>
      </c>
      <c r="N7" s="42"/>
      <c r="O7" s="42"/>
      <c r="P7" s="35" t="s">
        <v>144</v>
      </c>
      <c r="Q7" s="36">
        <f>COUNTA(E4:E103)</f>
        <v>0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/>
      <c r="B8" s="42"/>
      <c r="C8" s="42"/>
      <c r="D8" s="42"/>
      <c r="E8" s="49"/>
      <c r="F8" s="42"/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0</v>
      </c>
      <c r="K8" s="40">
        <f t="shared" si="5"/>
        <v>0</v>
      </c>
      <c r="L8" s="36">
        <f t="shared" si="6"/>
        <v>0</v>
      </c>
      <c r="M8" s="36">
        <f t="shared" si="7"/>
        <v>0</v>
      </c>
      <c r="N8" s="42"/>
      <c r="O8" s="42"/>
      <c r="P8" s="35" t="s">
        <v>148</v>
      </c>
      <c r="Q8" s="36">
        <f>IF(Q7=0,0,Q6/Q7)</f>
        <v>0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/>
      <c r="B9" s="42"/>
      <c r="C9" s="42"/>
      <c r="D9" s="42"/>
      <c r="E9" s="49"/>
      <c r="F9" s="42"/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0</v>
      </c>
      <c r="K9" s="40">
        <f t="shared" si="5"/>
        <v>0</v>
      </c>
      <c r="L9" s="36">
        <f t="shared" si="6"/>
        <v>0</v>
      </c>
      <c r="M9" s="36">
        <f t="shared" si="7"/>
        <v>0</v>
      </c>
      <c r="N9" s="42"/>
      <c r="O9" s="42"/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/>
      <c r="B10" s="42"/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/>
      <c r="B11" s="42"/>
      <c r="C11" s="42"/>
      <c r="D11" s="42"/>
      <c r="E11" s="49"/>
      <c r="F11" s="42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/>
      <c r="B12" s="42"/>
      <c r="C12" s="42"/>
      <c r="D12" s="42"/>
      <c r="E12" s="49"/>
      <c r="F12" s="42"/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0</v>
      </c>
      <c r="K12" s="40">
        <f t="shared" si="5"/>
        <v>0</v>
      </c>
      <c r="L12" s="36">
        <f t="shared" si="6"/>
        <v>0</v>
      </c>
      <c r="M12" s="36">
        <f t="shared" si="7"/>
        <v>0</v>
      </c>
      <c r="N12" s="42"/>
      <c r="O12" s="42"/>
      <c r="P12" s="35" t="s">
        <v>158</v>
      </c>
      <c r="Q12" s="36">
        <f>SUMIF(F4:F103,"Transferencia",M4:M103)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/>
      <c r="B13" s="42"/>
      <c r="C13" s="42"/>
      <c r="D13" s="42"/>
      <c r="E13" s="49"/>
      <c r="F13" s="42"/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0</v>
      </c>
      <c r="K13" s="40">
        <f t="shared" si="5"/>
        <v>0</v>
      </c>
      <c r="L13" s="36">
        <f t="shared" si="6"/>
        <v>0</v>
      </c>
      <c r="M13" s="36">
        <f t="shared" si="7"/>
        <v>0</v>
      </c>
      <c r="N13" s="42"/>
      <c r="O13" s="42"/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/>
      <c r="B14" s="42"/>
      <c r="C14" s="42"/>
      <c r="D14" s="42"/>
      <c r="E14" s="49"/>
      <c r="F14" s="42"/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0</v>
      </c>
      <c r="K14" s="40">
        <f t="shared" si="5"/>
        <v>0</v>
      </c>
      <c r="L14" s="36">
        <f t="shared" si="6"/>
        <v>0</v>
      </c>
      <c r="M14" s="36">
        <f t="shared" si="7"/>
        <v>0</v>
      </c>
      <c r="N14" s="42"/>
      <c r="O14" s="42"/>
      <c r="P14" s="35" t="s">
        <v>164</v>
      </c>
      <c r="Q14" s="36">
        <f>SUMIF(F4:F103,"Débito",M4:M103)+SUMIF(F4:F103,"Crédito",M4:M103)+SUMIF(F4:F103,"Transferencia",M4:M103)</f>
        <v>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/>
      <c r="B15" s="42"/>
      <c r="C15" s="42"/>
      <c r="D15" s="42"/>
      <c r="E15" s="49"/>
      <c r="F15" s="42"/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0</v>
      </c>
      <c r="K15" s="40">
        <f t="shared" si="5"/>
        <v>0</v>
      </c>
      <c r="L15" s="36">
        <f t="shared" si="6"/>
        <v>0</v>
      </c>
      <c r="M15" s="36">
        <f t="shared" si="7"/>
        <v>0</v>
      </c>
      <c r="N15" s="42"/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/>
      <c r="B16" s="42"/>
      <c r="C16" s="42"/>
      <c r="D16" s="42"/>
      <c r="E16" s="49"/>
      <c r="F16" s="42"/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0</v>
      </c>
      <c r="K16" s="40">
        <f t="shared" si="5"/>
        <v>0</v>
      </c>
      <c r="L16" s="36">
        <f t="shared" si="6"/>
        <v>0</v>
      </c>
      <c r="M16" s="36">
        <f t="shared" si="7"/>
        <v>0</v>
      </c>
      <c r="N16" s="42"/>
      <c r="O16" s="42"/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/>
      <c r="B17" s="42"/>
      <c r="C17" s="42"/>
      <c r="D17" s="42"/>
      <c r="E17" s="49"/>
      <c r="F17" s="42"/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0</v>
      </c>
      <c r="K17" s="40">
        <f t="shared" si="5"/>
        <v>0</v>
      </c>
      <c r="L17" s="36">
        <f t="shared" si="6"/>
        <v>0</v>
      </c>
      <c r="M17" s="36">
        <f t="shared" si="7"/>
        <v>0</v>
      </c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/>
      <c r="B18" s="42"/>
      <c r="C18" s="42"/>
      <c r="D18" s="42"/>
      <c r="E18" s="49"/>
      <c r="F18" s="42"/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0</v>
      </c>
      <c r="K18" s="40">
        <f t="shared" si="5"/>
        <v>0</v>
      </c>
      <c r="L18" s="36">
        <f t="shared" si="6"/>
        <v>0</v>
      </c>
      <c r="M18" s="36">
        <f t="shared" si="7"/>
        <v>0</v>
      </c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/>
      <c r="B19" s="42"/>
      <c r="C19" s="42"/>
      <c r="D19" s="42"/>
      <c r="E19" s="49"/>
      <c r="F19" s="42"/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0</v>
      </c>
      <c r="K19" s="40">
        <f t="shared" si="5"/>
        <v>0</v>
      </c>
      <c r="L19" s="36">
        <f t="shared" si="6"/>
        <v>0</v>
      </c>
      <c r="M19" s="36">
        <f t="shared" si="7"/>
        <v>0</v>
      </c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/>
      <c r="B20" s="42"/>
      <c r="C20" s="42"/>
      <c r="D20" s="42"/>
      <c r="E20" s="49"/>
      <c r="F20" s="42"/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0</v>
      </c>
      <c r="K20" s="40">
        <f t="shared" si="5"/>
        <v>0</v>
      </c>
      <c r="L20" s="36">
        <f t="shared" si="6"/>
        <v>0</v>
      </c>
      <c r="M20" s="36">
        <f t="shared" si="7"/>
        <v>0</v>
      </c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/>
      <c r="B21" s="42"/>
      <c r="C21" s="42"/>
      <c r="D21" s="42"/>
      <c r="E21" s="49"/>
      <c r="F21" s="42"/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0</v>
      </c>
      <c r="K21" s="40">
        <f t="shared" si="5"/>
        <v>0</v>
      </c>
      <c r="L21" s="36">
        <f t="shared" si="6"/>
        <v>0</v>
      </c>
      <c r="M21" s="36">
        <f t="shared" si="7"/>
        <v>0</v>
      </c>
      <c r="N21" s="42"/>
      <c r="O21" s="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/>
      <c r="B22" s="42"/>
      <c r="C22" s="42"/>
      <c r="D22" s="42"/>
      <c r="E22" s="49"/>
      <c r="F22" s="42"/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0</v>
      </c>
      <c r="K22" s="40">
        <f t="shared" si="5"/>
        <v>0</v>
      </c>
      <c r="L22" s="36">
        <f t="shared" si="6"/>
        <v>0</v>
      </c>
      <c r="M22" s="36">
        <f t="shared" si="7"/>
        <v>0</v>
      </c>
      <c r="N22" s="42"/>
      <c r="O22" s="4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/>
      <c r="B23" s="42"/>
      <c r="C23" s="42"/>
      <c r="D23" s="42"/>
      <c r="E23" s="49"/>
      <c r="F23" s="42"/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0</v>
      </c>
      <c r="K23" s="40">
        <f t="shared" si="5"/>
        <v>0</v>
      </c>
      <c r="L23" s="36">
        <f t="shared" si="6"/>
        <v>0</v>
      </c>
      <c r="M23" s="36">
        <f t="shared" si="7"/>
        <v>0</v>
      </c>
      <c r="N23" s="42"/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/>
      <c r="B24" s="42"/>
      <c r="C24" s="42"/>
      <c r="D24" s="42"/>
      <c r="E24" s="49"/>
      <c r="F24" s="42"/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0</v>
      </c>
      <c r="K24" s="40">
        <f t="shared" si="5"/>
        <v>0</v>
      </c>
      <c r="L24" s="36">
        <f t="shared" si="6"/>
        <v>0</v>
      </c>
      <c r="M24" s="36">
        <f t="shared" si="7"/>
        <v>0</v>
      </c>
      <c r="N24" s="42"/>
      <c r="O24" s="4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/>
      <c r="B25" s="42"/>
      <c r="C25" s="42"/>
      <c r="D25" s="42"/>
      <c r="E25" s="49"/>
      <c r="F25" s="42"/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</v>
      </c>
      <c r="L25" s="36">
        <f t="shared" si="6"/>
        <v>0</v>
      </c>
      <c r="M25" s="36">
        <f t="shared" si="7"/>
        <v>0</v>
      </c>
      <c r="N25" s="42"/>
      <c r="O25" s="4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/>
      <c r="B26" s="42"/>
      <c r="C26" s="42"/>
      <c r="D26" s="42"/>
      <c r="E26" s="49"/>
      <c r="F26" s="42"/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</v>
      </c>
      <c r="L26" s="36">
        <f t="shared" si="6"/>
        <v>0</v>
      </c>
      <c r="M26" s="36">
        <f t="shared" si="7"/>
        <v>0</v>
      </c>
      <c r="N26" s="42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/>
      <c r="B27" s="42"/>
      <c r="C27" s="42"/>
      <c r="D27" s="42"/>
      <c r="E27" s="49"/>
      <c r="F27" s="42"/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0</v>
      </c>
      <c r="K27" s="40">
        <f t="shared" si="5"/>
        <v>0</v>
      </c>
      <c r="L27" s="36">
        <f t="shared" si="6"/>
        <v>0</v>
      </c>
      <c r="M27" s="36">
        <f t="shared" si="7"/>
        <v>0</v>
      </c>
      <c r="N27" s="42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/>
      <c r="B28" s="42"/>
      <c r="C28" s="42"/>
      <c r="D28" s="42"/>
      <c r="E28" s="49"/>
      <c r="F28" s="42"/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0</v>
      </c>
      <c r="K28" s="40">
        <f t="shared" si="5"/>
        <v>0</v>
      </c>
      <c r="L28" s="36">
        <f t="shared" si="6"/>
        <v>0</v>
      </c>
      <c r="M28" s="36">
        <f t="shared" si="7"/>
        <v>0</v>
      </c>
      <c r="N28" s="42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/>
      <c r="B29" s="42"/>
      <c r="C29" s="42"/>
      <c r="D29" s="42"/>
      <c r="E29" s="49"/>
      <c r="F29" s="42"/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0</v>
      </c>
      <c r="K29" s="40">
        <f t="shared" si="5"/>
        <v>0</v>
      </c>
      <c r="L29" s="36">
        <f t="shared" si="6"/>
        <v>0</v>
      </c>
      <c r="M29" s="36">
        <f t="shared" si="7"/>
        <v>0</v>
      </c>
      <c r="N29" s="42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/>
      <c r="B30" s="42"/>
      <c r="C30" s="42"/>
      <c r="D30" s="42"/>
      <c r="E30" s="49"/>
      <c r="F30" s="42"/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0</v>
      </c>
      <c r="K30" s="40">
        <f t="shared" si="5"/>
        <v>0</v>
      </c>
      <c r="L30" s="36">
        <f t="shared" si="6"/>
        <v>0</v>
      </c>
      <c r="M30" s="36">
        <f t="shared" si="7"/>
        <v>0</v>
      </c>
      <c r="N30" s="42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/>
      <c r="B31" s="42"/>
      <c r="C31" s="42"/>
      <c r="D31" s="42"/>
      <c r="E31" s="49"/>
      <c r="F31" s="42"/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0</v>
      </c>
      <c r="K31" s="40">
        <f t="shared" si="5"/>
        <v>0</v>
      </c>
      <c r="L31" s="36">
        <f t="shared" si="6"/>
        <v>0</v>
      </c>
      <c r="M31" s="36">
        <f t="shared" si="7"/>
        <v>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298</v>
      </c>
      <c r="B108" s="22"/>
      <c r="C108" s="22"/>
      <c r="D108" s="23"/>
      <c r="E108" s="1"/>
      <c r="F108" s="1"/>
      <c r="G108" s="51" t="s">
        <v>299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48.86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300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2701600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8781.512605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38" t="s">
        <v>301</v>
      </c>
      <c r="B4" s="38" t="s">
        <v>262</v>
      </c>
      <c r="C4" s="38" t="s">
        <v>50</v>
      </c>
      <c r="D4" s="38" t="s">
        <v>109</v>
      </c>
      <c r="E4" s="39">
        <v>300000.0</v>
      </c>
      <c r="F4" s="38" t="s">
        <v>136</v>
      </c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300000</v>
      </c>
      <c r="K4" s="40">
        <f t="shared" ref="K4:K103" si="5">IF($O4&lt;&gt;"Tienda",0,IF(OR($F4="Débito",$F4="Crédito"),0.05,IF(OR($F4="Efectivo",$F4="Transferencia"),0.07,0)))</f>
        <v>0.07</v>
      </c>
      <c r="L4" s="36">
        <f t="shared" ref="L4:L103" si="6">IF($O4&lt;&gt;"Tienda",0,$J4*$K4)</f>
        <v>21000</v>
      </c>
      <c r="M4" s="36">
        <f t="shared" ref="M4:M103" si="7">E4-G4-I4-L4</f>
        <v>279000</v>
      </c>
      <c r="N4" s="42"/>
      <c r="O4" s="38" t="s">
        <v>135</v>
      </c>
      <c r="P4" s="35" t="s">
        <v>104</v>
      </c>
      <c r="Q4" s="36">
        <f>SUM(I4:I103)</f>
        <v>1512.5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38" t="s">
        <v>302</v>
      </c>
      <c r="B5" s="38" t="s">
        <v>303</v>
      </c>
      <c r="C5" s="38" t="s">
        <v>50</v>
      </c>
      <c r="D5" s="38" t="s">
        <v>50</v>
      </c>
      <c r="E5" s="39">
        <v>40000.0</v>
      </c>
      <c r="F5" s="38" t="s">
        <v>136</v>
      </c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40000</v>
      </c>
      <c r="K5" s="40">
        <f t="shared" si="5"/>
        <v>0.07</v>
      </c>
      <c r="L5" s="36">
        <f t="shared" si="6"/>
        <v>2800</v>
      </c>
      <c r="M5" s="36">
        <f t="shared" si="7"/>
        <v>37200</v>
      </c>
      <c r="N5" s="38" t="s">
        <v>304</v>
      </c>
      <c r="O5" s="38" t="s">
        <v>135</v>
      </c>
      <c r="P5" s="35" t="s">
        <v>140</v>
      </c>
      <c r="Q5" s="36">
        <f>SUM(L4:L103)</f>
        <v>145287.2994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38" t="s">
        <v>305</v>
      </c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2546018.688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38" t="s">
        <v>306</v>
      </c>
      <c r="B7" s="38" t="s">
        <v>179</v>
      </c>
      <c r="C7" s="38" t="s">
        <v>50</v>
      </c>
      <c r="D7" s="38" t="s">
        <v>109</v>
      </c>
      <c r="E7" s="39">
        <v>30000.0</v>
      </c>
      <c r="F7" s="38" t="s">
        <v>136</v>
      </c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30000</v>
      </c>
      <c r="K7" s="40">
        <f t="shared" si="5"/>
        <v>0.07</v>
      </c>
      <c r="L7" s="36">
        <f t="shared" si="6"/>
        <v>2100</v>
      </c>
      <c r="M7" s="36">
        <f t="shared" si="7"/>
        <v>27900</v>
      </c>
      <c r="N7" s="42"/>
      <c r="O7" s="38" t="s">
        <v>135</v>
      </c>
      <c r="P7" s="35" t="s">
        <v>144</v>
      </c>
      <c r="Q7" s="36">
        <f>COUNTA(E4:E103)</f>
        <v>59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38" t="s">
        <v>307</v>
      </c>
      <c r="B8" s="42"/>
      <c r="C8" s="38" t="s">
        <v>135</v>
      </c>
      <c r="D8" s="38" t="s">
        <v>109</v>
      </c>
      <c r="E8" s="39">
        <v>40000.0</v>
      </c>
      <c r="F8" s="38" t="s">
        <v>136</v>
      </c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40000</v>
      </c>
      <c r="K8" s="40">
        <f t="shared" si="5"/>
        <v>0</v>
      </c>
      <c r="L8" s="36">
        <f t="shared" si="6"/>
        <v>0</v>
      </c>
      <c r="M8" s="36">
        <f t="shared" si="7"/>
        <v>40000</v>
      </c>
      <c r="N8" s="38" t="s">
        <v>308</v>
      </c>
      <c r="O8" s="38" t="s">
        <v>183</v>
      </c>
      <c r="P8" s="35" t="s">
        <v>148</v>
      </c>
      <c r="Q8" s="36">
        <f>IF(Q7=0,0,Q6/Q7)</f>
        <v>43152.85912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38" t="s">
        <v>309</v>
      </c>
      <c r="B9" s="38" t="s">
        <v>227</v>
      </c>
      <c r="C9" s="38" t="s">
        <v>50</v>
      </c>
      <c r="D9" s="38" t="s">
        <v>109</v>
      </c>
      <c r="E9" s="39">
        <v>40000.0</v>
      </c>
      <c r="F9" s="38" t="s">
        <v>136</v>
      </c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40000</v>
      </c>
      <c r="K9" s="40">
        <f t="shared" si="5"/>
        <v>0.07</v>
      </c>
      <c r="L9" s="36">
        <f t="shared" si="6"/>
        <v>2800</v>
      </c>
      <c r="M9" s="36">
        <f t="shared" si="7"/>
        <v>37200</v>
      </c>
      <c r="N9" s="42"/>
      <c r="O9" s="38" t="s">
        <v>135</v>
      </c>
      <c r="P9" s="35" t="s">
        <v>151</v>
      </c>
      <c r="Q9" s="36">
        <f>SUMIF(F4:F103,"Débito",M4:M103)</f>
        <v>42470.68803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38" t="s">
        <v>310</v>
      </c>
      <c r="B10" s="38" t="s">
        <v>146</v>
      </c>
      <c r="C10" s="38" t="s">
        <v>135</v>
      </c>
      <c r="D10" s="38" t="s">
        <v>109</v>
      </c>
      <c r="E10" s="43">
        <v>25000.0</v>
      </c>
      <c r="F10" s="38" t="s">
        <v>136</v>
      </c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25000</v>
      </c>
      <c r="K10" s="40">
        <f t="shared" si="5"/>
        <v>0</v>
      </c>
      <c r="L10" s="36">
        <f t="shared" si="6"/>
        <v>0</v>
      </c>
      <c r="M10" s="36">
        <f t="shared" si="7"/>
        <v>25000</v>
      </c>
      <c r="N10" s="38" t="s">
        <v>311</v>
      </c>
      <c r="O10" s="38" t="s">
        <v>163</v>
      </c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38" t="s">
        <v>312</v>
      </c>
      <c r="B11" s="38" t="s">
        <v>260</v>
      </c>
      <c r="C11" s="38"/>
      <c r="D11" s="38"/>
      <c r="E11" s="43"/>
      <c r="F11" s="38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69750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38" t="s">
        <v>313</v>
      </c>
      <c r="B12" s="38" t="s">
        <v>179</v>
      </c>
      <c r="C12" s="38" t="s">
        <v>135</v>
      </c>
      <c r="D12" s="38" t="s">
        <v>109</v>
      </c>
      <c r="E12" s="39">
        <v>20000.0</v>
      </c>
      <c r="F12" s="38" t="s">
        <v>136</v>
      </c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20000</v>
      </c>
      <c r="K12" s="40">
        <f t="shared" si="5"/>
        <v>0.07</v>
      </c>
      <c r="L12" s="36">
        <f t="shared" si="6"/>
        <v>1400</v>
      </c>
      <c r="M12" s="36">
        <f t="shared" si="7"/>
        <v>18600</v>
      </c>
      <c r="N12" s="42"/>
      <c r="O12" s="38" t="s">
        <v>135</v>
      </c>
      <c r="P12" s="35" t="s">
        <v>158</v>
      </c>
      <c r="Q12" s="36">
        <f>SUMIF(F4:F103,"Transferencia",M4:M103)</f>
        <v>2433798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38" t="s">
        <v>314</v>
      </c>
      <c r="B13" s="38" t="s">
        <v>161</v>
      </c>
      <c r="C13" s="38" t="s">
        <v>50</v>
      </c>
      <c r="D13" s="38" t="s">
        <v>109</v>
      </c>
      <c r="E13" s="39">
        <v>20000.0</v>
      </c>
      <c r="F13" s="38" t="s">
        <v>136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20000</v>
      </c>
      <c r="K13" s="40">
        <f t="shared" si="5"/>
        <v>0.07</v>
      </c>
      <c r="L13" s="36">
        <f t="shared" si="6"/>
        <v>1400</v>
      </c>
      <c r="M13" s="36">
        <f t="shared" si="7"/>
        <v>18600</v>
      </c>
      <c r="N13" s="42"/>
      <c r="O13" s="38" t="s">
        <v>135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8" t="s">
        <v>315</v>
      </c>
      <c r="B14" s="38" t="s">
        <v>179</v>
      </c>
      <c r="C14" s="38" t="s">
        <v>50</v>
      </c>
      <c r="D14" s="38" t="s">
        <v>50</v>
      </c>
      <c r="E14" s="39">
        <v>30000.0</v>
      </c>
      <c r="F14" s="38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30000</v>
      </c>
      <c r="K14" s="40">
        <f t="shared" si="5"/>
        <v>0.07</v>
      </c>
      <c r="L14" s="36">
        <f t="shared" si="6"/>
        <v>2100</v>
      </c>
      <c r="M14" s="36">
        <f t="shared" si="7"/>
        <v>27900</v>
      </c>
      <c r="N14" s="42"/>
      <c r="O14" s="38" t="s">
        <v>135</v>
      </c>
      <c r="P14" s="35" t="s">
        <v>164</v>
      </c>
      <c r="Q14" s="36">
        <f>SUMIF(F4:F103,"Débito",M4:M103)+SUMIF(F4:F103,"Crédito",M4:M103)+SUMIF(F4:F103,"Transferencia",M4:M103)</f>
        <v>2476268.688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38" t="s">
        <v>225</v>
      </c>
      <c r="B15" s="38" t="s">
        <v>244</v>
      </c>
      <c r="C15" s="38" t="s">
        <v>135</v>
      </c>
      <c r="D15" s="38" t="s">
        <v>50</v>
      </c>
      <c r="E15" s="39">
        <v>35000.0</v>
      </c>
      <c r="F15" s="38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35000</v>
      </c>
      <c r="K15" s="40">
        <f t="shared" si="5"/>
        <v>0.07</v>
      </c>
      <c r="L15" s="36">
        <f t="shared" si="6"/>
        <v>2450</v>
      </c>
      <c r="M15" s="36">
        <f t="shared" si="7"/>
        <v>32550</v>
      </c>
      <c r="N15" s="42"/>
      <c r="O15" s="38" t="s">
        <v>135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38" t="s">
        <v>316</v>
      </c>
      <c r="B16" s="38" t="s">
        <v>303</v>
      </c>
      <c r="C16" s="38" t="s">
        <v>135</v>
      </c>
      <c r="D16" s="38" t="s">
        <v>109</v>
      </c>
      <c r="E16" s="43">
        <v>25000.0</v>
      </c>
      <c r="F16" s="38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25000</v>
      </c>
      <c r="K16" s="40">
        <f t="shared" si="5"/>
        <v>0</v>
      </c>
      <c r="L16" s="36">
        <f t="shared" si="6"/>
        <v>0</v>
      </c>
      <c r="M16" s="36">
        <f t="shared" si="7"/>
        <v>25000</v>
      </c>
      <c r="N16" s="38" t="s">
        <v>317</v>
      </c>
      <c r="O16" s="38" t="s">
        <v>163</v>
      </c>
      <c r="P16" s="35" t="s">
        <v>170</v>
      </c>
      <c r="Q16" s="36">
        <f>Q3-Q15</f>
        <v>8781.512605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38" t="s">
        <v>318</v>
      </c>
      <c r="B17" s="38" t="s">
        <v>179</v>
      </c>
      <c r="C17" s="38" t="s">
        <v>49</v>
      </c>
      <c r="D17" s="38" t="s">
        <v>109</v>
      </c>
      <c r="E17" s="39">
        <v>30000.0</v>
      </c>
      <c r="F17" s="38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30000</v>
      </c>
      <c r="K17" s="40">
        <f t="shared" si="5"/>
        <v>0.07</v>
      </c>
      <c r="L17" s="36">
        <f t="shared" si="6"/>
        <v>2100</v>
      </c>
      <c r="M17" s="36">
        <f t="shared" si="7"/>
        <v>27900</v>
      </c>
      <c r="N17" s="42"/>
      <c r="O17" s="38" t="s">
        <v>135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38" t="s">
        <v>319</v>
      </c>
      <c r="B18" s="38">
        <v>38.0</v>
      </c>
      <c r="C18" s="38" t="s">
        <v>50</v>
      </c>
      <c r="D18" s="38" t="s">
        <v>109</v>
      </c>
      <c r="E18" s="39">
        <v>35000.0</v>
      </c>
      <c r="F18" s="38" t="s">
        <v>136</v>
      </c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35000</v>
      </c>
      <c r="K18" s="40">
        <f t="shared" si="5"/>
        <v>0.07</v>
      </c>
      <c r="L18" s="36">
        <f t="shared" si="6"/>
        <v>2450</v>
      </c>
      <c r="M18" s="36">
        <f t="shared" si="7"/>
        <v>32550</v>
      </c>
      <c r="N18" s="42"/>
      <c r="O18" s="38" t="s">
        <v>135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38" t="s">
        <v>320</v>
      </c>
      <c r="B19" s="38">
        <v>40.0</v>
      </c>
      <c r="C19" s="38" t="s">
        <v>53</v>
      </c>
      <c r="D19" s="38" t="s">
        <v>50</v>
      </c>
      <c r="E19" s="39">
        <v>45000.0</v>
      </c>
      <c r="F19" s="38" t="s">
        <v>136</v>
      </c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45000</v>
      </c>
      <c r="K19" s="40">
        <f t="shared" si="5"/>
        <v>0.07</v>
      </c>
      <c r="L19" s="36">
        <f t="shared" si="6"/>
        <v>3150</v>
      </c>
      <c r="M19" s="36">
        <f t="shared" si="7"/>
        <v>41850</v>
      </c>
      <c r="N19" s="42"/>
      <c r="O19" s="38" t="s">
        <v>135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38" t="s">
        <v>321</v>
      </c>
      <c r="B20" s="38" t="s">
        <v>146</v>
      </c>
      <c r="C20" s="38" t="s">
        <v>50</v>
      </c>
      <c r="D20" s="38" t="s">
        <v>50</v>
      </c>
      <c r="E20" s="39">
        <v>40000.0</v>
      </c>
      <c r="F20" s="38" t="s">
        <v>136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40000</v>
      </c>
      <c r="K20" s="40">
        <f t="shared" si="5"/>
        <v>0.07</v>
      </c>
      <c r="L20" s="36">
        <f t="shared" si="6"/>
        <v>2800</v>
      </c>
      <c r="M20" s="36">
        <f t="shared" si="7"/>
        <v>37200</v>
      </c>
      <c r="N20" s="42"/>
      <c r="O20" s="38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38" t="s">
        <v>322</v>
      </c>
      <c r="B21" s="38">
        <v>48.0</v>
      </c>
      <c r="C21" s="38" t="s">
        <v>53</v>
      </c>
      <c r="D21" s="38" t="s">
        <v>53</v>
      </c>
      <c r="E21" s="39">
        <v>25000.0</v>
      </c>
      <c r="F21" s="38" t="s">
        <v>136</v>
      </c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25000</v>
      </c>
      <c r="K21" s="40">
        <f t="shared" si="5"/>
        <v>0.07</v>
      </c>
      <c r="L21" s="36">
        <f t="shared" si="6"/>
        <v>1750</v>
      </c>
      <c r="M21" s="36">
        <f t="shared" si="7"/>
        <v>23250</v>
      </c>
      <c r="N21" s="42"/>
      <c r="O21" s="38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38" t="s">
        <v>323</v>
      </c>
      <c r="B22" s="38" t="s">
        <v>134</v>
      </c>
      <c r="C22" s="38" t="s">
        <v>53</v>
      </c>
      <c r="D22" s="38" t="s">
        <v>50</v>
      </c>
      <c r="E22" s="39">
        <v>75000.0</v>
      </c>
      <c r="F22" s="38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75000</v>
      </c>
      <c r="K22" s="40">
        <f t="shared" si="5"/>
        <v>0.07</v>
      </c>
      <c r="L22" s="36">
        <f t="shared" si="6"/>
        <v>5250</v>
      </c>
      <c r="M22" s="36">
        <f t="shared" si="7"/>
        <v>69750</v>
      </c>
      <c r="N22" s="42"/>
      <c r="O22" s="38" t="s">
        <v>135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38" t="s">
        <v>324</v>
      </c>
      <c r="B23" s="38" t="s">
        <v>134</v>
      </c>
      <c r="C23" s="38" t="s">
        <v>135</v>
      </c>
      <c r="D23" s="38" t="s">
        <v>53</v>
      </c>
      <c r="E23" s="39">
        <v>50000.0</v>
      </c>
      <c r="F23" s="38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50000</v>
      </c>
      <c r="K23" s="40">
        <f t="shared" si="5"/>
        <v>0</v>
      </c>
      <c r="L23" s="36">
        <f t="shared" si="6"/>
        <v>0</v>
      </c>
      <c r="M23" s="36">
        <f t="shared" si="7"/>
        <v>50000</v>
      </c>
      <c r="N23" s="38" t="s">
        <v>325</v>
      </c>
      <c r="O23" s="38" t="s">
        <v>183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38" t="s">
        <v>326</v>
      </c>
      <c r="B24" s="38" t="s">
        <v>134</v>
      </c>
      <c r="C24" s="38" t="s">
        <v>135</v>
      </c>
      <c r="D24" s="38" t="s">
        <v>53</v>
      </c>
      <c r="E24" s="39">
        <v>18000.0</v>
      </c>
      <c r="F24" s="38" t="s">
        <v>136</v>
      </c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18000</v>
      </c>
      <c r="K24" s="40">
        <f t="shared" si="5"/>
        <v>0</v>
      </c>
      <c r="L24" s="36">
        <f t="shared" si="6"/>
        <v>0</v>
      </c>
      <c r="M24" s="36">
        <f t="shared" si="7"/>
        <v>18000</v>
      </c>
      <c r="N24" s="38" t="s">
        <v>327</v>
      </c>
      <c r="O24" s="38" t="s">
        <v>183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38" t="s">
        <v>328</v>
      </c>
      <c r="B25" s="38" t="s">
        <v>161</v>
      </c>
      <c r="C25" s="38" t="s">
        <v>49</v>
      </c>
      <c r="D25" s="38" t="s">
        <v>49</v>
      </c>
      <c r="E25" s="39">
        <v>0.0</v>
      </c>
      <c r="F25" s="38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0.07</v>
      </c>
      <c r="L25" s="36">
        <f t="shared" si="6"/>
        <v>0</v>
      </c>
      <c r="M25" s="36">
        <f t="shared" si="7"/>
        <v>0</v>
      </c>
      <c r="N25" s="42"/>
      <c r="O25" s="38" t="s">
        <v>135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38" t="s">
        <v>329</v>
      </c>
      <c r="B26" s="38" t="s">
        <v>244</v>
      </c>
      <c r="C26" s="38" t="s">
        <v>49</v>
      </c>
      <c r="D26" s="38" t="s">
        <v>49</v>
      </c>
      <c r="E26" s="39">
        <v>0.0</v>
      </c>
      <c r="F26" s="38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0.07</v>
      </c>
      <c r="L26" s="36">
        <f t="shared" si="6"/>
        <v>0</v>
      </c>
      <c r="M26" s="36">
        <f t="shared" si="7"/>
        <v>0</v>
      </c>
      <c r="N26" s="42"/>
      <c r="O26" s="38" t="s">
        <v>135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38" t="s">
        <v>330</v>
      </c>
      <c r="B27" s="38" t="s">
        <v>179</v>
      </c>
      <c r="C27" s="38" t="s">
        <v>50</v>
      </c>
      <c r="D27" s="38" t="s">
        <v>49</v>
      </c>
      <c r="E27" s="39">
        <v>40000.0</v>
      </c>
      <c r="F27" s="38" t="s">
        <v>136</v>
      </c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40000</v>
      </c>
      <c r="K27" s="40">
        <f t="shared" si="5"/>
        <v>0.07</v>
      </c>
      <c r="L27" s="36">
        <f t="shared" si="6"/>
        <v>2800</v>
      </c>
      <c r="M27" s="36">
        <f t="shared" si="7"/>
        <v>37200</v>
      </c>
      <c r="N27" s="42"/>
      <c r="O27" s="38" t="s">
        <v>135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38" t="s">
        <v>331</v>
      </c>
      <c r="B28" s="38" t="s">
        <v>244</v>
      </c>
      <c r="C28" s="38" t="s">
        <v>135</v>
      </c>
      <c r="D28" s="38" t="s">
        <v>49</v>
      </c>
      <c r="E28" s="39">
        <v>85800.0</v>
      </c>
      <c r="F28" s="38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85800</v>
      </c>
      <c r="K28" s="40">
        <f t="shared" si="5"/>
        <v>0.07</v>
      </c>
      <c r="L28" s="36">
        <f t="shared" si="6"/>
        <v>6006</v>
      </c>
      <c r="M28" s="36">
        <f t="shared" si="7"/>
        <v>79794</v>
      </c>
      <c r="N28" s="42"/>
      <c r="O28" s="38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38" t="s">
        <v>332</v>
      </c>
      <c r="B29" s="38" t="s">
        <v>146</v>
      </c>
      <c r="C29" s="38" t="s">
        <v>166</v>
      </c>
      <c r="D29" s="38" t="s">
        <v>50</v>
      </c>
      <c r="E29" s="39">
        <v>30000.0</v>
      </c>
      <c r="F29" s="38" t="s">
        <v>136</v>
      </c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30000</v>
      </c>
      <c r="K29" s="40">
        <f t="shared" si="5"/>
        <v>0</v>
      </c>
      <c r="L29" s="36">
        <f t="shared" si="6"/>
        <v>0</v>
      </c>
      <c r="M29" s="36">
        <f t="shared" si="7"/>
        <v>30000</v>
      </c>
      <c r="N29" s="38" t="s">
        <v>333</v>
      </c>
      <c r="O29" s="38" t="s">
        <v>234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38" t="s">
        <v>334</v>
      </c>
      <c r="B30" s="38" t="s">
        <v>335</v>
      </c>
      <c r="C30" s="38" t="s">
        <v>166</v>
      </c>
      <c r="D30" s="38" t="s">
        <v>109</v>
      </c>
      <c r="E30" s="43">
        <v>20000.0</v>
      </c>
      <c r="F30" s="38" t="s">
        <v>136</v>
      </c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20000</v>
      </c>
      <c r="K30" s="40">
        <f t="shared" si="5"/>
        <v>0.07</v>
      </c>
      <c r="L30" s="36">
        <f t="shared" si="6"/>
        <v>1400</v>
      </c>
      <c r="M30" s="36">
        <f t="shared" si="7"/>
        <v>18600</v>
      </c>
      <c r="N30" s="42"/>
      <c r="O30" s="38" t="s">
        <v>135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38" t="s">
        <v>336</v>
      </c>
      <c r="B31" s="38" t="s">
        <v>179</v>
      </c>
      <c r="C31" s="38" t="s">
        <v>50</v>
      </c>
      <c r="D31" s="38" t="s">
        <v>50</v>
      </c>
      <c r="E31" s="39">
        <v>50000.0</v>
      </c>
      <c r="F31" s="38" t="s">
        <v>136</v>
      </c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50000</v>
      </c>
      <c r="K31" s="40">
        <f t="shared" si="5"/>
        <v>0.07</v>
      </c>
      <c r="L31" s="36">
        <f t="shared" si="6"/>
        <v>3500</v>
      </c>
      <c r="M31" s="36">
        <f t="shared" si="7"/>
        <v>46500</v>
      </c>
      <c r="N31" s="42"/>
      <c r="O31" s="38" t="s">
        <v>135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38" t="s">
        <v>337</v>
      </c>
      <c r="B32" s="38" t="s">
        <v>146</v>
      </c>
      <c r="C32" s="38" t="s">
        <v>50</v>
      </c>
      <c r="D32" s="38" t="s">
        <v>50</v>
      </c>
      <c r="E32" s="39">
        <v>25000.0</v>
      </c>
      <c r="F32" s="38" t="s">
        <v>136</v>
      </c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25000</v>
      </c>
      <c r="K32" s="40">
        <f t="shared" si="5"/>
        <v>0.07</v>
      </c>
      <c r="L32" s="36">
        <f t="shared" si="6"/>
        <v>1750</v>
      </c>
      <c r="M32" s="36">
        <f t="shared" si="7"/>
        <v>23250</v>
      </c>
      <c r="N32" s="38" t="s">
        <v>230</v>
      </c>
      <c r="O32" s="38" t="s">
        <v>135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38" t="s">
        <v>338</v>
      </c>
      <c r="B33" s="38" t="s">
        <v>146</v>
      </c>
      <c r="C33" s="38" t="s">
        <v>135</v>
      </c>
      <c r="D33" s="38" t="s">
        <v>50</v>
      </c>
      <c r="E33" s="39">
        <v>45000.0</v>
      </c>
      <c r="F33" s="38" t="s">
        <v>136</v>
      </c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45000</v>
      </c>
      <c r="K33" s="40">
        <f t="shared" si="5"/>
        <v>0.07</v>
      </c>
      <c r="L33" s="36">
        <f t="shared" si="6"/>
        <v>3150</v>
      </c>
      <c r="M33" s="36">
        <f t="shared" si="7"/>
        <v>41850</v>
      </c>
      <c r="N33" s="42"/>
      <c r="O33" s="38" t="s">
        <v>135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38" t="s">
        <v>339</v>
      </c>
      <c r="B34" s="38" t="s">
        <v>146</v>
      </c>
      <c r="C34" s="38" t="s">
        <v>49</v>
      </c>
      <c r="D34" s="38" t="s">
        <v>50</v>
      </c>
      <c r="E34" s="39">
        <v>25000.0</v>
      </c>
      <c r="F34" s="38" t="s">
        <v>136</v>
      </c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25000</v>
      </c>
      <c r="K34" s="40">
        <f t="shared" si="5"/>
        <v>0.07</v>
      </c>
      <c r="L34" s="36">
        <f t="shared" si="6"/>
        <v>1750</v>
      </c>
      <c r="M34" s="36">
        <f t="shared" si="7"/>
        <v>23250</v>
      </c>
      <c r="N34" s="42"/>
      <c r="O34" s="38" t="s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38" t="s">
        <v>340</v>
      </c>
      <c r="B35" s="38" t="s">
        <v>262</v>
      </c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38" t="s">
        <v>341</v>
      </c>
      <c r="B36" s="38" t="s">
        <v>146</v>
      </c>
      <c r="C36" s="38" t="s">
        <v>50</v>
      </c>
      <c r="D36" s="38" t="s">
        <v>50</v>
      </c>
      <c r="E36" s="39">
        <v>40800.0</v>
      </c>
      <c r="F36" s="38" t="s">
        <v>136</v>
      </c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40800</v>
      </c>
      <c r="K36" s="40">
        <f t="shared" si="5"/>
        <v>0.07</v>
      </c>
      <c r="L36" s="36">
        <f t="shared" si="6"/>
        <v>2856</v>
      </c>
      <c r="M36" s="36">
        <f t="shared" si="7"/>
        <v>37944</v>
      </c>
      <c r="N36" s="42"/>
      <c r="O36" s="38" t="s">
        <v>135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38" t="s">
        <v>342</v>
      </c>
      <c r="B37" s="38"/>
      <c r="C37" s="38" t="s">
        <v>50</v>
      </c>
      <c r="D37" s="38" t="s">
        <v>109</v>
      </c>
      <c r="E37" s="39">
        <v>35000.0</v>
      </c>
      <c r="F37" s="38" t="s">
        <v>136</v>
      </c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35000</v>
      </c>
      <c r="K37" s="40">
        <f t="shared" si="5"/>
        <v>0.07</v>
      </c>
      <c r="L37" s="36">
        <f t="shared" si="6"/>
        <v>2450</v>
      </c>
      <c r="M37" s="36">
        <f t="shared" si="7"/>
        <v>32550</v>
      </c>
      <c r="N37" s="42"/>
      <c r="O37" s="38" t="s">
        <v>135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38" t="s">
        <v>343</v>
      </c>
      <c r="B38" s="38" t="s">
        <v>244</v>
      </c>
      <c r="C38" s="38" t="s">
        <v>135</v>
      </c>
      <c r="D38" s="38" t="s">
        <v>53</v>
      </c>
      <c r="E38" s="39">
        <v>150000.0</v>
      </c>
      <c r="F38" s="38" t="s">
        <v>136</v>
      </c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150000</v>
      </c>
      <c r="K38" s="40">
        <f t="shared" si="5"/>
        <v>0</v>
      </c>
      <c r="L38" s="36">
        <f t="shared" si="6"/>
        <v>0</v>
      </c>
      <c r="M38" s="36">
        <f t="shared" si="7"/>
        <v>150000</v>
      </c>
      <c r="N38" s="38" t="s">
        <v>344</v>
      </c>
      <c r="O38" s="38" t="s">
        <v>234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38" t="s">
        <v>345</v>
      </c>
      <c r="B39" s="38" t="s">
        <v>146</v>
      </c>
      <c r="C39" s="38" t="s">
        <v>49</v>
      </c>
      <c r="D39" s="38" t="s">
        <v>50</v>
      </c>
      <c r="E39" s="39">
        <v>70000.0</v>
      </c>
      <c r="F39" s="38" t="s">
        <v>136</v>
      </c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70000</v>
      </c>
      <c r="K39" s="40">
        <f t="shared" si="5"/>
        <v>0.07</v>
      </c>
      <c r="L39" s="36">
        <f t="shared" si="6"/>
        <v>4900</v>
      </c>
      <c r="M39" s="36">
        <f t="shared" si="7"/>
        <v>65100</v>
      </c>
      <c r="N39" s="42"/>
      <c r="O39" s="38" t="s">
        <v>135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38" t="s">
        <v>346</v>
      </c>
      <c r="B40" s="38">
        <v>44.0</v>
      </c>
      <c r="C40" s="38" t="s">
        <v>53</v>
      </c>
      <c r="D40" s="38" t="s">
        <v>50</v>
      </c>
      <c r="E40" s="39">
        <v>25000.0</v>
      </c>
      <c r="F40" s="38" t="s">
        <v>136</v>
      </c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25000</v>
      </c>
      <c r="K40" s="40">
        <f t="shared" si="5"/>
        <v>0.07</v>
      </c>
      <c r="L40" s="36">
        <f t="shared" si="6"/>
        <v>1750</v>
      </c>
      <c r="M40" s="36">
        <f t="shared" si="7"/>
        <v>23250</v>
      </c>
      <c r="N40" s="42"/>
      <c r="O40" s="38" t="s">
        <v>135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38" t="s">
        <v>347</v>
      </c>
      <c r="B41" s="42"/>
      <c r="C41" s="38" t="s">
        <v>53</v>
      </c>
      <c r="D41" s="38" t="s">
        <v>50</v>
      </c>
      <c r="E41" s="39">
        <v>30000.0</v>
      </c>
      <c r="F41" s="38" t="s">
        <v>136</v>
      </c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30000</v>
      </c>
      <c r="K41" s="40">
        <f t="shared" si="5"/>
        <v>0.07</v>
      </c>
      <c r="L41" s="36">
        <f t="shared" si="6"/>
        <v>2100</v>
      </c>
      <c r="M41" s="36">
        <f t="shared" si="7"/>
        <v>27900</v>
      </c>
      <c r="N41" s="42"/>
      <c r="O41" s="38" t="s">
        <v>135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38" t="s">
        <v>348</v>
      </c>
      <c r="B42" s="38" t="s">
        <v>134</v>
      </c>
      <c r="C42" s="38" t="s">
        <v>53</v>
      </c>
      <c r="D42" s="38" t="s">
        <v>50</v>
      </c>
      <c r="E42" s="39">
        <v>45000.0</v>
      </c>
      <c r="F42" s="38" t="s">
        <v>136</v>
      </c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45000</v>
      </c>
      <c r="K42" s="40">
        <f t="shared" si="5"/>
        <v>0.07</v>
      </c>
      <c r="L42" s="36">
        <f t="shared" si="6"/>
        <v>3150</v>
      </c>
      <c r="M42" s="36">
        <f t="shared" si="7"/>
        <v>41850</v>
      </c>
      <c r="N42" s="38" t="s">
        <v>230</v>
      </c>
      <c r="O42" s="38" t="s">
        <v>135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38" t="s">
        <v>349</v>
      </c>
      <c r="B43" s="38" t="s">
        <v>146</v>
      </c>
      <c r="C43" s="38" t="s">
        <v>53</v>
      </c>
      <c r="D43" s="38" t="s">
        <v>109</v>
      </c>
      <c r="E43" s="39">
        <v>37000.0</v>
      </c>
      <c r="F43" s="38" t="s">
        <v>136</v>
      </c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37000</v>
      </c>
      <c r="K43" s="40">
        <f t="shared" si="5"/>
        <v>0.07</v>
      </c>
      <c r="L43" s="36">
        <f t="shared" si="6"/>
        <v>2590</v>
      </c>
      <c r="M43" s="36">
        <f t="shared" si="7"/>
        <v>34410</v>
      </c>
      <c r="N43" s="42"/>
      <c r="O43" s="38" t="s">
        <v>135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38" t="s">
        <v>350</v>
      </c>
      <c r="B44" s="38" t="s">
        <v>351</v>
      </c>
      <c r="C44" s="38" t="s">
        <v>135</v>
      </c>
      <c r="D44" s="38" t="s">
        <v>109</v>
      </c>
      <c r="E44" s="39">
        <v>35000.0</v>
      </c>
      <c r="F44" s="38" t="s">
        <v>136</v>
      </c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35000</v>
      </c>
      <c r="K44" s="40">
        <f t="shared" si="5"/>
        <v>0.07</v>
      </c>
      <c r="L44" s="36">
        <f t="shared" si="6"/>
        <v>2450</v>
      </c>
      <c r="M44" s="36">
        <f t="shared" si="7"/>
        <v>32550</v>
      </c>
      <c r="N44" s="42"/>
      <c r="O44" s="38" t="s">
        <v>135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38" t="s">
        <v>352</v>
      </c>
      <c r="B45" s="42"/>
      <c r="C45" s="38" t="s">
        <v>50</v>
      </c>
      <c r="D45" s="38" t="s">
        <v>109</v>
      </c>
      <c r="E45" s="39">
        <v>45000.0</v>
      </c>
      <c r="F45" s="38" t="s">
        <v>136</v>
      </c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45000</v>
      </c>
      <c r="K45" s="40">
        <f t="shared" si="5"/>
        <v>0.07</v>
      </c>
      <c r="L45" s="36">
        <f t="shared" si="6"/>
        <v>3150</v>
      </c>
      <c r="M45" s="36">
        <f t="shared" si="7"/>
        <v>41850</v>
      </c>
      <c r="N45" s="42"/>
      <c r="O45" s="38" t="s">
        <v>135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38" t="s">
        <v>314</v>
      </c>
      <c r="B46" s="38" t="s">
        <v>146</v>
      </c>
      <c r="C46" s="38" t="s">
        <v>50</v>
      </c>
      <c r="D46" s="38" t="s">
        <v>50</v>
      </c>
      <c r="E46" s="39">
        <v>40000.0</v>
      </c>
      <c r="F46" s="38" t="s">
        <v>136</v>
      </c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40000</v>
      </c>
      <c r="K46" s="40">
        <f t="shared" si="5"/>
        <v>0.07</v>
      </c>
      <c r="L46" s="36">
        <f t="shared" si="6"/>
        <v>2800</v>
      </c>
      <c r="M46" s="36">
        <f t="shared" si="7"/>
        <v>37200</v>
      </c>
      <c r="N46" s="38" t="s">
        <v>230</v>
      </c>
      <c r="O46" s="38" t="s">
        <v>135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38" t="s">
        <v>353</v>
      </c>
      <c r="B47" s="38" t="s">
        <v>146</v>
      </c>
      <c r="C47" s="38" t="s">
        <v>49</v>
      </c>
      <c r="D47" s="38" t="s">
        <v>50</v>
      </c>
      <c r="E47" s="39">
        <v>40000.0</v>
      </c>
      <c r="F47" s="38" t="s">
        <v>136</v>
      </c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40000</v>
      </c>
      <c r="K47" s="40">
        <f t="shared" si="5"/>
        <v>0.07</v>
      </c>
      <c r="L47" s="36">
        <f t="shared" si="6"/>
        <v>2800</v>
      </c>
      <c r="M47" s="36">
        <f t="shared" si="7"/>
        <v>37200</v>
      </c>
      <c r="N47" s="38" t="s">
        <v>230</v>
      </c>
      <c r="O47" s="38" t="s">
        <v>135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38" t="s">
        <v>354</v>
      </c>
      <c r="B48" s="42"/>
      <c r="C48" s="38" t="s">
        <v>135</v>
      </c>
      <c r="D48" s="38" t="s">
        <v>50</v>
      </c>
      <c r="E48" s="43">
        <v>20000.0</v>
      </c>
      <c r="F48" s="38" t="s">
        <v>136</v>
      </c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20000</v>
      </c>
      <c r="K48" s="40">
        <f t="shared" si="5"/>
        <v>0</v>
      </c>
      <c r="L48" s="36">
        <f t="shared" si="6"/>
        <v>0</v>
      </c>
      <c r="M48" s="36">
        <f t="shared" si="7"/>
        <v>20000</v>
      </c>
      <c r="N48" s="38" t="s">
        <v>230</v>
      </c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38" t="s">
        <v>355</v>
      </c>
      <c r="B49" s="38" t="s">
        <v>146</v>
      </c>
      <c r="C49" s="38" t="s">
        <v>50</v>
      </c>
      <c r="D49" s="38" t="s">
        <v>50</v>
      </c>
      <c r="E49" s="39">
        <v>70000.0</v>
      </c>
      <c r="F49" s="38" t="s">
        <v>136</v>
      </c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70000</v>
      </c>
      <c r="K49" s="40">
        <f t="shared" si="5"/>
        <v>0.07</v>
      </c>
      <c r="L49" s="36">
        <f t="shared" si="6"/>
        <v>4900</v>
      </c>
      <c r="M49" s="36">
        <f t="shared" si="7"/>
        <v>65100</v>
      </c>
      <c r="N49" s="38" t="s">
        <v>230</v>
      </c>
      <c r="O49" s="38" t="s">
        <v>135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38" t="s">
        <v>356</v>
      </c>
      <c r="B50" s="38" t="s">
        <v>134</v>
      </c>
      <c r="C50" s="38" t="s">
        <v>53</v>
      </c>
      <c r="D50" s="38" t="s">
        <v>50</v>
      </c>
      <c r="E50" s="43">
        <v>15000.0</v>
      </c>
      <c r="F50" s="38" t="s">
        <v>136</v>
      </c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15000</v>
      </c>
      <c r="K50" s="40">
        <f t="shared" si="5"/>
        <v>0.07</v>
      </c>
      <c r="L50" s="36">
        <f t="shared" si="6"/>
        <v>1050</v>
      </c>
      <c r="M50" s="36">
        <f t="shared" si="7"/>
        <v>13950</v>
      </c>
      <c r="N50" s="38" t="s">
        <v>230</v>
      </c>
      <c r="O50" s="38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38" t="s">
        <v>355</v>
      </c>
      <c r="B51" s="38" t="s">
        <v>146</v>
      </c>
      <c r="C51" s="38" t="s">
        <v>50</v>
      </c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38" t="s">
        <v>357</v>
      </c>
      <c r="B52" s="38" t="s">
        <v>146</v>
      </c>
      <c r="C52" s="38" t="s">
        <v>166</v>
      </c>
      <c r="D52" s="38" t="s">
        <v>53</v>
      </c>
      <c r="E52" s="43">
        <v>220000.0</v>
      </c>
      <c r="F52" s="38" t="s">
        <v>136</v>
      </c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220000</v>
      </c>
      <c r="K52" s="40">
        <f t="shared" si="5"/>
        <v>0.07</v>
      </c>
      <c r="L52" s="36">
        <f t="shared" si="6"/>
        <v>15400</v>
      </c>
      <c r="M52" s="36">
        <f t="shared" si="7"/>
        <v>204600</v>
      </c>
      <c r="N52" s="38" t="s">
        <v>358</v>
      </c>
      <c r="O52" s="38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38" t="s">
        <v>359</v>
      </c>
      <c r="B53" s="38" t="s">
        <v>146</v>
      </c>
      <c r="C53" s="38" t="s">
        <v>166</v>
      </c>
      <c r="D53" s="38" t="s">
        <v>53</v>
      </c>
      <c r="E53" s="43">
        <v>110000.0</v>
      </c>
      <c r="F53" s="38" t="s">
        <v>136</v>
      </c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110000</v>
      </c>
      <c r="K53" s="40">
        <f t="shared" si="5"/>
        <v>0</v>
      </c>
      <c r="L53" s="36">
        <f t="shared" si="6"/>
        <v>0</v>
      </c>
      <c r="M53" s="36">
        <f t="shared" si="7"/>
        <v>110000</v>
      </c>
      <c r="N53" s="38" t="s">
        <v>360</v>
      </c>
      <c r="O53" s="38" t="s">
        <v>234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38" t="s">
        <v>361</v>
      </c>
      <c r="B54" s="38" t="s">
        <v>161</v>
      </c>
      <c r="C54" s="38" t="s">
        <v>50</v>
      </c>
      <c r="D54" s="38" t="s">
        <v>53</v>
      </c>
      <c r="E54" s="43">
        <v>40000.0</v>
      </c>
      <c r="F54" s="38" t="s">
        <v>136</v>
      </c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40000</v>
      </c>
      <c r="K54" s="40">
        <f t="shared" si="5"/>
        <v>0.07</v>
      </c>
      <c r="L54" s="36">
        <f t="shared" si="6"/>
        <v>2800</v>
      </c>
      <c r="M54" s="36">
        <f t="shared" si="7"/>
        <v>37200</v>
      </c>
      <c r="N54" s="42"/>
      <c r="O54" s="38" t="s">
        <v>135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38" t="s">
        <v>362</v>
      </c>
      <c r="B55" s="38" t="s">
        <v>179</v>
      </c>
      <c r="C55" s="38" t="s">
        <v>49</v>
      </c>
      <c r="D55" s="38" t="s">
        <v>50</v>
      </c>
      <c r="E55" s="39">
        <v>35000.0</v>
      </c>
      <c r="F55" s="38" t="s">
        <v>136</v>
      </c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35000</v>
      </c>
      <c r="K55" s="40">
        <f t="shared" si="5"/>
        <v>0.07</v>
      </c>
      <c r="L55" s="36">
        <f t="shared" si="6"/>
        <v>2450</v>
      </c>
      <c r="M55" s="36">
        <f t="shared" si="7"/>
        <v>32550</v>
      </c>
      <c r="N55" s="42"/>
      <c r="O55" s="38" t="s">
        <v>135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38" t="s">
        <v>363</v>
      </c>
      <c r="B56" s="38" t="s">
        <v>364</v>
      </c>
      <c r="C56" s="38" t="s">
        <v>53</v>
      </c>
      <c r="D56" s="38" t="s">
        <v>53</v>
      </c>
      <c r="E56" s="39">
        <v>25000.0</v>
      </c>
      <c r="F56" s="38" t="s">
        <v>292</v>
      </c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25000</v>
      </c>
      <c r="K56" s="40">
        <f t="shared" si="5"/>
        <v>0.07</v>
      </c>
      <c r="L56" s="36">
        <f t="shared" si="6"/>
        <v>1750</v>
      </c>
      <c r="M56" s="36">
        <f t="shared" si="7"/>
        <v>23250</v>
      </c>
      <c r="N56" s="42"/>
      <c r="O56" s="38" t="s">
        <v>135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38" t="s">
        <v>365</v>
      </c>
      <c r="B57" s="38" t="s">
        <v>161</v>
      </c>
      <c r="C57" s="38" t="s">
        <v>135</v>
      </c>
      <c r="D57" s="38" t="s">
        <v>49</v>
      </c>
      <c r="E57" s="39">
        <v>50000.0</v>
      </c>
      <c r="F57" s="38" t="s">
        <v>136</v>
      </c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50000</v>
      </c>
      <c r="K57" s="40">
        <f t="shared" si="5"/>
        <v>0.07</v>
      </c>
      <c r="L57" s="36">
        <f t="shared" si="6"/>
        <v>3500</v>
      </c>
      <c r="M57" s="36">
        <f t="shared" si="7"/>
        <v>46500</v>
      </c>
      <c r="N57" s="42"/>
      <c r="O57" s="38" t="s">
        <v>135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38" t="s">
        <v>366</v>
      </c>
      <c r="B58" s="38" t="s">
        <v>161</v>
      </c>
      <c r="C58" s="38" t="s">
        <v>50</v>
      </c>
      <c r="D58" s="38" t="s">
        <v>53</v>
      </c>
      <c r="E58" s="39">
        <v>35000.0</v>
      </c>
      <c r="F58" s="38" t="s">
        <v>176</v>
      </c>
      <c r="G58" s="36">
        <f t="shared" si="1"/>
        <v>5588.235294</v>
      </c>
      <c r="H58" s="40">
        <f t="shared" si="2"/>
        <v>0.0275</v>
      </c>
      <c r="I58" s="36">
        <f t="shared" si="3"/>
        <v>962.5</v>
      </c>
      <c r="J58" s="36">
        <f t="shared" si="4"/>
        <v>28449.26471</v>
      </c>
      <c r="K58" s="40">
        <f t="shared" si="5"/>
        <v>0.05</v>
      </c>
      <c r="L58" s="36">
        <f t="shared" si="6"/>
        <v>1422.463235</v>
      </c>
      <c r="M58" s="36">
        <f t="shared" si="7"/>
        <v>27026.80147</v>
      </c>
      <c r="N58" s="42"/>
      <c r="O58" s="38" t="s">
        <v>135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38" t="s">
        <v>367</v>
      </c>
      <c r="B59" s="38" t="s">
        <v>262</v>
      </c>
      <c r="C59" s="38" t="s">
        <v>135</v>
      </c>
      <c r="D59" s="38" t="s">
        <v>53</v>
      </c>
      <c r="E59" s="39">
        <v>20000.0</v>
      </c>
      <c r="F59" s="38" t="s">
        <v>176</v>
      </c>
      <c r="G59" s="36">
        <f t="shared" si="1"/>
        <v>3193.277311</v>
      </c>
      <c r="H59" s="40">
        <f t="shared" si="2"/>
        <v>0.0275</v>
      </c>
      <c r="I59" s="36">
        <f t="shared" si="3"/>
        <v>550</v>
      </c>
      <c r="J59" s="36">
        <f t="shared" si="4"/>
        <v>16256.72269</v>
      </c>
      <c r="K59" s="40">
        <f t="shared" si="5"/>
        <v>0.05</v>
      </c>
      <c r="L59" s="36">
        <f t="shared" si="6"/>
        <v>812.8361345</v>
      </c>
      <c r="M59" s="36">
        <f t="shared" si="7"/>
        <v>15443.88655</v>
      </c>
      <c r="N59" s="42"/>
      <c r="O59" s="38" t="s">
        <v>135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38" t="s">
        <v>368</v>
      </c>
      <c r="B60" s="38">
        <v>44.0</v>
      </c>
      <c r="C60" s="38" t="s">
        <v>50</v>
      </c>
      <c r="D60" s="38" t="s">
        <v>50</v>
      </c>
      <c r="E60" s="39">
        <v>50000.0</v>
      </c>
      <c r="F60" s="38" t="s">
        <v>292</v>
      </c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50000</v>
      </c>
      <c r="K60" s="40">
        <f t="shared" si="5"/>
        <v>0.07</v>
      </c>
      <c r="L60" s="36">
        <f t="shared" si="6"/>
        <v>3500</v>
      </c>
      <c r="M60" s="36">
        <f t="shared" si="7"/>
        <v>46500</v>
      </c>
      <c r="N60" s="42"/>
      <c r="O60" s="38" t="s">
        <v>135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38" t="s">
        <v>369</v>
      </c>
      <c r="B61" s="38" t="s">
        <v>262</v>
      </c>
      <c r="C61" s="38" t="s">
        <v>135</v>
      </c>
      <c r="D61" s="38" t="s">
        <v>50</v>
      </c>
      <c r="E61" s="39">
        <v>20000.0</v>
      </c>
      <c r="F61" s="38" t="s">
        <v>136</v>
      </c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20000</v>
      </c>
      <c r="K61" s="40">
        <f t="shared" si="5"/>
        <v>0.07</v>
      </c>
      <c r="L61" s="36">
        <f t="shared" si="6"/>
        <v>1400</v>
      </c>
      <c r="M61" s="36">
        <f t="shared" si="7"/>
        <v>18600</v>
      </c>
      <c r="N61" s="38" t="s">
        <v>257</v>
      </c>
      <c r="O61" s="38" t="s">
        <v>135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38" t="s">
        <v>370</v>
      </c>
      <c r="B62" s="42"/>
      <c r="C62" s="38" t="s">
        <v>50</v>
      </c>
      <c r="D62" s="38" t="s">
        <v>53</v>
      </c>
      <c r="E62" s="39">
        <v>40000.0</v>
      </c>
      <c r="F62" s="38" t="s">
        <v>136</v>
      </c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40000</v>
      </c>
      <c r="K62" s="40">
        <f t="shared" si="5"/>
        <v>0</v>
      </c>
      <c r="L62" s="36">
        <f t="shared" si="6"/>
        <v>0</v>
      </c>
      <c r="M62" s="36">
        <f t="shared" si="7"/>
        <v>40000</v>
      </c>
      <c r="N62" s="38" t="s">
        <v>371</v>
      </c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38" t="s">
        <v>372</v>
      </c>
      <c r="B63" s="38" t="s">
        <v>373</v>
      </c>
      <c r="C63" s="38" t="s">
        <v>49</v>
      </c>
      <c r="D63" s="38" t="s">
        <v>53</v>
      </c>
      <c r="E63" s="39">
        <v>0.0</v>
      </c>
      <c r="F63" s="38" t="s">
        <v>292</v>
      </c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0.07</v>
      </c>
      <c r="L63" s="36">
        <f t="shared" si="6"/>
        <v>0</v>
      </c>
      <c r="M63" s="36">
        <f t="shared" si="7"/>
        <v>0</v>
      </c>
      <c r="N63" s="42"/>
      <c r="O63" s="38" t="s">
        <v>135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38" t="s">
        <v>374</v>
      </c>
      <c r="B64" s="38" t="s">
        <v>262</v>
      </c>
      <c r="C64" s="38" t="s">
        <v>135</v>
      </c>
      <c r="D64" s="38" t="s">
        <v>50</v>
      </c>
      <c r="E64" s="39">
        <v>20000.0</v>
      </c>
      <c r="F64" s="38" t="s">
        <v>136</v>
      </c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20000</v>
      </c>
      <c r="K64" s="40">
        <f t="shared" si="5"/>
        <v>0.07</v>
      </c>
      <c r="L64" s="36">
        <f t="shared" si="6"/>
        <v>1400</v>
      </c>
      <c r="M64" s="36">
        <f t="shared" si="7"/>
        <v>18600</v>
      </c>
      <c r="N64" s="38" t="s">
        <v>230</v>
      </c>
      <c r="O64" s="38" t="s">
        <v>135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38" t="s">
        <v>375</v>
      </c>
      <c r="B65" s="38" t="s">
        <v>376</v>
      </c>
      <c r="C65" s="38" t="s">
        <v>135</v>
      </c>
      <c r="D65" s="38" t="s">
        <v>50</v>
      </c>
      <c r="E65" s="39">
        <v>70000.0</v>
      </c>
      <c r="F65" s="38" t="s">
        <v>136</v>
      </c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70000</v>
      </c>
      <c r="K65" s="40">
        <f t="shared" si="5"/>
        <v>0</v>
      </c>
      <c r="L65" s="36">
        <f t="shared" si="6"/>
        <v>0</v>
      </c>
      <c r="M65" s="36">
        <f t="shared" si="7"/>
        <v>70000</v>
      </c>
      <c r="N65" s="38" t="s">
        <v>377</v>
      </c>
      <c r="O65" s="38" t="s">
        <v>183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38" t="s">
        <v>378</v>
      </c>
      <c r="B66" s="38" t="s">
        <v>262</v>
      </c>
      <c r="C66" s="38" t="s">
        <v>135</v>
      </c>
      <c r="D66" s="38" t="s">
        <v>50</v>
      </c>
      <c r="E66" s="43">
        <v>25000.0</v>
      </c>
      <c r="F66" s="38" t="s">
        <v>136</v>
      </c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25000</v>
      </c>
      <c r="K66" s="40">
        <f t="shared" si="5"/>
        <v>0</v>
      </c>
      <c r="L66" s="36">
        <f t="shared" si="6"/>
        <v>0</v>
      </c>
      <c r="M66" s="36">
        <f t="shared" si="7"/>
        <v>25000</v>
      </c>
      <c r="N66" s="38" t="s">
        <v>379</v>
      </c>
      <c r="O66" s="38" t="s">
        <v>163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380</v>
      </c>
      <c r="B108" s="22"/>
      <c r="C108" s="22"/>
      <c r="D108" s="23"/>
      <c r="E108" s="1"/>
      <c r="F108" s="1"/>
      <c r="G108" s="51" t="s">
        <v>381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86"/>
    <col customWidth="1" min="2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58.86"/>
    <col customWidth="1" min="15" max="15" width="26.0"/>
    <col customWidth="1" min="16" max="16" width="38.0"/>
    <col customWidth="1" min="17" max="17" width="22.0"/>
  </cols>
  <sheetData>
    <row r="1" ht="31.5" customHeight="1">
      <c r="A1" s="63" t="s">
        <v>382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9525000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26344.53782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38" t="s">
        <v>383</v>
      </c>
      <c r="B4" s="38" t="s">
        <v>134</v>
      </c>
      <c r="C4" s="38" t="s">
        <v>53</v>
      </c>
      <c r="D4" s="38" t="s">
        <v>50</v>
      </c>
      <c r="E4" s="39">
        <v>25000.0</v>
      </c>
      <c r="F4" s="38" t="s">
        <v>292</v>
      </c>
      <c r="G4" s="36">
        <f t="shared" ref="G4:G30" si="1">IF(OR(F4="Débito",F4="Crédito",F4="Internet(Shopify)"),E4*19/119,0)</f>
        <v>0</v>
      </c>
      <c r="H4" s="40">
        <f t="shared" ref="H4:H30" si="2">IF(F4="Débito",0.0275,IF(F4="Crédito",0.0295,0))</f>
        <v>0</v>
      </c>
      <c r="I4" s="36">
        <f t="shared" ref="I4:I30" si="3">E4*H4</f>
        <v>0</v>
      </c>
      <c r="J4" s="36">
        <f t="shared" ref="J4:J30" si="4">E4-G4-I4</f>
        <v>25000</v>
      </c>
      <c r="K4" s="40">
        <f t="shared" ref="K4:K30" si="5">IF($O4&lt;&gt;"Tienda",0,IF(OR($F4="Débito",$F4="Crédito"),0.05,IF(OR($F4="Efectivo",$F4="Transferencia"),0.07,0)))</f>
        <v>0</v>
      </c>
      <c r="L4" s="36">
        <f t="shared" ref="L4:L30" si="6">IF($O4&lt;&gt;"Tienda",0,$J4*$K4)</f>
        <v>0</v>
      </c>
      <c r="M4" s="36">
        <f t="shared" ref="M4:M30" si="7">E4-G4-I4-L4</f>
        <v>25000</v>
      </c>
      <c r="N4" s="42"/>
      <c r="O4" s="38" t="s">
        <v>183</v>
      </c>
      <c r="P4" s="35" t="s">
        <v>104</v>
      </c>
      <c r="Q4" s="36">
        <f>SUM(I4:I103)</f>
        <v>4537.5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38" t="s">
        <v>384</v>
      </c>
      <c r="B5" s="38" t="s">
        <v>262</v>
      </c>
      <c r="C5" s="38" t="s">
        <v>135</v>
      </c>
      <c r="D5" s="38" t="s">
        <v>50</v>
      </c>
      <c r="E5" s="39">
        <v>35000.0</v>
      </c>
      <c r="F5" s="38" t="s">
        <v>136</v>
      </c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35000</v>
      </c>
      <c r="K5" s="40">
        <f t="shared" si="5"/>
        <v>0.07</v>
      </c>
      <c r="L5" s="36">
        <f t="shared" si="6"/>
        <v>2450</v>
      </c>
      <c r="M5" s="36">
        <f t="shared" si="7"/>
        <v>32550</v>
      </c>
      <c r="N5" s="38" t="s">
        <v>385</v>
      </c>
      <c r="O5" s="38" t="s">
        <v>135</v>
      </c>
      <c r="P5" s="35" t="s">
        <v>140</v>
      </c>
      <c r="Q5" s="36">
        <f>SUM(L4:L103)</f>
        <v>537305.8981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38" t="s">
        <v>386</v>
      </c>
      <c r="B6" s="38" t="s">
        <v>146</v>
      </c>
      <c r="C6" s="38" t="s">
        <v>49</v>
      </c>
      <c r="D6" s="38" t="s">
        <v>50</v>
      </c>
      <c r="E6" s="39">
        <v>35000.0</v>
      </c>
      <c r="F6" s="38" t="s">
        <v>136</v>
      </c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35000</v>
      </c>
      <c r="K6" s="40">
        <f t="shared" si="5"/>
        <v>0.07</v>
      </c>
      <c r="L6" s="36">
        <f t="shared" si="6"/>
        <v>2450</v>
      </c>
      <c r="M6" s="36">
        <f t="shared" si="7"/>
        <v>32550</v>
      </c>
      <c r="N6" s="42"/>
      <c r="O6" s="38" t="s">
        <v>135</v>
      </c>
      <c r="P6" s="35" t="s">
        <v>142</v>
      </c>
      <c r="Q6" s="36">
        <f>SUM(M4:M103)</f>
        <v>8911812.064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38" t="s">
        <v>387</v>
      </c>
      <c r="B7" s="42"/>
      <c r="C7" s="38" t="s">
        <v>50</v>
      </c>
      <c r="D7" s="38" t="s">
        <v>50</v>
      </c>
      <c r="E7" s="39">
        <v>80000.0</v>
      </c>
      <c r="F7" s="38" t="s">
        <v>136</v>
      </c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80000</v>
      </c>
      <c r="K7" s="40">
        <f t="shared" si="5"/>
        <v>0.07</v>
      </c>
      <c r="L7" s="36">
        <f t="shared" si="6"/>
        <v>5600</v>
      </c>
      <c r="M7" s="36">
        <f t="shared" si="7"/>
        <v>74400</v>
      </c>
      <c r="N7" s="38" t="s">
        <v>257</v>
      </c>
      <c r="O7" s="38" t="s">
        <v>135</v>
      </c>
      <c r="P7" s="35" t="s">
        <v>144</v>
      </c>
      <c r="Q7" s="36">
        <f>COUNTA(E4:E103)</f>
        <v>92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38" t="s">
        <v>388</v>
      </c>
      <c r="B8" s="38" t="s">
        <v>134</v>
      </c>
      <c r="C8" s="38" t="s">
        <v>135</v>
      </c>
      <c r="D8" s="38" t="s">
        <v>50</v>
      </c>
      <c r="E8" s="43">
        <v>15000.0</v>
      </c>
      <c r="F8" s="38" t="s">
        <v>136</v>
      </c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15000</v>
      </c>
      <c r="K8" s="40">
        <f t="shared" si="5"/>
        <v>0</v>
      </c>
      <c r="L8" s="36">
        <f t="shared" si="6"/>
        <v>0</v>
      </c>
      <c r="M8" s="36">
        <f t="shared" si="7"/>
        <v>15000</v>
      </c>
      <c r="N8" s="38" t="s">
        <v>389</v>
      </c>
      <c r="O8" s="38" t="s">
        <v>163</v>
      </c>
      <c r="P8" s="35" t="s">
        <v>148</v>
      </c>
      <c r="Q8" s="36">
        <f>IF(Q7=0,0,Q6/Q7)</f>
        <v>96867.52244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38" t="s">
        <v>331</v>
      </c>
      <c r="B9" s="38" t="s">
        <v>179</v>
      </c>
      <c r="C9" s="38" t="s">
        <v>135</v>
      </c>
      <c r="D9" s="38" t="s">
        <v>50</v>
      </c>
      <c r="E9" s="39">
        <v>20000.0</v>
      </c>
      <c r="F9" s="38" t="s">
        <v>136</v>
      </c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20000</v>
      </c>
      <c r="K9" s="40">
        <f t="shared" si="5"/>
        <v>0.07</v>
      </c>
      <c r="L9" s="36">
        <f t="shared" si="6"/>
        <v>1400</v>
      </c>
      <c r="M9" s="36">
        <f t="shared" si="7"/>
        <v>18600</v>
      </c>
      <c r="N9" s="42"/>
      <c r="O9" s="38" t="s">
        <v>135</v>
      </c>
      <c r="P9" s="35" t="s">
        <v>151</v>
      </c>
      <c r="Q9" s="36">
        <f>SUMIF(F4:F103,"Débito",M4:M103)</f>
        <v>127412.0641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38" t="s">
        <v>390</v>
      </c>
      <c r="B10" s="38" t="s">
        <v>391</v>
      </c>
      <c r="C10" s="38" t="s">
        <v>135</v>
      </c>
      <c r="D10" s="38" t="s">
        <v>50</v>
      </c>
      <c r="E10" s="39">
        <v>25000.0</v>
      </c>
      <c r="F10" s="38" t="s">
        <v>136</v>
      </c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25000</v>
      </c>
      <c r="K10" s="40">
        <f t="shared" si="5"/>
        <v>0</v>
      </c>
      <c r="L10" s="36">
        <f t="shared" si="6"/>
        <v>0</v>
      </c>
      <c r="M10" s="36">
        <f t="shared" si="7"/>
        <v>25000</v>
      </c>
      <c r="N10" s="38" t="s">
        <v>392</v>
      </c>
      <c r="O10" s="38" t="s">
        <v>163</v>
      </c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38" t="s">
        <v>393</v>
      </c>
      <c r="B11" s="38" t="s">
        <v>394</v>
      </c>
      <c r="C11" s="38" t="s">
        <v>135</v>
      </c>
      <c r="D11" s="38" t="s">
        <v>50</v>
      </c>
      <c r="E11" s="39">
        <v>200000.0</v>
      </c>
      <c r="F11" s="38" t="s">
        <v>136</v>
      </c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200000</v>
      </c>
      <c r="K11" s="40">
        <f t="shared" si="5"/>
        <v>0.07</v>
      </c>
      <c r="L11" s="36">
        <f t="shared" si="6"/>
        <v>14000</v>
      </c>
      <c r="M11" s="36">
        <f t="shared" si="7"/>
        <v>186000</v>
      </c>
      <c r="N11" s="42"/>
      <c r="O11" s="38" t="s">
        <v>135</v>
      </c>
      <c r="P11" s="35" t="s">
        <v>156</v>
      </c>
      <c r="Q11" s="36">
        <f>SUMIF(F4:F103,"Efectivo",M4:M103)</f>
        <v>45000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38" t="s">
        <v>395</v>
      </c>
      <c r="B12" s="38" t="s">
        <v>146</v>
      </c>
      <c r="C12" s="38" t="s">
        <v>53</v>
      </c>
      <c r="D12" s="38" t="s">
        <v>50</v>
      </c>
      <c r="E12" s="39">
        <v>32000.0</v>
      </c>
      <c r="F12" s="38" t="s">
        <v>136</v>
      </c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32000</v>
      </c>
      <c r="K12" s="40">
        <f t="shared" si="5"/>
        <v>0.07</v>
      </c>
      <c r="L12" s="36">
        <f t="shared" si="6"/>
        <v>2240</v>
      </c>
      <c r="M12" s="36">
        <f t="shared" si="7"/>
        <v>29760</v>
      </c>
      <c r="N12" s="42"/>
      <c r="O12" s="38" t="s">
        <v>135</v>
      </c>
      <c r="P12" s="35" t="s">
        <v>158</v>
      </c>
      <c r="Q12" s="36">
        <f>SUMIF(F4:F103,"Transferencia",M4:M103)</f>
        <v>8739400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38" t="s">
        <v>396</v>
      </c>
      <c r="B13" s="38" t="s">
        <v>146</v>
      </c>
      <c r="C13" s="38" t="s">
        <v>135</v>
      </c>
      <c r="D13" s="38" t="s">
        <v>50</v>
      </c>
      <c r="E13" s="39">
        <v>31000.0</v>
      </c>
      <c r="F13" s="38" t="s">
        <v>136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31000</v>
      </c>
      <c r="K13" s="40">
        <f t="shared" si="5"/>
        <v>0.07</v>
      </c>
      <c r="L13" s="36">
        <f t="shared" si="6"/>
        <v>2170</v>
      </c>
      <c r="M13" s="36">
        <f t="shared" si="7"/>
        <v>28830</v>
      </c>
      <c r="N13" s="42"/>
      <c r="O13" s="38" t="s">
        <v>135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8" t="s">
        <v>397</v>
      </c>
      <c r="B14" s="38" t="s">
        <v>146</v>
      </c>
      <c r="C14" s="38" t="s">
        <v>53</v>
      </c>
      <c r="D14" s="38" t="s">
        <v>50</v>
      </c>
      <c r="E14" s="39">
        <v>25000.0</v>
      </c>
      <c r="F14" s="38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25000</v>
      </c>
      <c r="K14" s="40">
        <f t="shared" si="5"/>
        <v>0.07</v>
      </c>
      <c r="L14" s="36">
        <f t="shared" si="6"/>
        <v>1750</v>
      </c>
      <c r="M14" s="36">
        <f t="shared" si="7"/>
        <v>23250</v>
      </c>
      <c r="N14" s="42"/>
      <c r="O14" s="38" t="s">
        <v>135</v>
      </c>
      <c r="P14" s="35" t="s">
        <v>164</v>
      </c>
      <c r="Q14" s="36">
        <f>SUMIF(F4:F103,"Débito",M4:M103)+SUMIF(F4:F103,"Crédito",M4:M103)+SUMIF(F4:F103,"Transferencia",M4:M103)</f>
        <v>8866812.064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38" t="s">
        <v>398</v>
      </c>
      <c r="B15" s="38" t="s">
        <v>262</v>
      </c>
      <c r="C15" s="38" t="s">
        <v>135</v>
      </c>
      <c r="D15" s="38" t="s">
        <v>50</v>
      </c>
      <c r="E15" s="39">
        <v>75000.0</v>
      </c>
      <c r="F15" s="38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75000</v>
      </c>
      <c r="K15" s="40">
        <f t="shared" si="5"/>
        <v>0</v>
      </c>
      <c r="L15" s="36">
        <f t="shared" si="6"/>
        <v>0</v>
      </c>
      <c r="M15" s="36">
        <f t="shared" si="7"/>
        <v>75000</v>
      </c>
      <c r="N15" s="38" t="s">
        <v>399</v>
      </c>
      <c r="O15" s="38" t="s">
        <v>192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38" t="s">
        <v>400</v>
      </c>
      <c r="B16" s="38" t="s">
        <v>146</v>
      </c>
      <c r="C16" s="38" t="s">
        <v>135</v>
      </c>
      <c r="D16" s="38" t="s">
        <v>109</v>
      </c>
      <c r="E16" s="39">
        <v>80000.0</v>
      </c>
      <c r="F16" s="38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80000</v>
      </c>
      <c r="K16" s="40">
        <f t="shared" si="5"/>
        <v>0</v>
      </c>
      <c r="L16" s="36">
        <f t="shared" si="6"/>
        <v>0</v>
      </c>
      <c r="M16" s="36">
        <f t="shared" si="7"/>
        <v>80000</v>
      </c>
      <c r="N16" s="38" t="s">
        <v>270</v>
      </c>
      <c r="O16" s="38" t="s">
        <v>192</v>
      </c>
      <c r="P16" s="35" t="s">
        <v>170</v>
      </c>
      <c r="Q16" s="36">
        <f>Q3-Q15</f>
        <v>26344.53782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38" t="s">
        <v>401</v>
      </c>
      <c r="B17" s="38" t="s">
        <v>161</v>
      </c>
      <c r="C17" s="38" t="s">
        <v>50</v>
      </c>
      <c r="D17" s="38" t="s">
        <v>53</v>
      </c>
      <c r="E17" s="39">
        <v>25000.0</v>
      </c>
      <c r="F17" s="38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25000</v>
      </c>
      <c r="K17" s="40">
        <f t="shared" si="5"/>
        <v>0.07</v>
      </c>
      <c r="L17" s="36">
        <f t="shared" si="6"/>
        <v>1750</v>
      </c>
      <c r="M17" s="36">
        <f t="shared" si="7"/>
        <v>23250</v>
      </c>
      <c r="N17" s="42"/>
      <c r="O17" s="38" t="s">
        <v>135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38" t="s">
        <v>402</v>
      </c>
      <c r="B18" s="38" t="s">
        <v>161</v>
      </c>
      <c r="C18" s="38" t="s">
        <v>135</v>
      </c>
      <c r="D18" s="38" t="s">
        <v>50</v>
      </c>
      <c r="E18" s="39">
        <v>75000.0</v>
      </c>
      <c r="F18" s="38" t="s">
        <v>136</v>
      </c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75000</v>
      </c>
      <c r="K18" s="40">
        <f t="shared" si="5"/>
        <v>0</v>
      </c>
      <c r="L18" s="36">
        <f t="shared" si="6"/>
        <v>0</v>
      </c>
      <c r="M18" s="36">
        <f t="shared" si="7"/>
        <v>75000</v>
      </c>
      <c r="N18" s="38" t="s">
        <v>399</v>
      </c>
      <c r="O18" s="38" t="s">
        <v>192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38" t="s">
        <v>403</v>
      </c>
      <c r="B19" s="38" t="s">
        <v>161</v>
      </c>
      <c r="C19" s="38" t="s">
        <v>135</v>
      </c>
      <c r="D19" s="38" t="s">
        <v>50</v>
      </c>
      <c r="E19" s="39">
        <v>75000.0</v>
      </c>
      <c r="F19" s="38" t="s">
        <v>136</v>
      </c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75000</v>
      </c>
      <c r="K19" s="40">
        <f t="shared" si="5"/>
        <v>0</v>
      </c>
      <c r="L19" s="36">
        <f t="shared" si="6"/>
        <v>0</v>
      </c>
      <c r="M19" s="36">
        <f t="shared" si="7"/>
        <v>75000</v>
      </c>
      <c r="N19" s="38" t="s">
        <v>399</v>
      </c>
      <c r="O19" s="38" t="s">
        <v>192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38" t="s">
        <v>404</v>
      </c>
      <c r="B20" s="42"/>
      <c r="C20" s="38" t="s">
        <v>49</v>
      </c>
      <c r="D20" s="38" t="s">
        <v>50</v>
      </c>
      <c r="E20" s="39">
        <v>35000.0</v>
      </c>
      <c r="F20" s="38" t="s">
        <v>136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35000</v>
      </c>
      <c r="K20" s="40">
        <f t="shared" si="5"/>
        <v>0.07</v>
      </c>
      <c r="L20" s="36">
        <f t="shared" si="6"/>
        <v>2450</v>
      </c>
      <c r="M20" s="36">
        <f t="shared" si="7"/>
        <v>32550</v>
      </c>
      <c r="N20" s="38" t="s">
        <v>230</v>
      </c>
      <c r="O20" s="38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38" t="s">
        <v>405</v>
      </c>
      <c r="B21" s="38" t="s">
        <v>394</v>
      </c>
      <c r="C21" s="38" t="s">
        <v>135</v>
      </c>
      <c r="D21" s="38" t="s">
        <v>50</v>
      </c>
      <c r="E21" s="39">
        <v>40000.0</v>
      </c>
      <c r="F21" s="38" t="s">
        <v>136</v>
      </c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40000</v>
      </c>
      <c r="K21" s="40">
        <f t="shared" si="5"/>
        <v>0.07</v>
      </c>
      <c r="L21" s="36">
        <f t="shared" si="6"/>
        <v>2800</v>
      </c>
      <c r="M21" s="36">
        <f t="shared" si="7"/>
        <v>37200</v>
      </c>
      <c r="N21" s="38" t="s">
        <v>230</v>
      </c>
      <c r="O21" s="38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38" t="s">
        <v>406</v>
      </c>
      <c r="B22" s="38" t="s">
        <v>262</v>
      </c>
      <c r="C22" s="38" t="s">
        <v>50</v>
      </c>
      <c r="D22" s="38" t="s">
        <v>50</v>
      </c>
      <c r="E22" s="39">
        <v>17000.0</v>
      </c>
      <c r="F22" s="38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17000</v>
      </c>
      <c r="K22" s="40">
        <f t="shared" si="5"/>
        <v>0.07</v>
      </c>
      <c r="L22" s="36">
        <f t="shared" si="6"/>
        <v>1190</v>
      </c>
      <c r="M22" s="36">
        <f t="shared" si="7"/>
        <v>15810</v>
      </c>
      <c r="N22" s="38" t="s">
        <v>230</v>
      </c>
      <c r="O22" s="38" t="s">
        <v>135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38" t="s">
        <v>407</v>
      </c>
      <c r="B23" s="38">
        <v>39.0</v>
      </c>
      <c r="C23" s="38" t="s">
        <v>50</v>
      </c>
      <c r="D23" s="38" t="s">
        <v>50</v>
      </c>
      <c r="E23" s="39">
        <v>250000.0</v>
      </c>
      <c r="F23" s="38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250000</v>
      </c>
      <c r="K23" s="40">
        <f t="shared" si="5"/>
        <v>0.07</v>
      </c>
      <c r="L23" s="36">
        <f t="shared" si="6"/>
        <v>17500</v>
      </c>
      <c r="M23" s="36">
        <f t="shared" si="7"/>
        <v>232500</v>
      </c>
      <c r="N23" s="42"/>
      <c r="O23" s="38" t="s">
        <v>135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38" t="s">
        <v>408</v>
      </c>
      <c r="B24" s="38" t="s">
        <v>134</v>
      </c>
      <c r="C24" s="38" t="s">
        <v>166</v>
      </c>
      <c r="D24" s="38" t="s">
        <v>50</v>
      </c>
      <c r="E24" s="39">
        <v>700000.0</v>
      </c>
      <c r="F24" s="38" t="s">
        <v>136</v>
      </c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700000</v>
      </c>
      <c r="K24" s="40">
        <f t="shared" si="5"/>
        <v>0.07</v>
      </c>
      <c r="L24" s="36">
        <f t="shared" si="6"/>
        <v>49000</v>
      </c>
      <c r="M24" s="36">
        <f t="shared" si="7"/>
        <v>651000</v>
      </c>
      <c r="N24" s="38" t="s">
        <v>409</v>
      </c>
      <c r="O24" s="38" t="s">
        <v>135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38" t="s">
        <v>410</v>
      </c>
      <c r="B25" s="38" t="s">
        <v>227</v>
      </c>
      <c r="C25" s="38" t="s">
        <v>135</v>
      </c>
      <c r="D25" s="38" t="s">
        <v>50</v>
      </c>
      <c r="E25" s="39">
        <v>80000.0</v>
      </c>
      <c r="F25" s="38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80000</v>
      </c>
      <c r="K25" s="40">
        <f t="shared" si="5"/>
        <v>0</v>
      </c>
      <c r="L25" s="36">
        <f t="shared" si="6"/>
        <v>0</v>
      </c>
      <c r="M25" s="36">
        <f t="shared" si="7"/>
        <v>80000</v>
      </c>
      <c r="N25" s="38" t="s">
        <v>270</v>
      </c>
      <c r="O25" s="38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38" t="s">
        <v>411</v>
      </c>
      <c r="B26" s="38" t="s">
        <v>412</v>
      </c>
      <c r="C26" s="38" t="s">
        <v>135</v>
      </c>
      <c r="D26" s="38" t="s">
        <v>53</v>
      </c>
      <c r="E26" s="39">
        <v>25000.0</v>
      </c>
      <c r="F26" s="38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25000</v>
      </c>
      <c r="K26" s="40">
        <f t="shared" si="5"/>
        <v>0</v>
      </c>
      <c r="L26" s="36">
        <f t="shared" si="6"/>
        <v>0</v>
      </c>
      <c r="M26" s="36">
        <f t="shared" si="7"/>
        <v>25000</v>
      </c>
      <c r="N26" s="38" t="s">
        <v>413</v>
      </c>
      <c r="O26" s="38" t="s">
        <v>183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38" t="s">
        <v>414</v>
      </c>
      <c r="B27" s="38" t="s">
        <v>161</v>
      </c>
      <c r="C27" s="38" t="s">
        <v>135</v>
      </c>
      <c r="D27" s="38" t="s">
        <v>53</v>
      </c>
      <c r="E27" s="39">
        <v>75000.0</v>
      </c>
      <c r="F27" s="38" t="s">
        <v>136</v>
      </c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75000</v>
      </c>
      <c r="K27" s="40">
        <f t="shared" si="5"/>
        <v>0</v>
      </c>
      <c r="L27" s="36">
        <f t="shared" si="6"/>
        <v>0</v>
      </c>
      <c r="M27" s="36">
        <f t="shared" si="7"/>
        <v>75000</v>
      </c>
      <c r="N27" s="38" t="s">
        <v>415</v>
      </c>
      <c r="O27" s="38" t="s">
        <v>192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38" t="s">
        <v>416</v>
      </c>
      <c r="B28" s="38" t="s">
        <v>417</v>
      </c>
      <c r="C28" s="38" t="s">
        <v>135</v>
      </c>
      <c r="D28" s="38" t="s">
        <v>50</v>
      </c>
      <c r="E28" s="39">
        <v>25000.0</v>
      </c>
      <c r="F28" s="38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25000</v>
      </c>
      <c r="K28" s="40">
        <f t="shared" si="5"/>
        <v>0</v>
      </c>
      <c r="L28" s="36">
        <f t="shared" si="6"/>
        <v>0</v>
      </c>
      <c r="M28" s="36">
        <f t="shared" si="7"/>
        <v>25000</v>
      </c>
      <c r="N28" s="38" t="s">
        <v>413</v>
      </c>
      <c r="O28" s="38" t="s">
        <v>183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38" t="s">
        <v>418</v>
      </c>
      <c r="B29" s="38" t="s">
        <v>179</v>
      </c>
      <c r="C29" s="38" t="s">
        <v>53</v>
      </c>
      <c r="D29" s="38" t="s">
        <v>50</v>
      </c>
      <c r="E29" s="39">
        <v>25000.0</v>
      </c>
      <c r="F29" s="38" t="s">
        <v>136</v>
      </c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25000</v>
      </c>
      <c r="K29" s="40">
        <f t="shared" si="5"/>
        <v>0.07</v>
      </c>
      <c r="L29" s="36">
        <f t="shared" si="6"/>
        <v>1750</v>
      </c>
      <c r="M29" s="36">
        <f t="shared" si="7"/>
        <v>23250</v>
      </c>
      <c r="N29" s="42"/>
      <c r="O29" s="38" t="s">
        <v>135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38" t="s">
        <v>419</v>
      </c>
      <c r="B30" s="38" t="s">
        <v>262</v>
      </c>
      <c r="C30" s="38" t="s">
        <v>135</v>
      </c>
      <c r="D30" s="38" t="s">
        <v>50</v>
      </c>
      <c r="E30" s="39">
        <v>25000.0</v>
      </c>
      <c r="F30" s="38" t="s">
        <v>136</v>
      </c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25000</v>
      </c>
      <c r="K30" s="40">
        <f t="shared" si="5"/>
        <v>0</v>
      </c>
      <c r="L30" s="36">
        <f t="shared" si="6"/>
        <v>0</v>
      </c>
      <c r="M30" s="36">
        <f t="shared" si="7"/>
        <v>25000</v>
      </c>
      <c r="N30" s="38" t="s">
        <v>420</v>
      </c>
      <c r="O30" s="38" t="s">
        <v>163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38" t="s">
        <v>421</v>
      </c>
      <c r="B31" s="38" t="s">
        <v>134</v>
      </c>
      <c r="C31" s="38" t="s">
        <v>53</v>
      </c>
      <c r="D31" s="38" t="s">
        <v>50</v>
      </c>
      <c r="E31" s="39">
        <v>45000.0</v>
      </c>
      <c r="F31" s="38" t="s">
        <v>136</v>
      </c>
      <c r="G31" s="36"/>
      <c r="H31" s="40"/>
      <c r="I31" s="36"/>
      <c r="J31" s="36"/>
      <c r="K31" s="40"/>
      <c r="L31" s="36"/>
      <c r="M31" s="36"/>
      <c r="N31" s="38" t="s">
        <v>230</v>
      </c>
      <c r="O31" s="38" t="s">
        <v>135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38" t="s">
        <v>414</v>
      </c>
      <c r="B32" s="38" t="s">
        <v>262</v>
      </c>
      <c r="C32" s="38" t="s">
        <v>135</v>
      </c>
      <c r="D32" s="38" t="s">
        <v>50</v>
      </c>
      <c r="E32" s="39">
        <v>75000.0</v>
      </c>
      <c r="F32" s="38" t="s">
        <v>136</v>
      </c>
      <c r="G32" s="36">
        <f t="shared" ref="G32:G103" si="8">IF(OR(F32="Débito",F32="Crédito",F32="Internet(Shopify)"),E32*19/119,0)</f>
        <v>0</v>
      </c>
      <c r="H32" s="40">
        <f t="shared" ref="H32:H103" si="9">IF(F32="Débito",0.0275,IF(F32="Crédito",0.0295,0))</f>
        <v>0</v>
      </c>
      <c r="I32" s="36">
        <f t="shared" ref="I32:I103" si="10">E32*H32</f>
        <v>0</v>
      </c>
      <c r="J32" s="36">
        <f t="shared" ref="J32:J103" si="11">E32-G32-I32</f>
        <v>75000</v>
      </c>
      <c r="K32" s="40">
        <f t="shared" ref="K32:K103" si="12">IF($O32&lt;&gt;"Tienda",0,IF(OR($F32="Débito",$F32="Crédito"),0.05,IF(OR($F32="Efectivo",$F32="Transferencia"),0.07,0)))</f>
        <v>0</v>
      </c>
      <c r="L32" s="36">
        <f t="shared" ref="L32:L103" si="13">IF($O32&lt;&gt;"Tienda",0,$J32*$K32)</f>
        <v>0</v>
      </c>
      <c r="M32" s="36">
        <f t="shared" ref="M32:M103" si="14">E32-G32-I32-L32</f>
        <v>75000</v>
      </c>
      <c r="N32" s="38" t="s">
        <v>422</v>
      </c>
      <c r="O32" s="38" t="s">
        <v>192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38" t="s">
        <v>421</v>
      </c>
      <c r="B33" s="38" t="s">
        <v>134</v>
      </c>
      <c r="C33" s="38" t="s">
        <v>50</v>
      </c>
      <c r="D33" s="38" t="s">
        <v>50</v>
      </c>
      <c r="E33" s="39">
        <v>100000.0</v>
      </c>
      <c r="F33" s="38" t="s">
        <v>136</v>
      </c>
      <c r="G33" s="36">
        <f t="shared" si="8"/>
        <v>0</v>
      </c>
      <c r="H33" s="40">
        <f t="shared" si="9"/>
        <v>0</v>
      </c>
      <c r="I33" s="36">
        <f t="shared" si="10"/>
        <v>0</v>
      </c>
      <c r="J33" s="36">
        <f t="shared" si="11"/>
        <v>100000</v>
      </c>
      <c r="K33" s="40">
        <f t="shared" si="12"/>
        <v>0.07</v>
      </c>
      <c r="L33" s="36">
        <f t="shared" si="13"/>
        <v>7000</v>
      </c>
      <c r="M33" s="36">
        <f t="shared" si="14"/>
        <v>93000</v>
      </c>
      <c r="N33" s="42"/>
      <c r="O33" s="38" t="s">
        <v>135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38" t="s">
        <v>423</v>
      </c>
      <c r="B34" s="38" t="s">
        <v>134</v>
      </c>
      <c r="C34" s="38" t="s">
        <v>135</v>
      </c>
      <c r="D34" s="38" t="s">
        <v>50</v>
      </c>
      <c r="E34" s="39">
        <v>1500000.0</v>
      </c>
      <c r="F34" s="38" t="s">
        <v>136</v>
      </c>
      <c r="G34" s="36">
        <f t="shared" si="8"/>
        <v>0</v>
      </c>
      <c r="H34" s="40">
        <f t="shared" si="9"/>
        <v>0</v>
      </c>
      <c r="I34" s="36">
        <f t="shared" si="10"/>
        <v>0</v>
      </c>
      <c r="J34" s="36">
        <f t="shared" si="11"/>
        <v>1500000</v>
      </c>
      <c r="K34" s="40">
        <f t="shared" si="12"/>
        <v>0.07</v>
      </c>
      <c r="L34" s="36">
        <f t="shared" si="13"/>
        <v>105000</v>
      </c>
      <c r="M34" s="36">
        <f t="shared" si="14"/>
        <v>1395000</v>
      </c>
      <c r="N34" s="38" t="s">
        <v>230</v>
      </c>
      <c r="O34" s="38" t="s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38" t="s">
        <v>285</v>
      </c>
      <c r="B35" s="38" t="s">
        <v>146</v>
      </c>
      <c r="C35" s="38" t="s">
        <v>135</v>
      </c>
      <c r="D35" s="38" t="s">
        <v>50</v>
      </c>
      <c r="E35" s="39">
        <v>80000.0</v>
      </c>
      <c r="F35" s="38" t="s">
        <v>136</v>
      </c>
      <c r="G35" s="36">
        <f t="shared" si="8"/>
        <v>0</v>
      </c>
      <c r="H35" s="40">
        <f t="shared" si="9"/>
        <v>0</v>
      </c>
      <c r="I35" s="36">
        <f t="shared" si="10"/>
        <v>0</v>
      </c>
      <c r="J35" s="36">
        <f t="shared" si="11"/>
        <v>80000</v>
      </c>
      <c r="K35" s="40">
        <f t="shared" si="12"/>
        <v>0</v>
      </c>
      <c r="L35" s="36">
        <f t="shared" si="13"/>
        <v>0</v>
      </c>
      <c r="M35" s="36">
        <f t="shared" si="14"/>
        <v>80000</v>
      </c>
      <c r="N35" s="38" t="s">
        <v>424</v>
      </c>
      <c r="O35" s="38" t="s">
        <v>192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38" t="s">
        <v>414</v>
      </c>
      <c r="B36" s="38" t="s">
        <v>262</v>
      </c>
      <c r="C36" s="38" t="s">
        <v>135</v>
      </c>
      <c r="D36" s="38" t="s">
        <v>50</v>
      </c>
      <c r="E36" s="39">
        <v>75000.0</v>
      </c>
      <c r="F36" s="38" t="s">
        <v>136</v>
      </c>
      <c r="G36" s="36">
        <f t="shared" si="8"/>
        <v>0</v>
      </c>
      <c r="H36" s="40">
        <f t="shared" si="9"/>
        <v>0</v>
      </c>
      <c r="I36" s="36">
        <f t="shared" si="10"/>
        <v>0</v>
      </c>
      <c r="J36" s="36">
        <f t="shared" si="11"/>
        <v>75000</v>
      </c>
      <c r="K36" s="40">
        <f t="shared" si="12"/>
        <v>0</v>
      </c>
      <c r="L36" s="36">
        <f t="shared" si="13"/>
        <v>0</v>
      </c>
      <c r="M36" s="36">
        <f t="shared" si="14"/>
        <v>75000</v>
      </c>
      <c r="N36" s="38" t="s">
        <v>422</v>
      </c>
      <c r="O36" s="38" t="s">
        <v>192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38" t="s">
        <v>425</v>
      </c>
      <c r="B37" s="38">
        <v>38.0</v>
      </c>
      <c r="C37" s="38" t="s">
        <v>135</v>
      </c>
      <c r="D37" s="38" t="s">
        <v>50</v>
      </c>
      <c r="E37" s="39">
        <v>50000.0</v>
      </c>
      <c r="F37" s="38" t="s">
        <v>136</v>
      </c>
      <c r="G37" s="36">
        <f t="shared" si="8"/>
        <v>0</v>
      </c>
      <c r="H37" s="40">
        <f t="shared" si="9"/>
        <v>0</v>
      </c>
      <c r="I37" s="36">
        <f t="shared" si="10"/>
        <v>0</v>
      </c>
      <c r="J37" s="36">
        <f t="shared" si="11"/>
        <v>50000</v>
      </c>
      <c r="K37" s="40">
        <f t="shared" si="12"/>
        <v>0.07</v>
      </c>
      <c r="L37" s="36">
        <f t="shared" si="13"/>
        <v>3500</v>
      </c>
      <c r="M37" s="36">
        <f t="shared" si="14"/>
        <v>46500</v>
      </c>
      <c r="N37" s="42"/>
      <c r="O37" s="38" t="s">
        <v>135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38" t="s">
        <v>426</v>
      </c>
      <c r="B38" s="38" t="s">
        <v>146</v>
      </c>
      <c r="C38" s="38" t="s">
        <v>135</v>
      </c>
      <c r="D38" s="38" t="s">
        <v>50</v>
      </c>
      <c r="E38" s="39">
        <v>20000.0</v>
      </c>
      <c r="F38" s="38" t="s">
        <v>136</v>
      </c>
      <c r="G38" s="36">
        <f t="shared" si="8"/>
        <v>0</v>
      </c>
      <c r="H38" s="40">
        <f t="shared" si="9"/>
        <v>0</v>
      </c>
      <c r="I38" s="36">
        <f t="shared" si="10"/>
        <v>0</v>
      </c>
      <c r="J38" s="36">
        <f t="shared" si="11"/>
        <v>20000</v>
      </c>
      <c r="K38" s="40">
        <f t="shared" si="12"/>
        <v>0.07</v>
      </c>
      <c r="L38" s="36">
        <f t="shared" si="13"/>
        <v>1400</v>
      </c>
      <c r="M38" s="36">
        <f t="shared" si="14"/>
        <v>18600</v>
      </c>
      <c r="N38" s="42"/>
      <c r="O38" s="38" t="s">
        <v>135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38" t="s">
        <v>427</v>
      </c>
      <c r="B39" s="38" t="s">
        <v>161</v>
      </c>
      <c r="C39" s="38" t="s">
        <v>135</v>
      </c>
      <c r="D39" s="38" t="s">
        <v>50</v>
      </c>
      <c r="E39" s="39">
        <v>80000.0</v>
      </c>
      <c r="F39" s="38" t="s">
        <v>136</v>
      </c>
      <c r="G39" s="36">
        <f t="shared" si="8"/>
        <v>0</v>
      </c>
      <c r="H39" s="40">
        <f t="shared" si="9"/>
        <v>0</v>
      </c>
      <c r="I39" s="36">
        <f t="shared" si="10"/>
        <v>0</v>
      </c>
      <c r="J39" s="36">
        <f t="shared" si="11"/>
        <v>80000</v>
      </c>
      <c r="K39" s="40">
        <f t="shared" si="12"/>
        <v>0</v>
      </c>
      <c r="L39" s="36">
        <f t="shared" si="13"/>
        <v>0</v>
      </c>
      <c r="M39" s="36">
        <f t="shared" si="14"/>
        <v>80000</v>
      </c>
      <c r="N39" s="38" t="s">
        <v>424</v>
      </c>
      <c r="O39" s="38" t="s">
        <v>192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38" t="s">
        <v>285</v>
      </c>
      <c r="B40" s="38" t="s">
        <v>262</v>
      </c>
      <c r="C40" s="38" t="s">
        <v>135</v>
      </c>
      <c r="D40" s="38" t="s">
        <v>50</v>
      </c>
      <c r="E40" s="39">
        <v>80000.0</v>
      </c>
      <c r="F40" s="38" t="s">
        <v>136</v>
      </c>
      <c r="G40" s="36">
        <f t="shared" si="8"/>
        <v>0</v>
      </c>
      <c r="H40" s="40">
        <f t="shared" si="9"/>
        <v>0</v>
      </c>
      <c r="I40" s="36">
        <f t="shared" si="10"/>
        <v>0</v>
      </c>
      <c r="J40" s="36">
        <f t="shared" si="11"/>
        <v>80000</v>
      </c>
      <c r="K40" s="40">
        <f t="shared" si="12"/>
        <v>0</v>
      </c>
      <c r="L40" s="36">
        <f t="shared" si="13"/>
        <v>0</v>
      </c>
      <c r="M40" s="36">
        <f t="shared" si="14"/>
        <v>80000</v>
      </c>
      <c r="N40" s="38" t="s">
        <v>424</v>
      </c>
      <c r="O40" s="38" t="s">
        <v>192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38" t="s">
        <v>428</v>
      </c>
      <c r="B41" s="38" t="s">
        <v>146</v>
      </c>
      <c r="C41" s="38" t="s">
        <v>135</v>
      </c>
      <c r="D41" s="38" t="s">
        <v>50</v>
      </c>
      <c r="E41" s="39">
        <v>80000.0</v>
      </c>
      <c r="F41" s="38" t="s">
        <v>136</v>
      </c>
      <c r="G41" s="36">
        <f t="shared" si="8"/>
        <v>0</v>
      </c>
      <c r="H41" s="40">
        <f t="shared" si="9"/>
        <v>0</v>
      </c>
      <c r="I41" s="36">
        <f t="shared" si="10"/>
        <v>0</v>
      </c>
      <c r="J41" s="36">
        <f t="shared" si="11"/>
        <v>80000</v>
      </c>
      <c r="K41" s="40">
        <f t="shared" si="12"/>
        <v>0</v>
      </c>
      <c r="L41" s="36">
        <f t="shared" si="13"/>
        <v>0</v>
      </c>
      <c r="M41" s="36">
        <f t="shared" si="14"/>
        <v>80000</v>
      </c>
      <c r="N41" s="38" t="s">
        <v>424</v>
      </c>
      <c r="O41" s="38" t="s">
        <v>192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38" t="s">
        <v>429</v>
      </c>
      <c r="B42" s="38" t="s">
        <v>146</v>
      </c>
      <c r="C42" s="38" t="s">
        <v>50</v>
      </c>
      <c r="D42" s="38" t="s">
        <v>50</v>
      </c>
      <c r="E42" s="39">
        <v>45000.0</v>
      </c>
      <c r="F42" s="38" t="s">
        <v>136</v>
      </c>
      <c r="G42" s="36">
        <f t="shared" si="8"/>
        <v>0</v>
      </c>
      <c r="H42" s="40">
        <f t="shared" si="9"/>
        <v>0</v>
      </c>
      <c r="I42" s="36">
        <f t="shared" si="10"/>
        <v>0</v>
      </c>
      <c r="J42" s="36">
        <f t="shared" si="11"/>
        <v>45000</v>
      </c>
      <c r="K42" s="40">
        <f t="shared" si="12"/>
        <v>0.07</v>
      </c>
      <c r="L42" s="36">
        <f t="shared" si="13"/>
        <v>3150</v>
      </c>
      <c r="M42" s="36">
        <f t="shared" si="14"/>
        <v>41850</v>
      </c>
      <c r="N42" s="42"/>
      <c r="O42" s="38" t="s">
        <v>135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38" t="s">
        <v>421</v>
      </c>
      <c r="B43" s="38" t="s">
        <v>134</v>
      </c>
      <c r="C43" s="42"/>
      <c r="D43" s="42"/>
      <c r="E43" s="49"/>
      <c r="F43" s="42"/>
      <c r="G43" s="36">
        <f t="shared" si="8"/>
        <v>0</v>
      </c>
      <c r="H43" s="40">
        <f t="shared" si="9"/>
        <v>0</v>
      </c>
      <c r="I43" s="36">
        <f t="shared" si="10"/>
        <v>0</v>
      </c>
      <c r="J43" s="36">
        <f t="shared" si="11"/>
        <v>0</v>
      </c>
      <c r="K43" s="40">
        <f t="shared" si="12"/>
        <v>0</v>
      </c>
      <c r="L43" s="36">
        <f t="shared" si="13"/>
        <v>0</v>
      </c>
      <c r="M43" s="36">
        <f t="shared" si="14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38" t="s">
        <v>421</v>
      </c>
      <c r="B44" s="38" t="s">
        <v>134</v>
      </c>
      <c r="C44" s="38" t="s">
        <v>135</v>
      </c>
      <c r="D44" s="38" t="s">
        <v>50</v>
      </c>
      <c r="E44" s="39">
        <v>200000.0</v>
      </c>
      <c r="F44" s="38" t="s">
        <v>136</v>
      </c>
      <c r="G44" s="36">
        <f t="shared" si="8"/>
        <v>0</v>
      </c>
      <c r="H44" s="40">
        <f t="shared" si="9"/>
        <v>0</v>
      </c>
      <c r="I44" s="36">
        <f t="shared" si="10"/>
        <v>0</v>
      </c>
      <c r="J44" s="36">
        <f t="shared" si="11"/>
        <v>200000</v>
      </c>
      <c r="K44" s="40">
        <f t="shared" si="12"/>
        <v>0.07</v>
      </c>
      <c r="L44" s="36">
        <f t="shared" si="13"/>
        <v>14000</v>
      </c>
      <c r="M44" s="36">
        <f t="shared" si="14"/>
        <v>186000</v>
      </c>
      <c r="N44" s="38" t="s">
        <v>430</v>
      </c>
      <c r="O44" s="38" t="s">
        <v>135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38" t="s">
        <v>431</v>
      </c>
      <c r="B45" s="38" t="s">
        <v>161</v>
      </c>
      <c r="C45" s="38" t="s">
        <v>135</v>
      </c>
      <c r="D45" s="38" t="s">
        <v>53</v>
      </c>
      <c r="E45" s="39">
        <v>80000.0</v>
      </c>
      <c r="F45" s="38" t="s">
        <v>136</v>
      </c>
      <c r="G45" s="36">
        <f t="shared" si="8"/>
        <v>0</v>
      </c>
      <c r="H45" s="40">
        <f t="shared" si="9"/>
        <v>0</v>
      </c>
      <c r="I45" s="36">
        <f t="shared" si="10"/>
        <v>0</v>
      </c>
      <c r="J45" s="36">
        <f t="shared" si="11"/>
        <v>80000</v>
      </c>
      <c r="K45" s="40">
        <f t="shared" si="12"/>
        <v>0</v>
      </c>
      <c r="L45" s="36">
        <f t="shared" si="13"/>
        <v>0</v>
      </c>
      <c r="M45" s="36">
        <f t="shared" si="14"/>
        <v>80000</v>
      </c>
      <c r="N45" s="38" t="s">
        <v>432</v>
      </c>
      <c r="O45" s="38" t="s">
        <v>192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38" t="s">
        <v>331</v>
      </c>
      <c r="B46" s="38" t="s">
        <v>146</v>
      </c>
      <c r="C46" s="38" t="s">
        <v>135</v>
      </c>
      <c r="D46" s="38" t="s">
        <v>53</v>
      </c>
      <c r="E46" s="39">
        <v>20000.0</v>
      </c>
      <c r="F46" s="38" t="s">
        <v>136</v>
      </c>
      <c r="G46" s="36">
        <f t="shared" si="8"/>
        <v>0</v>
      </c>
      <c r="H46" s="40">
        <f t="shared" si="9"/>
        <v>0</v>
      </c>
      <c r="I46" s="36">
        <f t="shared" si="10"/>
        <v>0</v>
      </c>
      <c r="J46" s="36">
        <f t="shared" si="11"/>
        <v>20000</v>
      </c>
      <c r="K46" s="40">
        <f t="shared" si="12"/>
        <v>0.07</v>
      </c>
      <c r="L46" s="36">
        <f t="shared" si="13"/>
        <v>1400</v>
      </c>
      <c r="M46" s="36">
        <f t="shared" si="14"/>
        <v>18600</v>
      </c>
      <c r="N46" s="42"/>
      <c r="O46" s="38" t="s">
        <v>135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38" t="s">
        <v>433</v>
      </c>
      <c r="B47" s="38" t="s">
        <v>146</v>
      </c>
      <c r="C47" s="38" t="s">
        <v>49</v>
      </c>
      <c r="D47" s="38" t="s">
        <v>53</v>
      </c>
      <c r="E47" s="39">
        <v>80000.0</v>
      </c>
      <c r="F47" s="38" t="s">
        <v>136</v>
      </c>
      <c r="G47" s="36">
        <f t="shared" si="8"/>
        <v>0</v>
      </c>
      <c r="H47" s="40">
        <f t="shared" si="9"/>
        <v>0</v>
      </c>
      <c r="I47" s="36">
        <f t="shared" si="10"/>
        <v>0</v>
      </c>
      <c r="J47" s="36">
        <f t="shared" si="11"/>
        <v>80000</v>
      </c>
      <c r="K47" s="40">
        <f t="shared" si="12"/>
        <v>0.07</v>
      </c>
      <c r="L47" s="36">
        <f t="shared" si="13"/>
        <v>5600</v>
      </c>
      <c r="M47" s="36">
        <f t="shared" si="14"/>
        <v>74400</v>
      </c>
      <c r="N47" s="42"/>
      <c r="O47" s="38" t="s">
        <v>135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38" t="s">
        <v>434</v>
      </c>
      <c r="B48" s="38" t="s">
        <v>262</v>
      </c>
      <c r="C48" s="38" t="s">
        <v>135</v>
      </c>
      <c r="D48" s="38" t="s">
        <v>50</v>
      </c>
      <c r="E48" s="39">
        <v>170000.0</v>
      </c>
      <c r="F48" s="38" t="s">
        <v>136</v>
      </c>
      <c r="G48" s="36">
        <f t="shared" si="8"/>
        <v>0</v>
      </c>
      <c r="H48" s="40">
        <f t="shared" si="9"/>
        <v>0</v>
      </c>
      <c r="I48" s="36">
        <f t="shared" si="10"/>
        <v>0</v>
      </c>
      <c r="J48" s="36">
        <f t="shared" si="11"/>
        <v>170000</v>
      </c>
      <c r="K48" s="40">
        <f t="shared" si="12"/>
        <v>0.07</v>
      </c>
      <c r="L48" s="36">
        <f t="shared" si="13"/>
        <v>11900</v>
      </c>
      <c r="M48" s="36">
        <f t="shared" si="14"/>
        <v>158100</v>
      </c>
      <c r="N48" s="38" t="s">
        <v>435</v>
      </c>
      <c r="O48" s="38" t="s">
        <v>135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38" t="s">
        <v>436</v>
      </c>
      <c r="B49" s="38" t="s">
        <v>146</v>
      </c>
      <c r="C49" s="38" t="s">
        <v>135</v>
      </c>
      <c r="D49" s="38" t="s">
        <v>50</v>
      </c>
      <c r="E49" s="39">
        <v>20000.0</v>
      </c>
      <c r="F49" s="38" t="s">
        <v>136</v>
      </c>
      <c r="G49" s="36">
        <f t="shared" si="8"/>
        <v>0</v>
      </c>
      <c r="H49" s="40">
        <f t="shared" si="9"/>
        <v>0</v>
      </c>
      <c r="I49" s="36">
        <f t="shared" si="10"/>
        <v>0</v>
      </c>
      <c r="J49" s="36">
        <f t="shared" si="11"/>
        <v>20000</v>
      </c>
      <c r="K49" s="40">
        <f t="shared" si="12"/>
        <v>0</v>
      </c>
      <c r="L49" s="36">
        <f t="shared" si="13"/>
        <v>0</v>
      </c>
      <c r="M49" s="36">
        <f t="shared" si="14"/>
        <v>20000</v>
      </c>
      <c r="N49" s="38" t="s">
        <v>437</v>
      </c>
      <c r="O49" s="38" t="s">
        <v>192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38" t="s">
        <v>438</v>
      </c>
      <c r="B50" s="38" t="s">
        <v>146</v>
      </c>
      <c r="C50" s="38" t="s">
        <v>135</v>
      </c>
      <c r="D50" s="38" t="s">
        <v>50</v>
      </c>
      <c r="E50" s="39">
        <v>25000.0</v>
      </c>
      <c r="F50" s="38" t="s">
        <v>136</v>
      </c>
      <c r="G50" s="36">
        <f t="shared" si="8"/>
        <v>0</v>
      </c>
      <c r="H50" s="40">
        <f t="shared" si="9"/>
        <v>0</v>
      </c>
      <c r="I50" s="36">
        <f t="shared" si="10"/>
        <v>0</v>
      </c>
      <c r="J50" s="36">
        <f t="shared" si="11"/>
        <v>25000</v>
      </c>
      <c r="K50" s="40">
        <f t="shared" si="12"/>
        <v>0.07</v>
      </c>
      <c r="L50" s="36">
        <f t="shared" si="13"/>
        <v>1750</v>
      </c>
      <c r="M50" s="36">
        <f t="shared" si="14"/>
        <v>23250</v>
      </c>
      <c r="N50" s="42"/>
      <c r="O50" s="38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38" t="s">
        <v>439</v>
      </c>
      <c r="B51" s="38" t="s">
        <v>161</v>
      </c>
      <c r="C51" s="38" t="s">
        <v>53</v>
      </c>
      <c r="D51" s="38" t="s">
        <v>50</v>
      </c>
      <c r="E51" s="39">
        <v>25000.0</v>
      </c>
      <c r="F51" s="38" t="s">
        <v>176</v>
      </c>
      <c r="G51" s="36">
        <f t="shared" si="8"/>
        <v>3991.596639</v>
      </c>
      <c r="H51" s="40">
        <f t="shared" si="9"/>
        <v>0.0275</v>
      </c>
      <c r="I51" s="36">
        <f t="shared" si="10"/>
        <v>687.5</v>
      </c>
      <c r="J51" s="36">
        <f t="shared" si="11"/>
        <v>20320.90336</v>
      </c>
      <c r="K51" s="40">
        <f t="shared" si="12"/>
        <v>0.05</v>
      </c>
      <c r="L51" s="36">
        <f t="shared" si="13"/>
        <v>1016.045168</v>
      </c>
      <c r="M51" s="36">
        <f t="shared" si="14"/>
        <v>19304.85819</v>
      </c>
      <c r="N51" s="42"/>
      <c r="O51" s="38" t="s">
        <v>135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38" t="s">
        <v>301</v>
      </c>
      <c r="B52" s="38" t="s">
        <v>161</v>
      </c>
      <c r="C52" s="38" t="s">
        <v>135</v>
      </c>
      <c r="D52" s="38" t="s">
        <v>50</v>
      </c>
      <c r="E52" s="39">
        <v>215000.0</v>
      </c>
      <c r="F52" s="38" t="s">
        <v>136</v>
      </c>
      <c r="G52" s="36">
        <f t="shared" si="8"/>
        <v>0</v>
      </c>
      <c r="H52" s="40">
        <f t="shared" si="9"/>
        <v>0</v>
      </c>
      <c r="I52" s="36">
        <f t="shared" si="10"/>
        <v>0</v>
      </c>
      <c r="J52" s="36">
        <f t="shared" si="11"/>
        <v>215000</v>
      </c>
      <c r="K52" s="40">
        <f t="shared" si="12"/>
        <v>0.07</v>
      </c>
      <c r="L52" s="36">
        <f t="shared" si="13"/>
        <v>15050</v>
      </c>
      <c r="M52" s="36">
        <f t="shared" si="14"/>
        <v>199950</v>
      </c>
      <c r="N52" s="38" t="s">
        <v>440</v>
      </c>
      <c r="O52" s="38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38" t="s">
        <v>441</v>
      </c>
      <c r="B53" s="38" t="s">
        <v>161</v>
      </c>
      <c r="C53" s="38" t="s">
        <v>135</v>
      </c>
      <c r="D53" s="38" t="s">
        <v>50</v>
      </c>
      <c r="E53" s="39">
        <v>20000.0</v>
      </c>
      <c r="F53" s="38" t="s">
        <v>292</v>
      </c>
      <c r="G53" s="36">
        <f t="shared" si="8"/>
        <v>0</v>
      </c>
      <c r="H53" s="40">
        <f t="shared" si="9"/>
        <v>0</v>
      </c>
      <c r="I53" s="36">
        <f t="shared" si="10"/>
        <v>0</v>
      </c>
      <c r="J53" s="36">
        <f t="shared" si="11"/>
        <v>20000</v>
      </c>
      <c r="K53" s="40">
        <f t="shared" si="12"/>
        <v>0</v>
      </c>
      <c r="L53" s="36">
        <f t="shared" si="13"/>
        <v>0</v>
      </c>
      <c r="M53" s="36">
        <f t="shared" si="14"/>
        <v>20000</v>
      </c>
      <c r="N53" s="38" t="s">
        <v>437</v>
      </c>
      <c r="O53" s="38" t="s">
        <v>192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38" t="s">
        <v>431</v>
      </c>
      <c r="B54" s="38" t="s">
        <v>262</v>
      </c>
      <c r="C54" s="38" t="s">
        <v>135</v>
      </c>
      <c r="D54" s="38" t="s">
        <v>50</v>
      </c>
      <c r="E54" s="39">
        <v>80000.0</v>
      </c>
      <c r="F54" s="38" t="s">
        <v>136</v>
      </c>
      <c r="G54" s="36">
        <f t="shared" si="8"/>
        <v>0</v>
      </c>
      <c r="H54" s="40">
        <f t="shared" si="9"/>
        <v>0</v>
      </c>
      <c r="I54" s="36">
        <f t="shared" si="10"/>
        <v>0</v>
      </c>
      <c r="J54" s="36">
        <f t="shared" si="11"/>
        <v>80000</v>
      </c>
      <c r="K54" s="40">
        <f t="shared" si="12"/>
        <v>0</v>
      </c>
      <c r="L54" s="36">
        <f t="shared" si="13"/>
        <v>0</v>
      </c>
      <c r="M54" s="36">
        <f t="shared" si="14"/>
        <v>80000</v>
      </c>
      <c r="N54" s="38" t="s">
        <v>270</v>
      </c>
      <c r="O54" s="38" t="s">
        <v>192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38" t="s">
        <v>383</v>
      </c>
      <c r="B55" s="38" t="s">
        <v>134</v>
      </c>
      <c r="C55" s="38" t="s">
        <v>53</v>
      </c>
      <c r="D55" s="38" t="s">
        <v>53</v>
      </c>
      <c r="E55" s="39">
        <v>25000.0</v>
      </c>
      <c r="F55" s="38" t="s">
        <v>136</v>
      </c>
      <c r="G55" s="36">
        <f t="shared" si="8"/>
        <v>0</v>
      </c>
      <c r="H55" s="40">
        <f t="shared" si="9"/>
        <v>0</v>
      </c>
      <c r="I55" s="36">
        <f t="shared" si="10"/>
        <v>0</v>
      </c>
      <c r="J55" s="36">
        <f t="shared" si="11"/>
        <v>25000</v>
      </c>
      <c r="K55" s="40">
        <f t="shared" si="12"/>
        <v>0.07</v>
      </c>
      <c r="L55" s="36">
        <f t="shared" si="13"/>
        <v>1750</v>
      </c>
      <c r="M55" s="36">
        <f t="shared" si="14"/>
        <v>23250</v>
      </c>
      <c r="N55" s="42"/>
      <c r="O55" s="38" t="s">
        <v>135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38" t="s">
        <v>442</v>
      </c>
      <c r="B56" s="38" t="s">
        <v>134</v>
      </c>
      <c r="C56" s="38" t="s">
        <v>53</v>
      </c>
      <c r="D56" s="38" t="s">
        <v>50</v>
      </c>
      <c r="E56" s="39">
        <v>30000.0</v>
      </c>
      <c r="F56" s="38" t="s">
        <v>136</v>
      </c>
      <c r="G56" s="36">
        <f t="shared" si="8"/>
        <v>0</v>
      </c>
      <c r="H56" s="40">
        <f t="shared" si="9"/>
        <v>0</v>
      </c>
      <c r="I56" s="36">
        <f t="shared" si="10"/>
        <v>0</v>
      </c>
      <c r="J56" s="36">
        <f t="shared" si="11"/>
        <v>30000</v>
      </c>
      <c r="K56" s="40">
        <f t="shared" si="12"/>
        <v>0.07</v>
      </c>
      <c r="L56" s="36">
        <f t="shared" si="13"/>
        <v>2100</v>
      </c>
      <c r="M56" s="36">
        <f t="shared" si="14"/>
        <v>27900</v>
      </c>
      <c r="N56" s="42"/>
      <c r="O56" s="38" t="s">
        <v>135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38" t="s">
        <v>331</v>
      </c>
      <c r="B57" s="38" t="s">
        <v>161</v>
      </c>
      <c r="C57" s="38" t="s">
        <v>135</v>
      </c>
      <c r="D57" s="38" t="s">
        <v>53</v>
      </c>
      <c r="E57" s="39">
        <v>20000.0</v>
      </c>
      <c r="F57" s="38" t="s">
        <v>136</v>
      </c>
      <c r="G57" s="36">
        <f t="shared" si="8"/>
        <v>0</v>
      </c>
      <c r="H57" s="40">
        <f t="shared" si="9"/>
        <v>0</v>
      </c>
      <c r="I57" s="36">
        <f t="shared" si="10"/>
        <v>0</v>
      </c>
      <c r="J57" s="36">
        <f t="shared" si="11"/>
        <v>20000</v>
      </c>
      <c r="K57" s="40">
        <f t="shared" si="12"/>
        <v>0.07</v>
      </c>
      <c r="L57" s="36">
        <f t="shared" si="13"/>
        <v>1400</v>
      </c>
      <c r="M57" s="36">
        <f t="shared" si="14"/>
        <v>18600</v>
      </c>
      <c r="N57" s="42"/>
      <c r="O57" s="38" t="s">
        <v>135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38" t="s">
        <v>443</v>
      </c>
      <c r="B58" s="38" t="s">
        <v>161</v>
      </c>
      <c r="C58" s="38" t="s">
        <v>135</v>
      </c>
      <c r="D58" s="38" t="s">
        <v>50</v>
      </c>
      <c r="E58" s="39">
        <v>200000.0</v>
      </c>
      <c r="F58" s="38" t="s">
        <v>136</v>
      </c>
      <c r="G58" s="36">
        <f t="shared" si="8"/>
        <v>0</v>
      </c>
      <c r="H58" s="40">
        <f t="shared" si="9"/>
        <v>0</v>
      </c>
      <c r="I58" s="36">
        <f t="shared" si="10"/>
        <v>0</v>
      </c>
      <c r="J58" s="36">
        <f t="shared" si="11"/>
        <v>200000</v>
      </c>
      <c r="K58" s="40">
        <f t="shared" si="12"/>
        <v>0.07</v>
      </c>
      <c r="L58" s="36">
        <f t="shared" si="13"/>
        <v>14000</v>
      </c>
      <c r="M58" s="36">
        <f t="shared" si="14"/>
        <v>186000</v>
      </c>
      <c r="N58" s="42"/>
      <c r="O58" s="38" t="s">
        <v>135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38" t="s">
        <v>444</v>
      </c>
      <c r="B59" s="38" t="s">
        <v>262</v>
      </c>
      <c r="C59" s="38" t="s">
        <v>135</v>
      </c>
      <c r="D59" s="38" t="s">
        <v>50</v>
      </c>
      <c r="E59" s="39">
        <v>65000.0</v>
      </c>
      <c r="F59" s="38" t="s">
        <v>136</v>
      </c>
      <c r="G59" s="36">
        <f t="shared" si="8"/>
        <v>0</v>
      </c>
      <c r="H59" s="40">
        <f t="shared" si="9"/>
        <v>0</v>
      </c>
      <c r="I59" s="36">
        <f t="shared" si="10"/>
        <v>0</v>
      </c>
      <c r="J59" s="36">
        <f t="shared" si="11"/>
        <v>65000</v>
      </c>
      <c r="K59" s="40">
        <f t="shared" si="12"/>
        <v>0</v>
      </c>
      <c r="L59" s="36">
        <f t="shared" si="13"/>
        <v>0</v>
      </c>
      <c r="M59" s="36">
        <f t="shared" si="14"/>
        <v>65000</v>
      </c>
      <c r="N59" s="38" t="s">
        <v>445</v>
      </c>
      <c r="O59" s="38" t="s">
        <v>192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38" t="s">
        <v>446</v>
      </c>
      <c r="B60" s="38" t="s">
        <v>146</v>
      </c>
      <c r="C60" s="38" t="s">
        <v>135</v>
      </c>
      <c r="D60" s="38" t="s">
        <v>50</v>
      </c>
      <c r="E60" s="39">
        <v>80000.0</v>
      </c>
      <c r="F60" s="38" t="s">
        <v>136</v>
      </c>
      <c r="G60" s="36">
        <f t="shared" si="8"/>
        <v>0</v>
      </c>
      <c r="H60" s="40">
        <f t="shared" si="9"/>
        <v>0</v>
      </c>
      <c r="I60" s="36">
        <f t="shared" si="10"/>
        <v>0</v>
      </c>
      <c r="J60" s="36">
        <f t="shared" si="11"/>
        <v>80000</v>
      </c>
      <c r="K60" s="40">
        <f t="shared" si="12"/>
        <v>0</v>
      </c>
      <c r="L60" s="36">
        <f t="shared" si="13"/>
        <v>0</v>
      </c>
      <c r="M60" s="36">
        <f t="shared" si="14"/>
        <v>80000</v>
      </c>
      <c r="N60" s="38" t="s">
        <v>270</v>
      </c>
      <c r="O60" s="38" t="s">
        <v>192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38" t="s">
        <v>447</v>
      </c>
      <c r="B61" s="38" t="s">
        <v>146</v>
      </c>
      <c r="C61" s="38" t="s">
        <v>135</v>
      </c>
      <c r="D61" s="38" t="s">
        <v>50</v>
      </c>
      <c r="E61" s="39">
        <v>70000.0</v>
      </c>
      <c r="F61" s="38" t="s">
        <v>136</v>
      </c>
      <c r="G61" s="36">
        <f t="shared" si="8"/>
        <v>0</v>
      </c>
      <c r="H61" s="40">
        <f t="shared" si="9"/>
        <v>0</v>
      </c>
      <c r="I61" s="36">
        <f t="shared" si="10"/>
        <v>0</v>
      </c>
      <c r="J61" s="36">
        <f t="shared" si="11"/>
        <v>70000</v>
      </c>
      <c r="K61" s="40">
        <f t="shared" si="12"/>
        <v>0</v>
      </c>
      <c r="L61" s="36">
        <f t="shared" si="13"/>
        <v>0</v>
      </c>
      <c r="M61" s="36">
        <f t="shared" si="14"/>
        <v>70000</v>
      </c>
      <c r="N61" s="38" t="s">
        <v>448</v>
      </c>
      <c r="O61" s="38" t="s">
        <v>192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38" t="s">
        <v>449</v>
      </c>
      <c r="B62" s="38" t="s">
        <v>146</v>
      </c>
      <c r="C62" s="38" t="s">
        <v>135</v>
      </c>
      <c r="D62" s="38" t="s">
        <v>50</v>
      </c>
      <c r="E62" s="39">
        <v>70000.0</v>
      </c>
      <c r="F62" s="38" t="s">
        <v>136</v>
      </c>
      <c r="G62" s="36">
        <f t="shared" si="8"/>
        <v>0</v>
      </c>
      <c r="H62" s="40">
        <f t="shared" si="9"/>
        <v>0</v>
      </c>
      <c r="I62" s="36">
        <f t="shared" si="10"/>
        <v>0</v>
      </c>
      <c r="J62" s="36">
        <f t="shared" si="11"/>
        <v>70000</v>
      </c>
      <c r="K62" s="40">
        <f t="shared" si="12"/>
        <v>0</v>
      </c>
      <c r="L62" s="36">
        <f t="shared" si="13"/>
        <v>0</v>
      </c>
      <c r="M62" s="36">
        <f t="shared" si="14"/>
        <v>70000</v>
      </c>
      <c r="N62" s="38" t="s">
        <v>448</v>
      </c>
      <c r="O62" s="38" t="s">
        <v>192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38" t="s">
        <v>436</v>
      </c>
      <c r="B63" s="38" t="s">
        <v>262</v>
      </c>
      <c r="C63" s="38" t="s">
        <v>135</v>
      </c>
      <c r="D63" s="38" t="s">
        <v>49</v>
      </c>
      <c r="E63" s="39">
        <v>20000.0</v>
      </c>
      <c r="F63" s="38" t="s">
        <v>136</v>
      </c>
      <c r="G63" s="36">
        <f t="shared" si="8"/>
        <v>0</v>
      </c>
      <c r="H63" s="40">
        <f t="shared" si="9"/>
        <v>0</v>
      </c>
      <c r="I63" s="36">
        <f t="shared" si="10"/>
        <v>0</v>
      </c>
      <c r="J63" s="36">
        <f t="shared" si="11"/>
        <v>20000</v>
      </c>
      <c r="K63" s="40">
        <f t="shared" si="12"/>
        <v>0</v>
      </c>
      <c r="L63" s="36">
        <f t="shared" si="13"/>
        <v>0</v>
      </c>
      <c r="M63" s="36">
        <f t="shared" si="14"/>
        <v>20000</v>
      </c>
      <c r="N63" s="38" t="s">
        <v>450</v>
      </c>
      <c r="O63" s="38" t="s">
        <v>192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38" t="s">
        <v>451</v>
      </c>
      <c r="B64" s="38">
        <v>42.0</v>
      </c>
      <c r="C64" s="38" t="s">
        <v>49</v>
      </c>
      <c r="D64" s="38" t="s">
        <v>53</v>
      </c>
      <c r="E64" s="39">
        <v>25000.0</v>
      </c>
      <c r="F64" s="38" t="s">
        <v>176</v>
      </c>
      <c r="G64" s="36">
        <f t="shared" si="8"/>
        <v>3991.596639</v>
      </c>
      <c r="H64" s="40">
        <f t="shared" si="9"/>
        <v>0.0275</v>
      </c>
      <c r="I64" s="36">
        <f t="shared" si="10"/>
        <v>687.5</v>
      </c>
      <c r="J64" s="36">
        <f t="shared" si="11"/>
        <v>20320.90336</v>
      </c>
      <c r="K64" s="40">
        <f t="shared" si="12"/>
        <v>0.05</v>
      </c>
      <c r="L64" s="36">
        <f t="shared" si="13"/>
        <v>1016.045168</v>
      </c>
      <c r="M64" s="36">
        <f t="shared" si="14"/>
        <v>19304.85819</v>
      </c>
      <c r="N64" s="42"/>
      <c r="O64" s="38" t="s">
        <v>135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38" t="s">
        <v>452</v>
      </c>
      <c r="B65" s="38" t="s">
        <v>394</v>
      </c>
      <c r="C65" s="38" t="s">
        <v>53</v>
      </c>
      <c r="D65" s="38" t="s">
        <v>53</v>
      </c>
      <c r="E65" s="39">
        <v>30000.0</v>
      </c>
      <c r="F65" s="38" t="s">
        <v>136</v>
      </c>
      <c r="G65" s="36">
        <f t="shared" si="8"/>
        <v>0</v>
      </c>
      <c r="H65" s="40">
        <f t="shared" si="9"/>
        <v>0</v>
      </c>
      <c r="I65" s="36">
        <f t="shared" si="10"/>
        <v>0</v>
      </c>
      <c r="J65" s="36">
        <f t="shared" si="11"/>
        <v>30000</v>
      </c>
      <c r="K65" s="40">
        <f t="shared" si="12"/>
        <v>0.07</v>
      </c>
      <c r="L65" s="36">
        <f t="shared" si="13"/>
        <v>2100</v>
      </c>
      <c r="M65" s="36">
        <f t="shared" si="14"/>
        <v>27900</v>
      </c>
      <c r="N65" s="42"/>
      <c r="O65" s="38" t="s">
        <v>135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38" t="s">
        <v>453</v>
      </c>
      <c r="B66" s="38" t="s">
        <v>146</v>
      </c>
      <c r="C66" s="38" t="s">
        <v>53</v>
      </c>
      <c r="D66" s="38" t="s">
        <v>53</v>
      </c>
      <c r="E66" s="39">
        <v>35000.0</v>
      </c>
      <c r="F66" s="38" t="s">
        <v>176</v>
      </c>
      <c r="G66" s="36">
        <f t="shared" si="8"/>
        <v>5588.235294</v>
      </c>
      <c r="H66" s="40">
        <f t="shared" si="9"/>
        <v>0.0275</v>
      </c>
      <c r="I66" s="36">
        <f t="shared" si="10"/>
        <v>962.5</v>
      </c>
      <c r="J66" s="36">
        <f t="shared" si="11"/>
        <v>28449.26471</v>
      </c>
      <c r="K66" s="40">
        <f t="shared" si="12"/>
        <v>0.05</v>
      </c>
      <c r="L66" s="36">
        <f t="shared" si="13"/>
        <v>1422.463235</v>
      </c>
      <c r="M66" s="36">
        <f t="shared" si="14"/>
        <v>27026.80147</v>
      </c>
      <c r="N66" s="42"/>
      <c r="O66" s="38" t="s">
        <v>135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38" t="s">
        <v>454</v>
      </c>
      <c r="B67" s="38" t="s">
        <v>146</v>
      </c>
      <c r="C67" s="38" t="s">
        <v>53</v>
      </c>
      <c r="D67" s="38" t="s">
        <v>50</v>
      </c>
      <c r="E67" s="39">
        <v>50000.0</v>
      </c>
      <c r="F67" s="38" t="s">
        <v>136</v>
      </c>
      <c r="G67" s="36">
        <f t="shared" si="8"/>
        <v>0</v>
      </c>
      <c r="H67" s="40">
        <f t="shared" si="9"/>
        <v>0</v>
      </c>
      <c r="I67" s="36">
        <f t="shared" si="10"/>
        <v>0</v>
      </c>
      <c r="J67" s="36">
        <f t="shared" si="11"/>
        <v>50000</v>
      </c>
      <c r="K67" s="40">
        <f t="shared" si="12"/>
        <v>0.07</v>
      </c>
      <c r="L67" s="36">
        <f t="shared" si="13"/>
        <v>3500</v>
      </c>
      <c r="M67" s="36">
        <f t="shared" si="14"/>
        <v>46500</v>
      </c>
      <c r="N67" s="38" t="s">
        <v>186</v>
      </c>
      <c r="O67" s="38" t="s">
        <v>135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38" t="s">
        <v>455</v>
      </c>
      <c r="B68" s="38" t="s">
        <v>146</v>
      </c>
      <c r="C68" s="38" t="s">
        <v>135</v>
      </c>
      <c r="D68" s="38" t="s">
        <v>50</v>
      </c>
      <c r="E68" s="39">
        <v>25000.0</v>
      </c>
      <c r="F68" s="38" t="s">
        <v>136</v>
      </c>
      <c r="G68" s="36">
        <f t="shared" si="8"/>
        <v>0</v>
      </c>
      <c r="H68" s="40">
        <f t="shared" si="9"/>
        <v>0</v>
      </c>
      <c r="I68" s="36">
        <f t="shared" si="10"/>
        <v>0</v>
      </c>
      <c r="J68" s="36">
        <f t="shared" si="11"/>
        <v>25000</v>
      </c>
      <c r="K68" s="40">
        <f t="shared" si="12"/>
        <v>0.07</v>
      </c>
      <c r="L68" s="36">
        <f t="shared" si="13"/>
        <v>1750</v>
      </c>
      <c r="M68" s="36">
        <f t="shared" si="14"/>
        <v>23250</v>
      </c>
      <c r="N68" s="38" t="s">
        <v>456</v>
      </c>
      <c r="O68" s="38" t="s">
        <v>135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38" t="s">
        <v>457</v>
      </c>
      <c r="B69" s="38" t="s">
        <v>134</v>
      </c>
      <c r="C69" s="38" t="s">
        <v>135</v>
      </c>
      <c r="D69" s="38" t="s">
        <v>53</v>
      </c>
      <c r="E69" s="39">
        <v>650000.0</v>
      </c>
      <c r="F69" s="38" t="s">
        <v>136</v>
      </c>
      <c r="G69" s="36">
        <f t="shared" si="8"/>
        <v>0</v>
      </c>
      <c r="H69" s="40">
        <f t="shared" si="9"/>
        <v>0</v>
      </c>
      <c r="I69" s="36">
        <f t="shared" si="10"/>
        <v>0</v>
      </c>
      <c r="J69" s="36">
        <f t="shared" si="11"/>
        <v>650000</v>
      </c>
      <c r="K69" s="40">
        <f t="shared" si="12"/>
        <v>0.07</v>
      </c>
      <c r="L69" s="36">
        <f t="shared" si="13"/>
        <v>45500</v>
      </c>
      <c r="M69" s="36">
        <f t="shared" si="14"/>
        <v>604500</v>
      </c>
      <c r="N69" s="38" t="s">
        <v>458</v>
      </c>
      <c r="O69" s="38" t="s">
        <v>135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38" t="s">
        <v>459</v>
      </c>
      <c r="B70" s="38" t="s">
        <v>262</v>
      </c>
      <c r="C70" s="38" t="s">
        <v>135</v>
      </c>
      <c r="D70" s="38" t="s">
        <v>50</v>
      </c>
      <c r="E70" s="39">
        <v>80000.0</v>
      </c>
      <c r="F70" s="38" t="s">
        <v>136</v>
      </c>
      <c r="G70" s="36">
        <f t="shared" si="8"/>
        <v>0</v>
      </c>
      <c r="H70" s="40">
        <f t="shared" si="9"/>
        <v>0</v>
      </c>
      <c r="I70" s="36">
        <f t="shared" si="10"/>
        <v>0</v>
      </c>
      <c r="J70" s="36">
        <f t="shared" si="11"/>
        <v>80000</v>
      </c>
      <c r="K70" s="40">
        <f t="shared" si="12"/>
        <v>0</v>
      </c>
      <c r="L70" s="36">
        <f t="shared" si="13"/>
        <v>0</v>
      </c>
      <c r="M70" s="36">
        <f t="shared" si="14"/>
        <v>80000</v>
      </c>
      <c r="N70" s="38" t="s">
        <v>270</v>
      </c>
      <c r="O70" s="38" t="s">
        <v>192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38" t="s">
        <v>460</v>
      </c>
      <c r="B71" s="38" t="s">
        <v>262</v>
      </c>
      <c r="C71" s="38" t="s">
        <v>50</v>
      </c>
      <c r="D71" s="38" t="s">
        <v>53</v>
      </c>
      <c r="E71" s="39">
        <v>35000.0</v>
      </c>
      <c r="F71" s="38" t="s">
        <v>136</v>
      </c>
      <c r="G71" s="36">
        <f t="shared" si="8"/>
        <v>0</v>
      </c>
      <c r="H71" s="40">
        <f t="shared" si="9"/>
        <v>0</v>
      </c>
      <c r="I71" s="36">
        <f t="shared" si="10"/>
        <v>0</v>
      </c>
      <c r="J71" s="36">
        <f t="shared" si="11"/>
        <v>35000</v>
      </c>
      <c r="K71" s="40">
        <f t="shared" si="12"/>
        <v>0.07</v>
      </c>
      <c r="L71" s="36">
        <f t="shared" si="13"/>
        <v>2450</v>
      </c>
      <c r="M71" s="36">
        <f t="shared" si="14"/>
        <v>32550</v>
      </c>
      <c r="N71" s="42"/>
      <c r="O71" s="38" t="s">
        <v>135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38" t="s">
        <v>461</v>
      </c>
      <c r="B72" s="38" t="s">
        <v>227</v>
      </c>
      <c r="C72" s="38" t="s">
        <v>135</v>
      </c>
      <c r="D72" s="38" t="s">
        <v>53</v>
      </c>
      <c r="E72" s="39">
        <v>400000.0</v>
      </c>
      <c r="F72" s="38" t="s">
        <v>136</v>
      </c>
      <c r="G72" s="36">
        <f t="shared" si="8"/>
        <v>0</v>
      </c>
      <c r="H72" s="40">
        <f t="shared" si="9"/>
        <v>0</v>
      </c>
      <c r="I72" s="36">
        <f t="shared" si="10"/>
        <v>0</v>
      </c>
      <c r="J72" s="36">
        <f t="shared" si="11"/>
        <v>400000</v>
      </c>
      <c r="K72" s="40">
        <f t="shared" si="12"/>
        <v>0.07</v>
      </c>
      <c r="L72" s="36">
        <f t="shared" si="13"/>
        <v>28000</v>
      </c>
      <c r="M72" s="36">
        <f t="shared" si="14"/>
        <v>372000</v>
      </c>
      <c r="N72" s="38" t="s">
        <v>462</v>
      </c>
      <c r="O72" s="38" t="s">
        <v>135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38" t="s">
        <v>463</v>
      </c>
      <c r="B73" s="38" t="s">
        <v>351</v>
      </c>
      <c r="C73" s="38" t="s">
        <v>53</v>
      </c>
      <c r="D73" s="38" t="s">
        <v>50</v>
      </c>
      <c r="E73" s="39">
        <v>25000.0</v>
      </c>
      <c r="F73" s="38" t="s">
        <v>136</v>
      </c>
      <c r="G73" s="36">
        <f t="shared" si="8"/>
        <v>0</v>
      </c>
      <c r="H73" s="40">
        <f t="shared" si="9"/>
        <v>0</v>
      </c>
      <c r="I73" s="36">
        <f t="shared" si="10"/>
        <v>0</v>
      </c>
      <c r="J73" s="36">
        <f t="shared" si="11"/>
        <v>25000</v>
      </c>
      <c r="K73" s="40">
        <f t="shared" si="12"/>
        <v>0.07</v>
      </c>
      <c r="L73" s="36">
        <f t="shared" si="13"/>
        <v>1750</v>
      </c>
      <c r="M73" s="36">
        <f t="shared" si="14"/>
        <v>23250</v>
      </c>
      <c r="N73" s="42"/>
      <c r="O73" s="38" t="s">
        <v>135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38" t="s">
        <v>464</v>
      </c>
      <c r="B74" s="42"/>
      <c r="C74" s="38" t="s">
        <v>135</v>
      </c>
      <c r="D74" s="42"/>
      <c r="E74" s="49"/>
      <c r="F74" s="42"/>
      <c r="G74" s="36">
        <f t="shared" si="8"/>
        <v>0</v>
      </c>
      <c r="H74" s="40">
        <f t="shared" si="9"/>
        <v>0</v>
      </c>
      <c r="I74" s="36">
        <f t="shared" si="10"/>
        <v>0</v>
      </c>
      <c r="J74" s="36">
        <f t="shared" si="11"/>
        <v>0</v>
      </c>
      <c r="K74" s="40">
        <f t="shared" si="12"/>
        <v>0</v>
      </c>
      <c r="L74" s="36">
        <f t="shared" si="13"/>
        <v>0</v>
      </c>
      <c r="M74" s="36">
        <f t="shared" si="14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38" t="s">
        <v>464</v>
      </c>
      <c r="B75" s="42"/>
      <c r="C75" s="38" t="s">
        <v>135</v>
      </c>
      <c r="D75" s="42"/>
      <c r="E75" s="49"/>
      <c r="F75" s="42"/>
      <c r="G75" s="36">
        <f t="shared" si="8"/>
        <v>0</v>
      </c>
      <c r="H75" s="40">
        <f t="shared" si="9"/>
        <v>0</v>
      </c>
      <c r="I75" s="36">
        <f t="shared" si="10"/>
        <v>0</v>
      </c>
      <c r="J75" s="36">
        <f t="shared" si="11"/>
        <v>0</v>
      </c>
      <c r="K75" s="40">
        <f t="shared" si="12"/>
        <v>0</v>
      </c>
      <c r="L75" s="36">
        <f t="shared" si="13"/>
        <v>0</v>
      </c>
      <c r="M75" s="36">
        <f t="shared" si="14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38" t="s">
        <v>464</v>
      </c>
      <c r="B76" s="42"/>
      <c r="C76" s="38" t="s">
        <v>135</v>
      </c>
      <c r="D76" s="42"/>
      <c r="E76" s="49"/>
      <c r="F76" s="42"/>
      <c r="G76" s="36">
        <f t="shared" si="8"/>
        <v>0</v>
      </c>
      <c r="H76" s="40">
        <f t="shared" si="9"/>
        <v>0</v>
      </c>
      <c r="I76" s="36">
        <f t="shared" si="10"/>
        <v>0</v>
      </c>
      <c r="J76" s="36">
        <f t="shared" si="11"/>
        <v>0</v>
      </c>
      <c r="K76" s="40">
        <f t="shared" si="12"/>
        <v>0</v>
      </c>
      <c r="L76" s="36">
        <f t="shared" si="13"/>
        <v>0</v>
      </c>
      <c r="M76" s="36">
        <f t="shared" si="14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38" t="s">
        <v>465</v>
      </c>
      <c r="B77" s="42"/>
      <c r="C77" s="38" t="s">
        <v>135</v>
      </c>
      <c r="D77" s="38" t="s">
        <v>50</v>
      </c>
      <c r="E77" s="39">
        <v>500000.0</v>
      </c>
      <c r="F77" s="38" t="s">
        <v>136</v>
      </c>
      <c r="G77" s="36">
        <f t="shared" si="8"/>
        <v>0</v>
      </c>
      <c r="H77" s="40">
        <f t="shared" si="9"/>
        <v>0</v>
      </c>
      <c r="I77" s="36">
        <f t="shared" si="10"/>
        <v>0</v>
      </c>
      <c r="J77" s="36">
        <f t="shared" si="11"/>
        <v>500000</v>
      </c>
      <c r="K77" s="40">
        <f t="shared" si="12"/>
        <v>0.07</v>
      </c>
      <c r="L77" s="36">
        <f t="shared" si="13"/>
        <v>35000</v>
      </c>
      <c r="M77" s="36">
        <f t="shared" si="14"/>
        <v>465000</v>
      </c>
      <c r="N77" s="38" t="s">
        <v>230</v>
      </c>
      <c r="O77" s="38" t="s">
        <v>135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38" t="s">
        <v>466</v>
      </c>
      <c r="B78" s="38">
        <v>42.0</v>
      </c>
      <c r="C78" s="38" t="s">
        <v>135</v>
      </c>
      <c r="D78" s="38" t="s">
        <v>109</v>
      </c>
      <c r="E78" s="43">
        <v>70000.0</v>
      </c>
      <c r="F78" s="38" t="s">
        <v>136</v>
      </c>
      <c r="G78" s="36">
        <f t="shared" si="8"/>
        <v>0</v>
      </c>
      <c r="H78" s="40">
        <f t="shared" si="9"/>
        <v>0</v>
      </c>
      <c r="I78" s="36">
        <f t="shared" si="10"/>
        <v>0</v>
      </c>
      <c r="J78" s="36">
        <f t="shared" si="11"/>
        <v>70000</v>
      </c>
      <c r="K78" s="40">
        <f t="shared" si="12"/>
        <v>0.07</v>
      </c>
      <c r="L78" s="36">
        <f t="shared" si="13"/>
        <v>4900</v>
      </c>
      <c r="M78" s="36">
        <f t="shared" si="14"/>
        <v>65100</v>
      </c>
      <c r="N78" s="42"/>
      <c r="O78" s="38" t="s">
        <v>135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38" t="s">
        <v>467</v>
      </c>
      <c r="B79" s="38" t="s">
        <v>179</v>
      </c>
      <c r="C79" s="38" t="s">
        <v>50</v>
      </c>
      <c r="D79" s="38" t="s">
        <v>109</v>
      </c>
      <c r="E79" s="39">
        <v>35000.0</v>
      </c>
      <c r="F79" s="38" t="s">
        <v>136</v>
      </c>
      <c r="G79" s="36">
        <f t="shared" si="8"/>
        <v>0</v>
      </c>
      <c r="H79" s="40">
        <f t="shared" si="9"/>
        <v>0</v>
      </c>
      <c r="I79" s="36">
        <f t="shared" si="10"/>
        <v>0</v>
      </c>
      <c r="J79" s="36">
        <f t="shared" si="11"/>
        <v>35000</v>
      </c>
      <c r="K79" s="40">
        <f t="shared" si="12"/>
        <v>0.07</v>
      </c>
      <c r="L79" s="36">
        <f t="shared" si="13"/>
        <v>2450</v>
      </c>
      <c r="M79" s="36">
        <f t="shared" si="14"/>
        <v>32550</v>
      </c>
      <c r="N79" s="42"/>
      <c r="O79" s="38" t="s">
        <v>135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38" t="s">
        <v>468</v>
      </c>
      <c r="B80" s="38" t="s">
        <v>262</v>
      </c>
      <c r="C80" s="38" t="s">
        <v>50</v>
      </c>
      <c r="D80" s="38" t="s">
        <v>49</v>
      </c>
      <c r="E80" s="39">
        <v>35000.0</v>
      </c>
      <c r="F80" s="38" t="s">
        <v>176</v>
      </c>
      <c r="G80" s="36">
        <f t="shared" si="8"/>
        <v>5588.235294</v>
      </c>
      <c r="H80" s="40">
        <f t="shared" si="9"/>
        <v>0.0275</v>
      </c>
      <c r="I80" s="36">
        <f t="shared" si="10"/>
        <v>962.5</v>
      </c>
      <c r="J80" s="36">
        <f t="shared" si="11"/>
        <v>28449.26471</v>
      </c>
      <c r="K80" s="40">
        <f t="shared" si="12"/>
        <v>0.05</v>
      </c>
      <c r="L80" s="36">
        <f t="shared" si="13"/>
        <v>1422.463235</v>
      </c>
      <c r="M80" s="36">
        <f t="shared" si="14"/>
        <v>27026.80147</v>
      </c>
      <c r="N80" s="42"/>
      <c r="O80" s="38" t="s">
        <v>135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38" t="s">
        <v>469</v>
      </c>
      <c r="B81" s="38" t="s">
        <v>394</v>
      </c>
      <c r="C81" s="38" t="s">
        <v>53</v>
      </c>
      <c r="D81" s="38" t="s">
        <v>50</v>
      </c>
      <c r="E81" s="39">
        <v>45000.0</v>
      </c>
      <c r="F81" s="38" t="s">
        <v>176</v>
      </c>
      <c r="G81" s="36">
        <f t="shared" si="8"/>
        <v>7184.87395</v>
      </c>
      <c r="H81" s="40">
        <f t="shared" si="9"/>
        <v>0.0275</v>
      </c>
      <c r="I81" s="36">
        <f t="shared" si="10"/>
        <v>1237.5</v>
      </c>
      <c r="J81" s="36">
        <f t="shared" si="11"/>
        <v>36577.62605</v>
      </c>
      <c r="K81" s="40">
        <f t="shared" si="12"/>
        <v>0.05</v>
      </c>
      <c r="L81" s="36">
        <f t="shared" si="13"/>
        <v>1828.881303</v>
      </c>
      <c r="M81" s="36">
        <f t="shared" si="14"/>
        <v>34748.74475</v>
      </c>
      <c r="N81" s="38" t="s">
        <v>257</v>
      </c>
      <c r="O81" s="38" t="s">
        <v>135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38" t="s">
        <v>470</v>
      </c>
      <c r="B82" s="38" t="s">
        <v>146</v>
      </c>
      <c r="C82" s="38" t="s">
        <v>135</v>
      </c>
      <c r="D82" s="38" t="s">
        <v>50</v>
      </c>
      <c r="E82" s="39">
        <v>80000.0</v>
      </c>
      <c r="F82" s="38" t="s">
        <v>136</v>
      </c>
      <c r="G82" s="36">
        <f t="shared" si="8"/>
        <v>0</v>
      </c>
      <c r="H82" s="40">
        <f t="shared" si="9"/>
        <v>0</v>
      </c>
      <c r="I82" s="36">
        <f t="shared" si="10"/>
        <v>0</v>
      </c>
      <c r="J82" s="36">
        <f t="shared" si="11"/>
        <v>80000</v>
      </c>
      <c r="K82" s="40">
        <f t="shared" si="12"/>
        <v>0</v>
      </c>
      <c r="L82" s="36">
        <f t="shared" si="13"/>
        <v>0</v>
      </c>
      <c r="M82" s="36">
        <f t="shared" si="14"/>
        <v>80000</v>
      </c>
      <c r="N82" s="38" t="s">
        <v>270</v>
      </c>
      <c r="O82" s="38" t="s">
        <v>192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38" t="s">
        <v>471</v>
      </c>
      <c r="B83" s="38">
        <v>37.0</v>
      </c>
      <c r="C83" s="38" t="s">
        <v>135</v>
      </c>
      <c r="D83" s="38" t="s">
        <v>50</v>
      </c>
      <c r="E83" s="39">
        <v>280000.0</v>
      </c>
      <c r="F83" s="38" t="s">
        <v>136</v>
      </c>
      <c r="G83" s="36">
        <f t="shared" si="8"/>
        <v>0</v>
      </c>
      <c r="H83" s="40">
        <f t="shared" si="9"/>
        <v>0</v>
      </c>
      <c r="I83" s="36">
        <f t="shared" si="10"/>
        <v>0</v>
      </c>
      <c r="J83" s="36">
        <f t="shared" si="11"/>
        <v>280000</v>
      </c>
      <c r="K83" s="40">
        <f t="shared" si="12"/>
        <v>0.07</v>
      </c>
      <c r="L83" s="36">
        <f t="shared" si="13"/>
        <v>19600</v>
      </c>
      <c r="M83" s="36">
        <f t="shared" si="14"/>
        <v>260400</v>
      </c>
      <c r="N83" s="38" t="s">
        <v>472</v>
      </c>
      <c r="O83" s="38" t="s">
        <v>135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38" t="s">
        <v>473</v>
      </c>
      <c r="B84" s="38" t="s">
        <v>146</v>
      </c>
      <c r="C84" s="38" t="s">
        <v>53</v>
      </c>
      <c r="D84" s="38" t="s">
        <v>50</v>
      </c>
      <c r="E84" s="39">
        <v>35000.0</v>
      </c>
      <c r="F84" s="38" t="s">
        <v>136</v>
      </c>
      <c r="G84" s="36">
        <f t="shared" si="8"/>
        <v>0</v>
      </c>
      <c r="H84" s="40">
        <f t="shared" si="9"/>
        <v>0</v>
      </c>
      <c r="I84" s="36">
        <f t="shared" si="10"/>
        <v>0</v>
      </c>
      <c r="J84" s="36">
        <f t="shared" si="11"/>
        <v>35000</v>
      </c>
      <c r="K84" s="40">
        <f t="shared" si="12"/>
        <v>0.07</v>
      </c>
      <c r="L84" s="36">
        <f t="shared" si="13"/>
        <v>2450</v>
      </c>
      <c r="M84" s="36">
        <f t="shared" si="14"/>
        <v>32550</v>
      </c>
      <c r="N84" s="38" t="s">
        <v>230</v>
      </c>
      <c r="O84" s="38" t="s">
        <v>135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38" t="s">
        <v>474</v>
      </c>
      <c r="B85" s="38" t="s">
        <v>134</v>
      </c>
      <c r="C85" s="38" t="s">
        <v>135</v>
      </c>
      <c r="D85" s="38" t="s">
        <v>50</v>
      </c>
      <c r="E85" s="39">
        <v>450000.0</v>
      </c>
      <c r="F85" s="38" t="s">
        <v>136</v>
      </c>
      <c r="G85" s="36">
        <f t="shared" si="8"/>
        <v>0</v>
      </c>
      <c r="H85" s="40">
        <f t="shared" si="9"/>
        <v>0</v>
      </c>
      <c r="I85" s="36">
        <f t="shared" si="10"/>
        <v>0</v>
      </c>
      <c r="J85" s="36">
        <f t="shared" si="11"/>
        <v>450000</v>
      </c>
      <c r="K85" s="40">
        <f t="shared" si="12"/>
        <v>0.07</v>
      </c>
      <c r="L85" s="36">
        <f t="shared" si="13"/>
        <v>31500</v>
      </c>
      <c r="M85" s="36">
        <f t="shared" si="14"/>
        <v>418500</v>
      </c>
      <c r="N85" s="42"/>
      <c r="O85" s="38" t="s">
        <v>135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38" t="s">
        <v>276</v>
      </c>
      <c r="B86" s="38" t="s">
        <v>134</v>
      </c>
      <c r="C86" s="38" t="s">
        <v>135</v>
      </c>
      <c r="D86" s="38" t="s">
        <v>50</v>
      </c>
      <c r="E86" s="39">
        <v>200000.0</v>
      </c>
      <c r="F86" s="38" t="s">
        <v>136</v>
      </c>
      <c r="G86" s="36">
        <f t="shared" si="8"/>
        <v>0</v>
      </c>
      <c r="H86" s="40">
        <f t="shared" si="9"/>
        <v>0</v>
      </c>
      <c r="I86" s="36">
        <f t="shared" si="10"/>
        <v>0</v>
      </c>
      <c r="J86" s="36">
        <f t="shared" si="11"/>
        <v>200000</v>
      </c>
      <c r="K86" s="40">
        <f t="shared" si="12"/>
        <v>0.07</v>
      </c>
      <c r="L86" s="36">
        <f t="shared" si="13"/>
        <v>14000</v>
      </c>
      <c r="M86" s="36">
        <f t="shared" si="14"/>
        <v>186000</v>
      </c>
      <c r="N86" s="42"/>
      <c r="O86" s="38" t="s">
        <v>135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38" t="s">
        <v>475</v>
      </c>
      <c r="B87" s="38">
        <v>37.5</v>
      </c>
      <c r="C87" s="38" t="s">
        <v>135</v>
      </c>
      <c r="D87" s="38" t="s">
        <v>50</v>
      </c>
      <c r="E87" s="39">
        <v>100000.0</v>
      </c>
      <c r="F87" s="38" t="s">
        <v>136</v>
      </c>
      <c r="G87" s="36">
        <f t="shared" si="8"/>
        <v>0</v>
      </c>
      <c r="H87" s="40">
        <f t="shared" si="9"/>
        <v>0</v>
      </c>
      <c r="I87" s="36">
        <f t="shared" si="10"/>
        <v>0</v>
      </c>
      <c r="J87" s="36">
        <f t="shared" si="11"/>
        <v>100000</v>
      </c>
      <c r="K87" s="40">
        <f t="shared" si="12"/>
        <v>0.07</v>
      </c>
      <c r="L87" s="36">
        <f t="shared" si="13"/>
        <v>7000</v>
      </c>
      <c r="M87" s="36">
        <f t="shared" si="14"/>
        <v>93000</v>
      </c>
      <c r="N87" s="42"/>
      <c r="O87" s="38" t="s">
        <v>135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38" t="s">
        <v>476</v>
      </c>
      <c r="B88" s="38">
        <v>44.0</v>
      </c>
      <c r="C88" s="38" t="s">
        <v>50</v>
      </c>
      <c r="D88" s="38" t="s">
        <v>109</v>
      </c>
      <c r="E88" s="39">
        <v>30000.0</v>
      </c>
      <c r="F88" s="38" t="s">
        <v>136</v>
      </c>
      <c r="G88" s="36">
        <f t="shared" si="8"/>
        <v>0</v>
      </c>
      <c r="H88" s="40">
        <f t="shared" si="9"/>
        <v>0</v>
      </c>
      <c r="I88" s="36">
        <f t="shared" si="10"/>
        <v>0</v>
      </c>
      <c r="J88" s="36">
        <f t="shared" si="11"/>
        <v>30000</v>
      </c>
      <c r="K88" s="40">
        <f t="shared" si="12"/>
        <v>0.07</v>
      </c>
      <c r="L88" s="36">
        <f t="shared" si="13"/>
        <v>2100</v>
      </c>
      <c r="M88" s="36">
        <f t="shared" si="14"/>
        <v>27900</v>
      </c>
      <c r="N88" s="42"/>
      <c r="O88" s="38" t="s">
        <v>135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38" t="s">
        <v>477</v>
      </c>
      <c r="B89" s="38">
        <v>32.0</v>
      </c>
      <c r="C89" s="38" t="s">
        <v>135</v>
      </c>
      <c r="D89" s="38" t="s">
        <v>109</v>
      </c>
      <c r="E89" s="39">
        <v>30000.0</v>
      </c>
      <c r="F89" s="38" t="s">
        <v>136</v>
      </c>
      <c r="G89" s="36">
        <f t="shared" si="8"/>
        <v>0</v>
      </c>
      <c r="H89" s="40">
        <f t="shared" si="9"/>
        <v>0</v>
      </c>
      <c r="I89" s="36">
        <f t="shared" si="10"/>
        <v>0</v>
      </c>
      <c r="J89" s="36">
        <f t="shared" si="11"/>
        <v>30000</v>
      </c>
      <c r="K89" s="40">
        <f t="shared" si="12"/>
        <v>0.07</v>
      </c>
      <c r="L89" s="36">
        <f t="shared" si="13"/>
        <v>2100</v>
      </c>
      <c r="M89" s="36">
        <f t="shared" si="14"/>
        <v>27900</v>
      </c>
      <c r="N89" s="42"/>
      <c r="O89" s="38" t="s">
        <v>135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38" t="s">
        <v>478</v>
      </c>
      <c r="B90" s="38" t="s">
        <v>134</v>
      </c>
      <c r="C90" s="38" t="s">
        <v>53</v>
      </c>
      <c r="D90" s="38" t="s">
        <v>50</v>
      </c>
      <c r="E90" s="39">
        <v>40000.0</v>
      </c>
      <c r="F90" s="38" t="s">
        <v>136</v>
      </c>
      <c r="G90" s="36">
        <f t="shared" si="8"/>
        <v>0</v>
      </c>
      <c r="H90" s="40">
        <f t="shared" si="9"/>
        <v>0</v>
      </c>
      <c r="I90" s="36">
        <f t="shared" si="10"/>
        <v>0</v>
      </c>
      <c r="J90" s="36">
        <f t="shared" si="11"/>
        <v>40000</v>
      </c>
      <c r="K90" s="40">
        <f t="shared" si="12"/>
        <v>0.07</v>
      </c>
      <c r="L90" s="36">
        <f t="shared" si="13"/>
        <v>2800</v>
      </c>
      <c r="M90" s="36">
        <f t="shared" si="14"/>
        <v>37200</v>
      </c>
      <c r="N90" s="42"/>
      <c r="O90" s="38" t="s">
        <v>135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38" t="s">
        <v>479</v>
      </c>
      <c r="B91" s="38" t="s">
        <v>179</v>
      </c>
      <c r="C91" s="38" t="s">
        <v>135</v>
      </c>
      <c r="D91" s="38" t="s">
        <v>109</v>
      </c>
      <c r="E91" s="39">
        <v>90000.0</v>
      </c>
      <c r="F91" s="38" t="s">
        <v>136</v>
      </c>
      <c r="G91" s="36">
        <f t="shared" si="8"/>
        <v>0</v>
      </c>
      <c r="H91" s="40">
        <f t="shared" si="9"/>
        <v>0</v>
      </c>
      <c r="I91" s="36">
        <f t="shared" si="10"/>
        <v>0</v>
      </c>
      <c r="J91" s="36">
        <f t="shared" si="11"/>
        <v>90000</v>
      </c>
      <c r="K91" s="40">
        <f t="shared" si="12"/>
        <v>0.07</v>
      </c>
      <c r="L91" s="36">
        <f t="shared" si="13"/>
        <v>6300</v>
      </c>
      <c r="M91" s="36">
        <f t="shared" si="14"/>
        <v>83700</v>
      </c>
      <c r="N91" s="42"/>
      <c r="O91" s="38" t="s">
        <v>135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38" t="s">
        <v>460</v>
      </c>
      <c r="B92" s="38" t="s">
        <v>146</v>
      </c>
      <c r="C92" s="38" t="s">
        <v>50</v>
      </c>
      <c r="D92" s="38" t="s">
        <v>109</v>
      </c>
      <c r="E92" s="39">
        <v>25000.0</v>
      </c>
      <c r="F92" s="38" t="s">
        <v>136</v>
      </c>
      <c r="G92" s="36">
        <f t="shared" si="8"/>
        <v>0</v>
      </c>
      <c r="H92" s="40">
        <f t="shared" si="9"/>
        <v>0</v>
      </c>
      <c r="I92" s="36">
        <f t="shared" si="10"/>
        <v>0</v>
      </c>
      <c r="J92" s="36">
        <f t="shared" si="11"/>
        <v>25000</v>
      </c>
      <c r="K92" s="40">
        <f t="shared" si="12"/>
        <v>0.07</v>
      </c>
      <c r="L92" s="36">
        <f t="shared" si="13"/>
        <v>1750</v>
      </c>
      <c r="M92" s="36">
        <f t="shared" si="14"/>
        <v>23250</v>
      </c>
      <c r="N92" s="42"/>
      <c r="O92" s="38" t="s">
        <v>135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38" t="s">
        <v>268</v>
      </c>
      <c r="B93" s="38" t="s">
        <v>161</v>
      </c>
      <c r="C93" s="38" t="s">
        <v>135</v>
      </c>
      <c r="D93" s="38" t="s">
        <v>109</v>
      </c>
      <c r="E93" s="39">
        <v>85000.0</v>
      </c>
      <c r="F93" s="38" t="s">
        <v>136</v>
      </c>
      <c r="G93" s="36">
        <f t="shared" si="8"/>
        <v>0</v>
      </c>
      <c r="H93" s="40">
        <f t="shared" si="9"/>
        <v>0</v>
      </c>
      <c r="I93" s="36">
        <f t="shared" si="10"/>
        <v>0</v>
      </c>
      <c r="J93" s="36">
        <f t="shared" si="11"/>
        <v>85000</v>
      </c>
      <c r="K93" s="40">
        <f t="shared" si="12"/>
        <v>0.07</v>
      </c>
      <c r="L93" s="36">
        <f t="shared" si="13"/>
        <v>5950</v>
      </c>
      <c r="M93" s="36">
        <f t="shared" si="14"/>
        <v>79050</v>
      </c>
      <c r="N93" s="42"/>
      <c r="O93" s="38" t="s">
        <v>135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38" t="s">
        <v>480</v>
      </c>
      <c r="B94" s="38" t="s">
        <v>179</v>
      </c>
      <c r="C94" s="38" t="s">
        <v>135</v>
      </c>
      <c r="D94" s="38" t="s">
        <v>109</v>
      </c>
      <c r="E94" s="39">
        <v>75000.0</v>
      </c>
      <c r="F94" s="38" t="s">
        <v>136</v>
      </c>
      <c r="G94" s="36">
        <f t="shared" si="8"/>
        <v>0</v>
      </c>
      <c r="H94" s="40">
        <f t="shared" si="9"/>
        <v>0</v>
      </c>
      <c r="I94" s="36">
        <f t="shared" si="10"/>
        <v>0</v>
      </c>
      <c r="J94" s="36">
        <f t="shared" si="11"/>
        <v>75000</v>
      </c>
      <c r="K94" s="40">
        <f t="shared" si="12"/>
        <v>0.07</v>
      </c>
      <c r="L94" s="36">
        <f t="shared" si="13"/>
        <v>5250</v>
      </c>
      <c r="M94" s="36">
        <f t="shared" si="14"/>
        <v>69750</v>
      </c>
      <c r="N94" s="42"/>
      <c r="O94" s="38" t="s">
        <v>135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38" t="s">
        <v>169</v>
      </c>
      <c r="B95" s="38" t="s">
        <v>179</v>
      </c>
      <c r="C95" s="38" t="s">
        <v>50</v>
      </c>
      <c r="D95" s="38" t="s">
        <v>109</v>
      </c>
      <c r="E95" s="39">
        <v>5000.0</v>
      </c>
      <c r="F95" s="38" t="s">
        <v>136</v>
      </c>
      <c r="G95" s="36">
        <f t="shared" si="8"/>
        <v>0</v>
      </c>
      <c r="H95" s="40">
        <f t="shared" si="9"/>
        <v>0</v>
      </c>
      <c r="I95" s="36">
        <f t="shared" si="10"/>
        <v>0</v>
      </c>
      <c r="J95" s="36">
        <f t="shared" si="11"/>
        <v>5000</v>
      </c>
      <c r="K95" s="40">
        <f t="shared" si="12"/>
        <v>0.07</v>
      </c>
      <c r="L95" s="36">
        <f t="shared" si="13"/>
        <v>350</v>
      </c>
      <c r="M95" s="36">
        <f t="shared" si="14"/>
        <v>4650</v>
      </c>
      <c r="N95" s="42"/>
      <c r="O95" s="38" t="s">
        <v>135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38" t="s">
        <v>226</v>
      </c>
      <c r="B96" s="38" t="s">
        <v>262</v>
      </c>
      <c r="C96" s="38" t="s">
        <v>50</v>
      </c>
      <c r="D96" s="38" t="s">
        <v>109</v>
      </c>
      <c r="E96" s="39">
        <v>15000.0</v>
      </c>
      <c r="F96" s="38" t="s">
        <v>136</v>
      </c>
      <c r="G96" s="36">
        <f t="shared" si="8"/>
        <v>0</v>
      </c>
      <c r="H96" s="40">
        <f t="shared" si="9"/>
        <v>0</v>
      </c>
      <c r="I96" s="36">
        <f t="shared" si="10"/>
        <v>0</v>
      </c>
      <c r="J96" s="36">
        <f t="shared" si="11"/>
        <v>15000</v>
      </c>
      <c r="K96" s="40">
        <f t="shared" si="12"/>
        <v>0.07</v>
      </c>
      <c r="L96" s="36">
        <f t="shared" si="13"/>
        <v>1050</v>
      </c>
      <c r="M96" s="36">
        <f t="shared" si="14"/>
        <v>13950</v>
      </c>
      <c r="N96" s="42"/>
      <c r="O96" s="38" t="s">
        <v>135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38" t="s">
        <v>314</v>
      </c>
      <c r="B97" s="38" t="s">
        <v>179</v>
      </c>
      <c r="C97" s="38" t="s">
        <v>50</v>
      </c>
      <c r="D97" s="38" t="s">
        <v>109</v>
      </c>
      <c r="E97" s="39">
        <v>15000.0</v>
      </c>
      <c r="F97" s="38" t="s">
        <v>136</v>
      </c>
      <c r="G97" s="36">
        <f t="shared" si="8"/>
        <v>0</v>
      </c>
      <c r="H97" s="40">
        <f t="shared" si="9"/>
        <v>0</v>
      </c>
      <c r="I97" s="36">
        <f t="shared" si="10"/>
        <v>0</v>
      </c>
      <c r="J97" s="36">
        <f t="shared" si="11"/>
        <v>15000</v>
      </c>
      <c r="K97" s="40">
        <f t="shared" si="12"/>
        <v>0.07</v>
      </c>
      <c r="L97" s="36">
        <f t="shared" si="13"/>
        <v>1050</v>
      </c>
      <c r="M97" s="36">
        <f t="shared" si="14"/>
        <v>13950</v>
      </c>
      <c r="N97" s="42"/>
      <c r="O97" s="38" t="s">
        <v>135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38" t="s">
        <v>481</v>
      </c>
      <c r="B98" s="38" t="s">
        <v>179</v>
      </c>
      <c r="C98" s="38" t="s">
        <v>50</v>
      </c>
      <c r="D98" s="38" t="s">
        <v>109</v>
      </c>
      <c r="E98" s="39">
        <v>10000.0</v>
      </c>
      <c r="F98" s="38" t="s">
        <v>136</v>
      </c>
      <c r="G98" s="36">
        <f t="shared" si="8"/>
        <v>0</v>
      </c>
      <c r="H98" s="40">
        <f t="shared" si="9"/>
        <v>0</v>
      </c>
      <c r="I98" s="36">
        <f t="shared" si="10"/>
        <v>0</v>
      </c>
      <c r="J98" s="36">
        <f t="shared" si="11"/>
        <v>10000</v>
      </c>
      <c r="K98" s="40">
        <f t="shared" si="12"/>
        <v>0.07</v>
      </c>
      <c r="L98" s="36">
        <f t="shared" si="13"/>
        <v>700</v>
      </c>
      <c r="M98" s="36">
        <f t="shared" si="14"/>
        <v>9300</v>
      </c>
      <c r="N98" s="42"/>
      <c r="O98" s="38" t="s">
        <v>135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38" t="s">
        <v>482</v>
      </c>
      <c r="B99" s="38" t="s">
        <v>146</v>
      </c>
      <c r="C99" s="38" t="s">
        <v>49</v>
      </c>
      <c r="D99" s="38" t="s">
        <v>109</v>
      </c>
      <c r="E99" s="39">
        <v>25000.0</v>
      </c>
      <c r="F99" s="38" t="s">
        <v>136</v>
      </c>
      <c r="G99" s="36">
        <f t="shared" si="8"/>
        <v>0</v>
      </c>
      <c r="H99" s="40">
        <f t="shared" si="9"/>
        <v>0</v>
      </c>
      <c r="I99" s="36">
        <f t="shared" si="10"/>
        <v>0</v>
      </c>
      <c r="J99" s="36">
        <f t="shared" si="11"/>
        <v>25000</v>
      </c>
      <c r="K99" s="40">
        <f t="shared" si="12"/>
        <v>0.07</v>
      </c>
      <c r="L99" s="36">
        <f t="shared" si="13"/>
        <v>1750</v>
      </c>
      <c r="M99" s="36">
        <f t="shared" si="14"/>
        <v>23250</v>
      </c>
      <c r="N99" s="42"/>
      <c r="O99" s="38" t="s">
        <v>135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8"/>
        <v>0</v>
      </c>
      <c r="H100" s="40">
        <f t="shared" si="9"/>
        <v>0</v>
      </c>
      <c r="I100" s="36">
        <f t="shared" si="10"/>
        <v>0</v>
      </c>
      <c r="J100" s="36">
        <f t="shared" si="11"/>
        <v>0</v>
      </c>
      <c r="K100" s="40">
        <f t="shared" si="12"/>
        <v>0</v>
      </c>
      <c r="L100" s="36">
        <f t="shared" si="13"/>
        <v>0</v>
      </c>
      <c r="M100" s="36">
        <f t="shared" si="14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8"/>
        <v>0</v>
      </c>
      <c r="H101" s="40">
        <f t="shared" si="9"/>
        <v>0</v>
      </c>
      <c r="I101" s="36">
        <f t="shared" si="10"/>
        <v>0</v>
      </c>
      <c r="J101" s="36">
        <f t="shared" si="11"/>
        <v>0</v>
      </c>
      <c r="K101" s="40">
        <f t="shared" si="12"/>
        <v>0</v>
      </c>
      <c r="L101" s="36">
        <f t="shared" si="13"/>
        <v>0</v>
      </c>
      <c r="M101" s="36">
        <f t="shared" si="14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8"/>
        <v>0</v>
      </c>
      <c r="H102" s="40">
        <f t="shared" si="9"/>
        <v>0</v>
      </c>
      <c r="I102" s="36">
        <f t="shared" si="10"/>
        <v>0</v>
      </c>
      <c r="J102" s="36">
        <f t="shared" si="11"/>
        <v>0</v>
      </c>
      <c r="K102" s="40">
        <f t="shared" si="12"/>
        <v>0</v>
      </c>
      <c r="L102" s="36">
        <f t="shared" si="13"/>
        <v>0</v>
      </c>
      <c r="M102" s="36">
        <f t="shared" si="14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8"/>
        <v>0</v>
      </c>
      <c r="H103" s="40">
        <f t="shared" si="9"/>
        <v>0</v>
      </c>
      <c r="I103" s="36">
        <f t="shared" si="10"/>
        <v>0</v>
      </c>
      <c r="J103" s="36">
        <f t="shared" si="11"/>
        <v>0</v>
      </c>
      <c r="K103" s="40">
        <f t="shared" si="12"/>
        <v>0</v>
      </c>
      <c r="L103" s="36">
        <f t="shared" si="13"/>
        <v>0</v>
      </c>
      <c r="M103" s="36">
        <f t="shared" si="14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483</v>
      </c>
      <c r="B108" s="22"/>
      <c r="C108" s="22"/>
      <c r="D108" s="23"/>
      <c r="E108" s="1"/>
      <c r="F108" s="1"/>
      <c r="G108" s="51" t="s">
        <v>484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485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/>
      <c r="B4" s="42"/>
      <c r="C4" s="42"/>
      <c r="D4" s="42"/>
      <c r="E4" s="49"/>
      <c r="F4" s="42"/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0</v>
      </c>
      <c r="N4" s="42"/>
      <c r="O4" s="42"/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/>
      <c r="B5" s="42"/>
      <c r="C5" s="42"/>
      <c r="D5" s="42"/>
      <c r="E5" s="49"/>
      <c r="F5" s="42"/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0</v>
      </c>
      <c r="K5" s="40">
        <f t="shared" si="5"/>
        <v>0</v>
      </c>
      <c r="L5" s="36">
        <f t="shared" si="6"/>
        <v>0</v>
      </c>
      <c r="M5" s="36">
        <f t="shared" si="7"/>
        <v>0</v>
      </c>
      <c r="N5" s="42"/>
      <c r="O5" s="42"/>
      <c r="P5" s="35" t="s">
        <v>140</v>
      </c>
      <c r="Q5" s="36">
        <f>SUM(L4:L103)</f>
        <v>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/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/>
      <c r="B7" s="42"/>
      <c r="C7" s="42"/>
      <c r="D7" s="42"/>
      <c r="E7" s="49"/>
      <c r="F7" s="42"/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0</v>
      </c>
      <c r="K7" s="40">
        <f t="shared" si="5"/>
        <v>0</v>
      </c>
      <c r="L7" s="36">
        <f t="shared" si="6"/>
        <v>0</v>
      </c>
      <c r="M7" s="36">
        <f t="shared" si="7"/>
        <v>0</v>
      </c>
      <c r="N7" s="42"/>
      <c r="O7" s="42"/>
      <c r="P7" s="35" t="s">
        <v>144</v>
      </c>
      <c r="Q7" s="36">
        <f>COUNTA(E4:E103)</f>
        <v>0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/>
      <c r="B8" s="42"/>
      <c r="C8" s="42"/>
      <c r="D8" s="42"/>
      <c r="E8" s="49"/>
      <c r="F8" s="42"/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0</v>
      </c>
      <c r="K8" s="40">
        <f t="shared" si="5"/>
        <v>0</v>
      </c>
      <c r="L8" s="36">
        <f t="shared" si="6"/>
        <v>0</v>
      </c>
      <c r="M8" s="36">
        <f t="shared" si="7"/>
        <v>0</v>
      </c>
      <c r="N8" s="42"/>
      <c r="O8" s="42"/>
      <c r="P8" s="35" t="s">
        <v>148</v>
      </c>
      <c r="Q8" s="36">
        <f>IF(Q7=0,0,Q6/Q7)</f>
        <v>0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/>
      <c r="B9" s="42"/>
      <c r="C9" s="42"/>
      <c r="D9" s="42"/>
      <c r="E9" s="49"/>
      <c r="F9" s="42"/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0</v>
      </c>
      <c r="K9" s="40">
        <f t="shared" si="5"/>
        <v>0</v>
      </c>
      <c r="L9" s="36">
        <f t="shared" si="6"/>
        <v>0</v>
      </c>
      <c r="M9" s="36">
        <f t="shared" si="7"/>
        <v>0</v>
      </c>
      <c r="N9" s="42"/>
      <c r="O9" s="42"/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/>
      <c r="B10" s="42"/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/>
      <c r="B11" s="42"/>
      <c r="C11" s="42"/>
      <c r="D11" s="42"/>
      <c r="E11" s="49"/>
      <c r="F11" s="42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/>
      <c r="B12" s="42"/>
      <c r="C12" s="42"/>
      <c r="D12" s="42"/>
      <c r="E12" s="49"/>
      <c r="F12" s="42"/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0</v>
      </c>
      <c r="K12" s="40">
        <f t="shared" si="5"/>
        <v>0</v>
      </c>
      <c r="L12" s="36">
        <f t="shared" si="6"/>
        <v>0</v>
      </c>
      <c r="M12" s="36">
        <f t="shared" si="7"/>
        <v>0</v>
      </c>
      <c r="N12" s="42"/>
      <c r="O12" s="42"/>
      <c r="P12" s="35" t="s">
        <v>158</v>
      </c>
      <c r="Q12" s="36">
        <f>SUMIF(F4:F103,"Transferencia",M4:M103)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/>
      <c r="B13" s="42"/>
      <c r="C13" s="42"/>
      <c r="D13" s="42"/>
      <c r="E13" s="49"/>
      <c r="F13" s="42"/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0</v>
      </c>
      <c r="K13" s="40">
        <f t="shared" si="5"/>
        <v>0</v>
      </c>
      <c r="L13" s="36">
        <f t="shared" si="6"/>
        <v>0</v>
      </c>
      <c r="M13" s="36">
        <f t="shared" si="7"/>
        <v>0</v>
      </c>
      <c r="N13" s="42"/>
      <c r="O13" s="42"/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/>
      <c r="B14" s="42"/>
      <c r="C14" s="42"/>
      <c r="D14" s="42"/>
      <c r="E14" s="49"/>
      <c r="F14" s="42"/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0</v>
      </c>
      <c r="K14" s="40">
        <f t="shared" si="5"/>
        <v>0</v>
      </c>
      <c r="L14" s="36">
        <f t="shared" si="6"/>
        <v>0</v>
      </c>
      <c r="M14" s="36">
        <f t="shared" si="7"/>
        <v>0</v>
      </c>
      <c r="N14" s="42"/>
      <c r="O14" s="42"/>
      <c r="P14" s="35" t="s">
        <v>164</v>
      </c>
      <c r="Q14" s="36">
        <f>SUMIF(F4:F103,"Débito",M4:M103)+SUMIF(F4:F103,"Crédito",M4:M103)+SUMIF(F4:F103,"Transferencia",M4:M103)</f>
        <v>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/>
      <c r="B15" s="42"/>
      <c r="C15" s="42"/>
      <c r="D15" s="42"/>
      <c r="E15" s="49"/>
      <c r="F15" s="42"/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0</v>
      </c>
      <c r="K15" s="40">
        <f t="shared" si="5"/>
        <v>0</v>
      </c>
      <c r="L15" s="36">
        <f t="shared" si="6"/>
        <v>0</v>
      </c>
      <c r="M15" s="36">
        <f t="shared" si="7"/>
        <v>0</v>
      </c>
      <c r="N15" s="42"/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/>
      <c r="B16" s="42"/>
      <c r="C16" s="42"/>
      <c r="D16" s="42"/>
      <c r="E16" s="49"/>
      <c r="F16" s="42"/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0</v>
      </c>
      <c r="K16" s="40">
        <f t="shared" si="5"/>
        <v>0</v>
      </c>
      <c r="L16" s="36">
        <f t="shared" si="6"/>
        <v>0</v>
      </c>
      <c r="M16" s="36">
        <f t="shared" si="7"/>
        <v>0</v>
      </c>
      <c r="N16" s="42"/>
      <c r="O16" s="42"/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/>
      <c r="B17" s="42"/>
      <c r="C17" s="42"/>
      <c r="D17" s="42"/>
      <c r="E17" s="49"/>
      <c r="F17" s="42"/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0</v>
      </c>
      <c r="K17" s="40">
        <f t="shared" si="5"/>
        <v>0</v>
      </c>
      <c r="L17" s="36">
        <f t="shared" si="6"/>
        <v>0</v>
      </c>
      <c r="M17" s="36">
        <f t="shared" si="7"/>
        <v>0</v>
      </c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/>
      <c r="B18" s="42"/>
      <c r="C18" s="42"/>
      <c r="D18" s="42"/>
      <c r="E18" s="49"/>
      <c r="F18" s="42"/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0</v>
      </c>
      <c r="K18" s="40">
        <f t="shared" si="5"/>
        <v>0</v>
      </c>
      <c r="L18" s="36">
        <f t="shared" si="6"/>
        <v>0</v>
      </c>
      <c r="M18" s="36">
        <f t="shared" si="7"/>
        <v>0</v>
      </c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/>
      <c r="B19" s="42"/>
      <c r="C19" s="42"/>
      <c r="D19" s="42"/>
      <c r="E19" s="49"/>
      <c r="F19" s="42"/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0</v>
      </c>
      <c r="K19" s="40">
        <f t="shared" si="5"/>
        <v>0</v>
      </c>
      <c r="L19" s="36">
        <f t="shared" si="6"/>
        <v>0</v>
      </c>
      <c r="M19" s="36">
        <f t="shared" si="7"/>
        <v>0</v>
      </c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/>
      <c r="B20" s="42"/>
      <c r="C20" s="42"/>
      <c r="D20" s="42"/>
      <c r="E20" s="49"/>
      <c r="F20" s="42"/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0</v>
      </c>
      <c r="K20" s="40">
        <f t="shared" si="5"/>
        <v>0</v>
      </c>
      <c r="L20" s="36">
        <f t="shared" si="6"/>
        <v>0</v>
      </c>
      <c r="M20" s="36">
        <f t="shared" si="7"/>
        <v>0</v>
      </c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/>
      <c r="B21" s="42"/>
      <c r="C21" s="42"/>
      <c r="D21" s="42"/>
      <c r="E21" s="49"/>
      <c r="F21" s="42"/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0</v>
      </c>
      <c r="K21" s="40">
        <f t="shared" si="5"/>
        <v>0</v>
      </c>
      <c r="L21" s="36">
        <f t="shared" si="6"/>
        <v>0</v>
      </c>
      <c r="M21" s="36">
        <f t="shared" si="7"/>
        <v>0</v>
      </c>
      <c r="N21" s="42"/>
      <c r="O21" s="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/>
      <c r="B22" s="42"/>
      <c r="C22" s="42"/>
      <c r="D22" s="42"/>
      <c r="E22" s="49"/>
      <c r="F22" s="42"/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0</v>
      </c>
      <c r="K22" s="40">
        <f t="shared" si="5"/>
        <v>0</v>
      </c>
      <c r="L22" s="36">
        <f t="shared" si="6"/>
        <v>0</v>
      </c>
      <c r="M22" s="36">
        <f t="shared" si="7"/>
        <v>0</v>
      </c>
      <c r="N22" s="42"/>
      <c r="O22" s="4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/>
      <c r="B23" s="42"/>
      <c r="C23" s="42"/>
      <c r="D23" s="42"/>
      <c r="E23" s="49"/>
      <c r="F23" s="42"/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0</v>
      </c>
      <c r="K23" s="40">
        <f t="shared" si="5"/>
        <v>0</v>
      </c>
      <c r="L23" s="36">
        <f t="shared" si="6"/>
        <v>0</v>
      </c>
      <c r="M23" s="36">
        <f t="shared" si="7"/>
        <v>0</v>
      </c>
      <c r="N23" s="42"/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/>
      <c r="B24" s="42"/>
      <c r="C24" s="42"/>
      <c r="D24" s="42"/>
      <c r="E24" s="49"/>
      <c r="F24" s="42"/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0</v>
      </c>
      <c r="K24" s="40">
        <f t="shared" si="5"/>
        <v>0</v>
      </c>
      <c r="L24" s="36">
        <f t="shared" si="6"/>
        <v>0</v>
      </c>
      <c r="M24" s="36">
        <f t="shared" si="7"/>
        <v>0</v>
      </c>
      <c r="N24" s="42"/>
      <c r="O24" s="4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/>
      <c r="B25" s="42"/>
      <c r="C25" s="42"/>
      <c r="D25" s="42"/>
      <c r="E25" s="49"/>
      <c r="F25" s="42"/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</v>
      </c>
      <c r="L25" s="36">
        <f t="shared" si="6"/>
        <v>0</v>
      </c>
      <c r="M25" s="36">
        <f t="shared" si="7"/>
        <v>0</v>
      </c>
      <c r="N25" s="42"/>
      <c r="O25" s="4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/>
      <c r="B26" s="42"/>
      <c r="C26" s="42"/>
      <c r="D26" s="42"/>
      <c r="E26" s="49"/>
      <c r="F26" s="42"/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</v>
      </c>
      <c r="L26" s="36">
        <f t="shared" si="6"/>
        <v>0</v>
      </c>
      <c r="M26" s="36">
        <f t="shared" si="7"/>
        <v>0</v>
      </c>
      <c r="N26" s="42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/>
      <c r="B27" s="42"/>
      <c r="C27" s="42"/>
      <c r="D27" s="42"/>
      <c r="E27" s="49"/>
      <c r="F27" s="42"/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0</v>
      </c>
      <c r="K27" s="40">
        <f t="shared" si="5"/>
        <v>0</v>
      </c>
      <c r="L27" s="36">
        <f t="shared" si="6"/>
        <v>0</v>
      </c>
      <c r="M27" s="36">
        <f t="shared" si="7"/>
        <v>0</v>
      </c>
      <c r="N27" s="42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/>
      <c r="B28" s="42"/>
      <c r="C28" s="42"/>
      <c r="D28" s="42"/>
      <c r="E28" s="49"/>
      <c r="F28" s="42"/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0</v>
      </c>
      <c r="K28" s="40">
        <f t="shared" si="5"/>
        <v>0</v>
      </c>
      <c r="L28" s="36">
        <f t="shared" si="6"/>
        <v>0</v>
      </c>
      <c r="M28" s="36">
        <f t="shared" si="7"/>
        <v>0</v>
      </c>
      <c r="N28" s="42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/>
      <c r="B29" s="42"/>
      <c r="C29" s="42"/>
      <c r="D29" s="42"/>
      <c r="E29" s="49"/>
      <c r="F29" s="42"/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0</v>
      </c>
      <c r="K29" s="40">
        <f t="shared" si="5"/>
        <v>0</v>
      </c>
      <c r="L29" s="36">
        <f t="shared" si="6"/>
        <v>0</v>
      </c>
      <c r="M29" s="36">
        <f t="shared" si="7"/>
        <v>0</v>
      </c>
      <c r="N29" s="42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/>
      <c r="B30" s="42"/>
      <c r="C30" s="42"/>
      <c r="D30" s="42"/>
      <c r="E30" s="49"/>
      <c r="F30" s="42"/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0</v>
      </c>
      <c r="K30" s="40">
        <f t="shared" si="5"/>
        <v>0</v>
      </c>
      <c r="L30" s="36">
        <f t="shared" si="6"/>
        <v>0</v>
      </c>
      <c r="M30" s="36">
        <f t="shared" si="7"/>
        <v>0</v>
      </c>
      <c r="N30" s="42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/>
      <c r="B31" s="42"/>
      <c r="C31" s="42"/>
      <c r="D31" s="42"/>
      <c r="E31" s="49"/>
      <c r="F31" s="42"/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0</v>
      </c>
      <c r="K31" s="40">
        <f t="shared" si="5"/>
        <v>0</v>
      </c>
      <c r="L31" s="36">
        <f t="shared" si="6"/>
        <v>0</v>
      </c>
      <c r="M31" s="36">
        <f t="shared" si="7"/>
        <v>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486</v>
      </c>
      <c r="B108" s="22"/>
      <c r="C108" s="22"/>
      <c r="D108" s="23"/>
      <c r="E108" s="1"/>
      <c r="F108" s="1"/>
      <c r="G108" s="51" t="s">
        <v>487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488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/>
      <c r="B4" s="42"/>
      <c r="C4" s="42"/>
      <c r="D4" s="42"/>
      <c r="E4" s="49"/>
      <c r="F4" s="42"/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0</v>
      </c>
      <c r="N4" s="42"/>
      <c r="O4" s="42"/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/>
      <c r="B5" s="42"/>
      <c r="C5" s="42"/>
      <c r="D5" s="42"/>
      <c r="E5" s="49"/>
      <c r="F5" s="42"/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0</v>
      </c>
      <c r="K5" s="40">
        <f t="shared" si="5"/>
        <v>0</v>
      </c>
      <c r="L5" s="36">
        <f t="shared" si="6"/>
        <v>0</v>
      </c>
      <c r="M5" s="36">
        <f t="shared" si="7"/>
        <v>0</v>
      </c>
      <c r="N5" s="42"/>
      <c r="O5" s="42"/>
      <c r="P5" s="35" t="s">
        <v>140</v>
      </c>
      <c r="Q5" s="36">
        <f>SUM(L4:L103)</f>
        <v>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/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/>
      <c r="B7" s="42"/>
      <c r="C7" s="42"/>
      <c r="D7" s="42"/>
      <c r="E7" s="49"/>
      <c r="F7" s="42"/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0</v>
      </c>
      <c r="K7" s="40">
        <f t="shared" si="5"/>
        <v>0</v>
      </c>
      <c r="L7" s="36">
        <f t="shared" si="6"/>
        <v>0</v>
      </c>
      <c r="M7" s="36">
        <f t="shared" si="7"/>
        <v>0</v>
      </c>
      <c r="N7" s="42"/>
      <c r="O7" s="42"/>
      <c r="P7" s="35" t="s">
        <v>144</v>
      </c>
      <c r="Q7" s="36">
        <f>COUNTA(E4:E103)</f>
        <v>0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/>
      <c r="B8" s="42"/>
      <c r="C8" s="42"/>
      <c r="D8" s="42"/>
      <c r="E8" s="49"/>
      <c r="F8" s="42"/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0</v>
      </c>
      <c r="K8" s="40">
        <f t="shared" si="5"/>
        <v>0</v>
      </c>
      <c r="L8" s="36">
        <f t="shared" si="6"/>
        <v>0</v>
      </c>
      <c r="M8" s="36">
        <f t="shared" si="7"/>
        <v>0</v>
      </c>
      <c r="N8" s="42"/>
      <c r="O8" s="42"/>
      <c r="P8" s="35" t="s">
        <v>148</v>
      </c>
      <c r="Q8" s="36">
        <f>IF(Q7=0,0,Q6/Q7)</f>
        <v>0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/>
      <c r="B9" s="42"/>
      <c r="C9" s="42"/>
      <c r="D9" s="42"/>
      <c r="E9" s="49"/>
      <c r="F9" s="42"/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0</v>
      </c>
      <c r="K9" s="40">
        <f t="shared" si="5"/>
        <v>0</v>
      </c>
      <c r="L9" s="36">
        <f t="shared" si="6"/>
        <v>0</v>
      </c>
      <c r="M9" s="36">
        <f t="shared" si="7"/>
        <v>0</v>
      </c>
      <c r="N9" s="42"/>
      <c r="O9" s="42"/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/>
      <c r="B10" s="42"/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/>
      <c r="B11" s="42"/>
      <c r="C11" s="42"/>
      <c r="D11" s="42"/>
      <c r="E11" s="49"/>
      <c r="F11" s="42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/>
      <c r="B12" s="42"/>
      <c r="C12" s="42"/>
      <c r="D12" s="42"/>
      <c r="E12" s="49"/>
      <c r="F12" s="42"/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0</v>
      </c>
      <c r="K12" s="40">
        <f t="shared" si="5"/>
        <v>0</v>
      </c>
      <c r="L12" s="36">
        <f t="shared" si="6"/>
        <v>0</v>
      </c>
      <c r="M12" s="36">
        <f t="shared" si="7"/>
        <v>0</v>
      </c>
      <c r="N12" s="42"/>
      <c r="O12" s="42"/>
      <c r="P12" s="35" t="s">
        <v>158</v>
      </c>
      <c r="Q12" s="36">
        <f>SUMIF(F4:F103,"Transferencia",M4:M103)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/>
      <c r="B13" s="42"/>
      <c r="C13" s="42"/>
      <c r="D13" s="42"/>
      <c r="E13" s="49"/>
      <c r="F13" s="42"/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0</v>
      </c>
      <c r="K13" s="40">
        <f t="shared" si="5"/>
        <v>0</v>
      </c>
      <c r="L13" s="36">
        <f t="shared" si="6"/>
        <v>0</v>
      </c>
      <c r="M13" s="36">
        <f t="shared" si="7"/>
        <v>0</v>
      </c>
      <c r="N13" s="42"/>
      <c r="O13" s="42"/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/>
      <c r="B14" s="42"/>
      <c r="C14" s="42"/>
      <c r="D14" s="42"/>
      <c r="E14" s="49"/>
      <c r="F14" s="42"/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0</v>
      </c>
      <c r="K14" s="40">
        <f t="shared" si="5"/>
        <v>0</v>
      </c>
      <c r="L14" s="36">
        <f t="shared" si="6"/>
        <v>0</v>
      </c>
      <c r="M14" s="36">
        <f t="shared" si="7"/>
        <v>0</v>
      </c>
      <c r="N14" s="42"/>
      <c r="O14" s="42"/>
      <c r="P14" s="35" t="s">
        <v>164</v>
      </c>
      <c r="Q14" s="36">
        <f>SUMIF(F4:F103,"Débito",M4:M103)+SUMIF(F4:F103,"Crédito",M4:M103)+SUMIF(F4:F103,"Transferencia",M4:M103)</f>
        <v>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/>
      <c r="B15" s="42"/>
      <c r="C15" s="42"/>
      <c r="D15" s="42"/>
      <c r="E15" s="49"/>
      <c r="F15" s="42"/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0</v>
      </c>
      <c r="K15" s="40">
        <f t="shared" si="5"/>
        <v>0</v>
      </c>
      <c r="L15" s="36">
        <f t="shared" si="6"/>
        <v>0</v>
      </c>
      <c r="M15" s="36">
        <f t="shared" si="7"/>
        <v>0</v>
      </c>
      <c r="N15" s="42"/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/>
      <c r="B16" s="42"/>
      <c r="C16" s="42"/>
      <c r="D16" s="42"/>
      <c r="E16" s="49"/>
      <c r="F16" s="42"/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0</v>
      </c>
      <c r="K16" s="40">
        <f t="shared" si="5"/>
        <v>0</v>
      </c>
      <c r="L16" s="36">
        <f t="shared" si="6"/>
        <v>0</v>
      </c>
      <c r="M16" s="36">
        <f t="shared" si="7"/>
        <v>0</v>
      </c>
      <c r="N16" s="42"/>
      <c r="O16" s="42"/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/>
      <c r="B17" s="42"/>
      <c r="C17" s="42"/>
      <c r="D17" s="42"/>
      <c r="E17" s="49"/>
      <c r="F17" s="42"/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0</v>
      </c>
      <c r="K17" s="40">
        <f t="shared" si="5"/>
        <v>0</v>
      </c>
      <c r="L17" s="36">
        <f t="shared" si="6"/>
        <v>0</v>
      </c>
      <c r="M17" s="36">
        <f t="shared" si="7"/>
        <v>0</v>
      </c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/>
      <c r="B18" s="42"/>
      <c r="C18" s="42"/>
      <c r="D18" s="42"/>
      <c r="E18" s="49"/>
      <c r="F18" s="42"/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0</v>
      </c>
      <c r="K18" s="40">
        <f t="shared" si="5"/>
        <v>0</v>
      </c>
      <c r="L18" s="36">
        <f t="shared" si="6"/>
        <v>0</v>
      </c>
      <c r="M18" s="36">
        <f t="shared" si="7"/>
        <v>0</v>
      </c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/>
      <c r="B19" s="42"/>
      <c r="C19" s="42"/>
      <c r="D19" s="42"/>
      <c r="E19" s="49"/>
      <c r="F19" s="42"/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0</v>
      </c>
      <c r="K19" s="40">
        <f t="shared" si="5"/>
        <v>0</v>
      </c>
      <c r="L19" s="36">
        <f t="shared" si="6"/>
        <v>0</v>
      </c>
      <c r="M19" s="36">
        <f t="shared" si="7"/>
        <v>0</v>
      </c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/>
      <c r="B20" s="42"/>
      <c r="C20" s="42"/>
      <c r="D20" s="42"/>
      <c r="E20" s="49"/>
      <c r="F20" s="42"/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0</v>
      </c>
      <c r="K20" s="40">
        <f t="shared" si="5"/>
        <v>0</v>
      </c>
      <c r="L20" s="36">
        <f t="shared" si="6"/>
        <v>0</v>
      </c>
      <c r="M20" s="36">
        <f t="shared" si="7"/>
        <v>0</v>
      </c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/>
      <c r="B21" s="42"/>
      <c r="C21" s="42"/>
      <c r="D21" s="42"/>
      <c r="E21" s="49"/>
      <c r="F21" s="42"/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0</v>
      </c>
      <c r="K21" s="40">
        <f t="shared" si="5"/>
        <v>0</v>
      </c>
      <c r="L21" s="36">
        <f t="shared" si="6"/>
        <v>0</v>
      </c>
      <c r="M21" s="36">
        <f t="shared" si="7"/>
        <v>0</v>
      </c>
      <c r="N21" s="42"/>
      <c r="O21" s="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/>
      <c r="B22" s="42"/>
      <c r="C22" s="42"/>
      <c r="D22" s="42"/>
      <c r="E22" s="49"/>
      <c r="F22" s="42"/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0</v>
      </c>
      <c r="K22" s="40">
        <f t="shared" si="5"/>
        <v>0</v>
      </c>
      <c r="L22" s="36">
        <f t="shared" si="6"/>
        <v>0</v>
      </c>
      <c r="M22" s="36">
        <f t="shared" si="7"/>
        <v>0</v>
      </c>
      <c r="N22" s="42"/>
      <c r="O22" s="4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/>
      <c r="B23" s="42"/>
      <c r="C23" s="42"/>
      <c r="D23" s="42"/>
      <c r="E23" s="49"/>
      <c r="F23" s="42"/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0</v>
      </c>
      <c r="K23" s="40">
        <f t="shared" si="5"/>
        <v>0</v>
      </c>
      <c r="L23" s="36">
        <f t="shared" si="6"/>
        <v>0</v>
      </c>
      <c r="M23" s="36">
        <f t="shared" si="7"/>
        <v>0</v>
      </c>
      <c r="N23" s="42"/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/>
      <c r="B24" s="42"/>
      <c r="C24" s="42"/>
      <c r="D24" s="42"/>
      <c r="E24" s="49"/>
      <c r="F24" s="42"/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0</v>
      </c>
      <c r="K24" s="40">
        <f t="shared" si="5"/>
        <v>0</v>
      </c>
      <c r="L24" s="36">
        <f t="shared" si="6"/>
        <v>0</v>
      </c>
      <c r="M24" s="36">
        <f t="shared" si="7"/>
        <v>0</v>
      </c>
      <c r="N24" s="42"/>
      <c r="O24" s="4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/>
      <c r="B25" s="42"/>
      <c r="C25" s="42"/>
      <c r="D25" s="42"/>
      <c r="E25" s="49"/>
      <c r="F25" s="42"/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</v>
      </c>
      <c r="L25" s="36">
        <f t="shared" si="6"/>
        <v>0</v>
      </c>
      <c r="M25" s="36">
        <f t="shared" si="7"/>
        <v>0</v>
      </c>
      <c r="N25" s="42"/>
      <c r="O25" s="4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/>
      <c r="B26" s="42"/>
      <c r="C26" s="42"/>
      <c r="D26" s="42"/>
      <c r="E26" s="49"/>
      <c r="F26" s="42"/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</v>
      </c>
      <c r="L26" s="36">
        <f t="shared" si="6"/>
        <v>0</v>
      </c>
      <c r="M26" s="36">
        <f t="shared" si="7"/>
        <v>0</v>
      </c>
      <c r="N26" s="42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/>
      <c r="B27" s="42"/>
      <c r="C27" s="42"/>
      <c r="D27" s="42"/>
      <c r="E27" s="49"/>
      <c r="F27" s="42"/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0</v>
      </c>
      <c r="K27" s="40">
        <f t="shared" si="5"/>
        <v>0</v>
      </c>
      <c r="L27" s="36">
        <f t="shared" si="6"/>
        <v>0</v>
      </c>
      <c r="M27" s="36">
        <f t="shared" si="7"/>
        <v>0</v>
      </c>
      <c r="N27" s="42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/>
      <c r="B28" s="42"/>
      <c r="C28" s="42"/>
      <c r="D28" s="42"/>
      <c r="E28" s="49"/>
      <c r="F28" s="42"/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0</v>
      </c>
      <c r="K28" s="40">
        <f t="shared" si="5"/>
        <v>0</v>
      </c>
      <c r="L28" s="36">
        <f t="shared" si="6"/>
        <v>0</v>
      </c>
      <c r="M28" s="36">
        <f t="shared" si="7"/>
        <v>0</v>
      </c>
      <c r="N28" s="42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/>
      <c r="B29" s="42"/>
      <c r="C29" s="42"/>
      <c r="D29" s="42"/>
      <c r="E29" s="49"/>
      <c r="F29" s="42"/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0</v>
      </c>
      <c r="K29" s="40">
        <f t="shared" si="5"/>
        <v>0</v>
      </c>
      <c r="L29" s="36">
        <f t="shared" si="6"/>
        <v>0</v>
      </c>
      <c r="M29" s="36">
        <f t="shared" si="7"/>
        <v>0</v>
      </c>
      <c r="N29" s="42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/>
      <c r="B30" s="42"/>
      <c r="C30" s="42"/>
      <c r="D30" s="42"/>
      <c r="E30" s="49"/>
      <c r="F30" s="42"/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0</v>
      </c>
      <c r="K30" s="40">
        <f t="shared" si="5"/>
        <v>0</v>
      </c>
      <c r="L30" s="36">
        <f t="shared" si="6"/>
        <v>0</v>
      </c>
      <c r="M30" s="36">
        <f t="shared" si="7"/>
        <v>0</v>
      </c>
      <c r="N30" s="42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/>
      <c r="B31" s="42"/>
      <c r="C31" s="42"/>
      <c r="D31" s="42"/>
      <c r="E31" s="49"/>
      <c r="F31" s="42"/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0</v>
      </c>
      <c r="K31" s="40">
        <f t="shared" si="5"/>
        <v>0</v>
      </c>
      <c r="L31" s="36">
        <f t="shared" si="6"/>
        <v>0</v>
      </c>
      <c r="M31" s="36">
        <f t="shared" si="7"/>
        <v>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489</v>
      </c>
      <c r="B108" s="22"/>
      <c r="C108" s="22"/>
      <c r="D108" s="23"/>
      <c r="E108" s="1"/>
      <c r="F108" s="1"/>
      <c r="G108" s="51" t="s">
        <v>490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491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/>
      <c r="B4" s="42"/>
      <c r="C4" s="42"/>
      <c r="D4" s="42"/>
      <c r="E4" s="49"/>
      <c r="F4" s="42"/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0</v>
      </c>
      <c r="N4" s="42"/>
      <c r="O4" s="42"/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/>
      <c r="B5" s="42"/>
      <c r="C5" s="42"/>
      <c r="D5" s="42"/>
      <c r="E5" s="49"/>
      <c r="F5" s="42"/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0</v>
      </c>
      <c r="K5" s="40">
        <f t="shared" si="5"/>
        <v>0</v>
      </c>
      <c r="L5" s="36">
        <f t="shared" si="6"/>
        <v>0</v>
      </c>
      <c r="M5" s="36">
        <f t="shared" si="7"/>
        <v>0</v>
      </c>
      <c r="N5" s="42"/>
      <c r="O5" s="42"/>
      <c r="P5" s="35" t="s">
        <v>140</v>
      </c>
      <c r="Q5" s="36">
        <f>SUM(L4:L103)</f>
        <v>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/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/>
      <c r="B7" s="42"/>
      <c r="C7" s="42"/>
      <c r="D7" s="42"/>
      <c r="E7" s="49"/>
      <c r="F7" s="42"/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0</v>
      </c>
      <c r="K7" s="40">
        <f t="shared" si="5"/>
        <v>0</v>
      </c>
      <c r="L7" s="36">
        <f t="shared" si="6"/>
        <v>0</v>
      </c>
      <c r="M7" s="36">
        <f t="shared" si="7"/>
        <v>0</v>
      </c>
      <c r="N7" s="42"/>
      <c r="O7" s="42"/>
      <c r="P7" s="35" t="s">
        <v>144</v>
      </c>
      <c r="Q7" s="36">
        <f>COUNTA(E4:E103)</f>
        <v>0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/>
      <c r="B8" s="42"/>
      <c r="C8" s="42"/>
      <c r="D8" s="42"/>
      <c r="E8" s="49"/>
      <c r="F8" s="42"/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0</v>
      </c>
      <c r="K8" s="40">
        <f t="shared" si="5"/>
        <v>0</v>
      </c>
      <c r="L8" s="36">
        <f t="shared" si="6"/>
        <v>0</v>
      </c>
      <c r="M8" s="36">
        <f t="shared" si="7"/>
        <v>0</v>
      </c>
      <c r="N8" s="42"/>
      <c r="O8" s="42"/>
      <c r="P8" s="35" t="s">
        <v>148</v>
      </c>
      <c r="Q8" s="36">
        <f>IF(Q7=0,0,Q6/Q7)</f>
        <v>0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/>
      <c r="B9" s="42"/>
      <c r="C9" s="42"/>
      <c r="D9" s="42"/>
      <c r="E9" s="49"/>
      <c r="F9" s="42"/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0</v>
      </c>
      <c r="K9" s="40">
        <f t="shared" si="5"/>
        <v>0</v>
      </c>
      <c r="L9" s="36">
        <f t="shared" si="6"/>
        <v>0</v>
      </c>
      <c r="M9" s="36">
        <f t="shared" si="7"/>
        <v>0</v>
      </c>
      <c r="N9" s="42"/>
      <c r="O9" s="42"/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/>
      <c r="B10" s="42"/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/>
      <c r="B11" s="42"/>
      <c r="C11" s="42"/>
      <c r="D11" s="42"/>
      <c r="E11" s="49"/>
      <c r="F11" s="42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/>
      <c r="B12" s="42"/>
      <c r="C12" s="42"/>
      <c r="D12" s="42"/>
      <c r="E12" s="49"/>
      <c r="F12" s="42"/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0</v>
      </c>
      <c r="K12" s="40">
        <f t="shared" si="5"/>
        <v>0</v>
      </c>
      <c r="L12" s="36">
        <f t="shared" si="6"/>
        <v>0</v>
      </c>
      <c r="M12" s="36">
        <f t="shared" si="7"/>
        <v>0</v>
      </c>
      <c r="N12" s="42"/>
      <c r="O12" s="42"/>
      <c r="P12" s="35" t="s">
        <v>158</v>
      </c>
      <c r="Q12" s="36">
        <f>SUMIF(F4:F103,"Transferencia",M4:M103)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/>
      <c r="B13" s="42"/>
      <c r="C13" s="42"/>
      <c r="D13" s="42"/>
      <c r="E13" s="49"/>
      <c r="F13" s="42"/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0</v>
      </c>
      <c r="K13" s="40">
        <f t="shared" si="5"/>
        <v>0</v>
      </c>
      <c r="L13" s="36">
        <f t="shared" si="6"/>
        <v>0</v>
      </c>
      <c r="M13" s="36">
        <f t="shared" si="7"/>
        <v>0</v>
      </c>
      <c r="N13" s="42"/>
      <c r="O13" s="42"/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/>
      <c r="B14" s="42"/>
      <c r="C14" s="42"/>
      <c r="D14" s="42"/>
      <c r="E14" s="49"/>
      <c r="F14" s="42"/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0</v>
      </c>
      <c r="K14" s="40">
        <f t="shared" si="5"/>
        <v>0</v>
      </c>
      <c r="L14" s="36">
        <f t="shared" si="6"/>
        <v>0</v>
      </c>
      <c r="M14" s="36">
        <f t="shared" si="7"/>
        <v>0</v>
      </c>
      <c r="N14" s="42"/>
      <c r="O14" s="42"/>
      <c r="P14" s="35" t="s">
        <v>164</v>
      </c>
      <c r="Q14" s="36">
        <f>SUMIF(F4:F103,"Débito",M4:M103)+SUMIF(F4:F103,"Crédito",M4:M103)+SUMIF(F4:F103,"Transferencia",M4:M103)</f>
        <v>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/>
      <c r="B15" s="42"/>
      <c r="C15" s="42"/>
      <c r="D15" s="42"/>
      <c r="E15" s="49"/>
      <c r="F15" s="42"/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0</v>
      </c>
      <c r="K15" s="40">
        <f t="shared" si="5"/>
        <v>0</v>
      </c>
      <c r="L15" s="36">
        <f t="shared" si="6"/>
        <v>0</v>
      </c>
      <c r="M15" s="36">
        <f t="shared" si="7"/>
        <v>0</v>
      </c>
      <c r="N15" s="42"/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/>
      <c r="B16" s="42"/>
      <c r="C16" s="42"/>
      <c r="D16" s="42"/>
      <c r="E16" s="49"/>
      <c r="F16" s="42"/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0</v>
      </c>
      <c r="K16" s="40">
        <f t="shared" si="5"/>
        <v>0</v>
      </c>
      <c r="L16" s="36">
        <f t="shared" si="6"/>
        <v>0</v>
      </c>
      <c r="M16" s="36">
        <f t="shared" si="7"/>
        <v>0</v>
      </c>
      <c r="N16" s="42"/>
      <c r="O16" s="42"/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/>
      <c r="B17" s="42"/>
      <c r="C17" s="42"/>
      <c r="D17" s="42"/>
      <c r="E17" s="49"/>
      <c r="F17" s="42"/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0</v>
      </c>
      <c r="K17" s="40">
        <f t="shared" si="5"/>
        <v>0</v>
      </c>
      <c r="L17" s="36">
        <f t="shared" si="6"/>
        <v>0</v>
      </c>
      <c r="M17" s="36">
        <f t="shared" si="7"/>
        <v>0</v>
      </c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/>
      <c r="B18" s="42"/>
      <c r="C18" s="42"/>
      <c r="D18" s="42"/>
      <c r="E18" s="49"/>
      <c r="F18" s="42"/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0</v>
      </c>
      <c r="K18" s="40">
        <f t="shared" si="5"/>
        <v>0</v>
      </c>
      <c r="L18" s="36">
        <f t="shared" si="6"/>
        <v>0</v>
      </c>
      <c r="M18" s="36">
        <f t="shared" si="7"/>
        <v>0</v>
      </c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/>
      <c r="B19" s="42"/>
      <c r="C19" s="42"/>
      <c r="D19" s="42"/>
      <c r="E19" s="49"/>
      <c r="F19" s="42"/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0</v>
      </c>
      <c r="K19" s="40">
        <f t="shared" si="5"/>
        <v>0</v>
      </c>
      <c r="L19" s="36">
        <f t="shared" si="6"/>
        <v>0</v>
      </c>
      <c r="M19" s="36">
        <f t="shared" si="7"/>
        <v>0</v>
      </c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/>
      <c r="B20" s="42"/>
      <c r="C20" s="42"/>
      <c r="D20" s="42"/>
      <c r="E20" s="49"/>
      <c r="F20" s="42"/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0</v>
      </c>
      <c r="K20" s="40">
        <f t="shared" si="5"/>
        <v>0</v>
      </c>
      <c r="L20" s="36">
        <f t="shared" si="6"/>
        <v>0</v>
      </c>
      <c r="M20" s="36">
        <f t="shared" si="7"/>
        <v>0</v>
      </c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/>
      <c r="B21" s="42"/>
      <c r="C21" s="42"/>
      <c r="D21" s="42"/>
      <c r="E21" s="49"/>
      <c r="F21" s="42"/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0</v>
      </c>
      <c r="K21" s="40">
        <f t="shared" si="5"/>
        <v>0</v>
      </c>
      <c r="L21" s="36">
        <f t="shared" si="6"/>
        <v>0</v>
      </c>
      <c r="M21" s="36">
        <f t="shared" si="7"/>
        <v>0</v>
      </c>
      <c r="N21" s="42"/>
      <c r="O21" s="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/>
      <c r="B22" s="42"/>
      <c r="C22" s="42"/>
      <c r="D22" s="42"/>
      <c r="E22" s="49"/>
      <c r="F22" s="42"/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0</v>
      </c>
      <c r="K22" s="40">
        <f t="shared" si="5"/>
        <v>0</v>
      </c>
      <c r="L22" s="36">
        <f t="shared" si="6"/>
        <v>0</v>
      </c>
      <c r="M22" s="36">
        <f t="shared" si="7"/>
        <v>0</v>
      </c>
      <c r="N22" s="42"/>
      <c r="O22" s="4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/>
      <c r="B23" s="42"/>
      <c r="C23" s="42"/>
      <c r="D23" s="42"/>
      <c r="E23" s="49"/>
      <c r="F23" s="42"/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0</v>
      </c>
      <c r="K23" s="40">
        <f t="shared" si="5"/>
        <v>0</v>
      </c>
      <c r="L23" s="36">
        <f t="shared" si="6"/>
        <v>0</v>
      </c>
      <c r="M23" s="36">
        <f t="shared" si="7"/>
        <v>0</v>
      </c>
      <c r="N23" s="42"/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/>
      <c r="B24" s="42"/>
      <c r="C24" s="42"/>
      <c r="D24" s="42"/>
      <c r="E24" s="49"/>
      <c r="F24" s="42"/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0</v>
      </c>
      <c r="K24" s="40">
        <f t="shared" si="5"/>
        <v>0</v>
      </c>
      <c r="L24" s="36">
        <f t="shared" si="6"/>
        <v>0</v>
      </c>
      <c r="M24" s="36">
        <f t="shared" si="7"/>
        <v>0</v>
      </c>
      <c r="N24" s="42"/>
      <c r="O24" s="4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/>
      <c r="B25" s="42"/>
      <c r="C25" s="42"/>
      <c r="D25" s="42"/>
      <c r="E25" s="49"/>
      <c r="F25" s="42"/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</v>
      </c>
      <c r="L25" s="36">
        <f t="shared" si="6"/>
        <v>0</v>
      </c>
      <c r="M25" s="36">
        <f t="shared" si="7"/>
        <v>0</v>
      </c>
      <c r="N25" s="42"/>
      <c r="O25" s="4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/>
      <c r="B26" s="42"/>
      <c r="C26" s="42"/>
      <c r="D26" s="42"/>
      <c r="E26" s="49"/>
      <c r="F26" s="42"/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</v>
      </c>
      <c r="L26" s="36">
        <f t="shared" si="6"/>
        <v>0</v>
      </c>
      <c r="M26" s="36">
        <f t="shared" si="7"/>
        <v>0</v>
      </c>
      <c r="N26" s="42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/>
      <c r="B27" s="42"/>
      <c r="C27" s="42"/>
      <c r="D27" s="42"/>
      <c r="E27" s="49"/>
      <c r="F27" s="42"/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0</v>
      </c>
      <c r="K27" s="40">
        <f t="shared" si="5"/>
        <v>0</v>
      </c>
      <c r="L27" s="36">
        <f t="shared" si="6"/>
        <v>0</v>
      </c>
      <c r="M27" s="36">
        <f t="shared" si="7"/>
        <v>0</v>
      </c>
      <c r="N27" s="42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/>
      <c r="B28" s="42"/>
      <c r="C28" s="42"/>
      <c r="D28" s="42"/>
      <c r="E28" s="49"/>
      <c r="F28" s="42"/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0</v>
      </c>
      <c r="K28" s="40">
        <f t="shared" si="5"/>
        <v>0</v>
      </c>
      <c r="L28" s="36">
        <f t="shared" si="6"/>
        <v>0</v>
      </c>
      <c r="M28" s="36">
        <f t="shared" si="7"/>
        <v>0</v>
      </c>
      <c r="N28" s="42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/>
      <c r="B29" s="42"/>
      <c r="C29" s="42"/>
      <c r="D29" s="42"/>
      <c r="E29" s="49"/>
      <c r="F29" s="42"/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0</v>
      </c>
      <c r="K29" s="40">
        <f t="shared" si="5"/>
        <v>0</v>
      </c>
      <c r="L29" s="36">
        <f t="shared" si="6"/>
        <v>0</v>
      </c>
      <c r="M29" s="36">
        <f t="shared" si="7"/>
        <v>0</v>
      </c>
      <c r="N29" s="42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/>
      <c r="B30" s="42"/>
      <c r="C30" s="42"/>
      <c r="D30" s="42"/>
      <c r="E30" s="49"/>
      <c r="F30" s="42"/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0</v>
      </c>
      <c r="K30" s="40">
        <f t="shared" si="5"/>
        <v>0</v>
      </c>
      <c r="L30" s="36">
        <f t="shared" si="6"/>
        <v>0</v>
      </c>
      <c r="M30" s="36">
        <f t="shared" si="7"/>
        <v>0</v>
      </c>
      <c r="N30" s="42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/>
      <c r="B31" s="42"/>
      <c r="C31" s="42"/>
      <c r="D31" s="42"/>
      <c r="E31" s="49"/>
      <c r="F31" s="42"/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0</v>
      </c>
      <c r="K31" s="40">
        <f t="shared" si="5"/>
        <v>0</v>
      </c>
      <c r="L31" s="36">
        <f t="shared" si="6"/>
        <v>0</v>
      </c>
      <c r="M31" s="36">
        <f t="shared" si="7"/>
        <v>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492</v>
      </c>
      <c r="B108" s="22"/>
      <c r="C108" s="22"/>
      <c r="D108" s="23"/>
      <c r="E108" s="1"/>
      <c r="F108" s="1"/>
      <c r="G108" s="51" t="s">
        <v>493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494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/>
      <c r="B4" s="42"/>
      <c r="C4" s="42"/>
      <c r="D4" s="42"/>
      <c r="E4" s="49"/>
      <c r="F4" s="42"/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0</v>
      </c>
      <c r="N4" s="42"/>
      <c r="O4" s="42"/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/>
      <c r="B5" s="42"/>
      <c r="C5" s="42"/>
      <c r="D5" s="42"/>
      <c r="E5" s="49"/>
      <c r="F5" s="42"/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0</v>
      </c>
      <c r="K5" s="40">
        <f t="shared" si="5"/>
        <v>0</v>
      </c>
      <c r="L5" s="36">
        <f t="shared" si="6"/>
        <v>0</v>
      </c>
      <c r="M5" s="36">
        <f t="shared" si="7"/>
        <v>0</v>
      </c>
      <c r="N5" s="42"/>
      <c r="O5" s="42"/>
      <c r="P5" s="35" t="s">
        <v>140</v>
      </c>
      <c r="Q5" s="36">
        <f>SUM(L4:L103)</f>
        <v>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/>
      <c r="B6" s="42"/>
      <c r="C6" s="42"/>
      <c r="D6" s="42"/>
      <c r="E6" s="49"/>
      <c r="F6" s="42"/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0</v>
      </c>
      <c r="K6" s="40">
        <f t="shared" si="5"/>
        <v>0</v>
      </c>
      <c r="L6" s="36">
        <f t="shared" si="6"/>
        <v>0</v>
      </c>
      <c r="M6" s="36">
        <f t="shared" si="7"/>
        <v>0</v>
      </c>
      <c r="N6" s="42"/>
      <c r="O6" s="42"/>
      <c r="P6" s="35" t="s">
        <v>142</v>
      </c>
      <c r="Q6" s="36">
        <f>SUM(M4:M103)</f>
        <v>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/>
      <c r="B7" s="42"/>
      <c r="C7" s="42"/>
      <c r="D7" s="42"/>
      <c r="E7" s="49"/>
      <c r="F7" s="42"/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0</v>
      </c>
      <c r="K7" s="40">
        <f t="shared" si="5"/>
        <v>0</v>
      </c>
      <c r="L7" s="36">
        <f t="shared" si="6"/>
        <v>0</v>
      </c>
      <c r="M7" s="36">
        <f t="shared" si="7"/>
        <v>0</v>
      </c>
      <c r="N7" s="42"/>
      <c r="O7" s="42"/>
      <c r="P7" s="35" t="s">
        <v>144</v>
      </c>
      <c r="Q7" s="36">
        <f>COUNTA(E4:E103)</f>
        <v>0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/>
      <c r="B8" s="42"/>
      <c r="C8" s="42"/>
      <c r="D8" s="42"/>
      <c r="E8" s="49"/>
      <c r="F8" s="42"/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0</v>
      </c>
      <c r="K8" s="40">
        <f t="shared" si="5"/>
        <v>0</v>
      </c>
      <c r="L8" s="36">
        <f t="shared" si="6"/>
        <v>0</v>
      </c>
      <c r="M8" s="36">
        <f t="shared" si="7"/>
        <v>0</v>
      </c>
      <c r="N8" s="42"/>
      <c r="O8" s="42"/>
      <c r="P8" s="35" t="s">
        <v>148</v>
      </c>
      <c r="Q8" s="36">
        <f>IF(Q7=0,0,Q6/Q7)</f>
        <v>0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/>
      <c r="B9" s="42"/>
      <c r="C9" s="42"/>
      <c r="D9" s="42"/>
      <c r="E9" s="49"/>
      <c r="F9" s="42"/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0</v>
      </c>
      <c r="K9" s="40">
        <f t="shared" si="5"/>
        <v>0</v>
      </c>
      <c r="L9" s="36">
        <f t="shared" si="6"/>
        <v>0</v>
      </c>
      <c r="M9" s="36">
        <f t="shared" si="7"/>
        <v>0</v>
      </c>
      <c r="N9" s="42"/>
      <c r="O9" s="42"/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/>
      <c r="B10" s="42"/>
      <c r="C10" s="42"/>
      <c r="D10" s="42"/>
      <c r="E10" s="49"/>
      <c r="F10" s="42"/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0</v>
      </c>
      <c r="K10" s="40">
        <f t="shared" si="5"/>
        <v>0</v>
      </c>
      <c r="L10" s="36">
        <f t="shared" si="6"/>
        <v>0</v>
      </c>
      <c r="M10" s="36">
        <f t="shared" si="7"/>
        <v>0</v>
      </c>
      <c r="N10" s="42"/>
      <c r="O10" s="42"/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/>
      <c r="B11" s="42"/>
      <c r="C11" s="42"/>
      <c r="D11" s="42"/>
      <c r="E11" s="49"/>
      <c r="F11" s="42"/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0</v>
      </c>
      <c r="K11" s="40">
        <f t="shared" si="5"/>
        <v>0</v>
      </c>
      <c r="L11" s="36">
        <f t="shared" si="6"/>
        <v>0</v>
      </c>
      <c r="M11" s="36">
        <f t="shared" si="7"/>
        <v>0</v>
      </c>
      <c r="N11" s="42"/>
      <c r="O11" s="42"/>
      <c r="P11" s="35" t="s">
        <v>156</v>
      </c>
      <c r="Q11" s="36">
        <f>SUMIF(F4:F103,"Efectivo",M4:M103)</f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/>
      <c r="B12" s="42"/>
      <c r="C12" s="42"/>
      <c r="D12" s="42"/>
      <c r="E12" s="49"/>
      <c r="F12" s="42"/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0</v>
      </c>
      <c r="K12" s="40">
        <f t="shared" si="5"/>
        <v>0</v>
      </c>
      <c r="L12" s="36">
        <f t="shared" si="6"/>
        <v>0</v>
      </c>
      <c r="M12" s="36">
        <f t="shared" si="7"/>
        <v>0</v>
      </c>
      <c r="N12" s="42"/>
      <c r="O12" s="42"/>
      <c r="P12" s="35" t="s">
        <v>158</v>
      </c>
      <c r="Q12" s="36">
        <f>SUMIF(F4:F103,"Transferencia",M4:M103)</f>
        <v>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/>
      <c r="B13" s="42"/>
      <c r="C13" s="42"/>
      <c r="D13" s="42"/>
      <c r="E13" s="49"/>
      <c r="F13" s="42"/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0</v>
      </c>
      <c r="K13" s="40">
        <f t="shared" si="5"/>
        <v>0</v>
      </c>
      <c r="L13" s="36">
        <f t="shared" si="6"/>
        <v>0</v>
      </c>
      <c r="M13" s="36">
        <f t="shared" si="7"/>
        <v>0</v>
      </c>
      <c r="N13" s="42"/>
      <c r="O13" s="42"/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/>
      <c r="B14" s="42"/>
      <c r="C14" s="42"/>
      <c r="D14" s="42"/>
      <c r="E14" s="49"/>
      <c r="F14" s="42"/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0</v>
      </c>
      <c r="K14" s="40">
        <f t="shared" si="5"/>
        <v>0</v>
      </c>
      <c r="L14" s="36">
        <f t="shared" si="6"/>
        <v>0</v>
      </c>
      <c r="M14" s="36">
        <f t="shared" si="7"/>
        <v>0</v>
      </c>
      <c r="N14" s="42"/>
      <c r="O14" s="42"/>
      <c r="P14" s="35" t="s">
        <v>164</v>
      </c>
      <c r="Q14" s="36">
        <f>SUMIF(F4:F103,"Débito",M4:M103)+SUMIF(F4:F103,"Crédito",M4:M103)+SUMIF(F4:F103,"Transferencia",M4:M103)</f>
        <v>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/>
      <c r="B15" s="42"/>
      <c r="C15" s="42"/>
      <c r="D15" s="42"/>
      <c r="E15" s="49"/>
      <c r="F15" s="42"/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0</v>
      </c>
      <c r="K15" s="40">
        <f t="shared" si="5"/>
        <v>0</v>
      </c>
      <c r="L15" s="36">
        <f t="shared" si="6"/>
        <v>0</v>
      </c>
      <c r="M15" s="36">
        <f t="shared" si="7"/>
        <v>0</v>
      </c>
      <c r="N15" s="42"/>
      <c r="O15" s="42"/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/>
      <c r="B16" s="42"/>
      <c r="C16" s="42"/>
      <c r="D16" s="42"/>
      <c r="E16" s="49"/>
      <c r="F16" s="42"/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0</v>
      </c>
      <c r="K16" s="40">
        <f t="shared" si="5"/>
        <v>0</v>
      </c>
      <c r="L16" s="36">
        <f t="shared" si="6"/>
        <v>0</v>
      </c>
      <c r="M16" s="36">
        <f t="shared" si="7"/>
        <v>0</v>
      </c>
      <c r="N16" s="42"/>
      <c r="O16" s="42"/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/>
      <c r="B17" s="42"/>
      <c r="C17" s="42"/>
      <c r="D17" s="42"/>
      <c r="E17" s="49"/>
      <c r="F17" s="42"/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0</v>
      </c>
      <c r="K17" s="40">
        <f t="shared" si="5"/>
        <v>0</v>
      </c>
      <c r="L17" s="36">
        <f t="shared" si="6"/>
        <v>0</v>
      </c>
      <c r="M17" s="36">
        <f t="shared" si="7"/>
        <v>0</v>
      </c>
      <c r="N17" s="42"/>
      <c r="O17" s="4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/>
      <c r="B18" s="42"/>
      <c r="C18" s="42"/>
      <c r="D18" s="42"/>
      <c r="E18" s="49"/>
      <c r="F18" s="42"/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0</v>
      </c>
      <c r="K18" s="40">
        <f t="shared" si="5"/>
        <v>0</v>
      </c>
      <c r="L18" s="36">
        <f t="shared" si="6"/>
        <v>0</v>
      </c>
      <c r="M18" s="36">
        <f t="shared" si="7"/>
        <v>0</v>
      </c>
      <c r="N18" s="42"/>
      <c r="O18" s="4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/>
      <c r="B19" s="42"/>
      <c r="C19" s="42"/>
      <c r="D19" s="42"/>
      <c r="E19" s="49"/>
      <c r="F19" s="42"/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0</v>
      </c>
      <c r="K19" s="40">
        <f t="shared" si="5"/>
        <v>0</v>
      </c>
      <c r="L19" s="36">
        <f t="shared" si="6"/>
        <v>0</v>
      </c>
      <c r="M19" s="36">
        <f t="shared" si="7"/>
        <v>0</v>
      </c>
      <c r="N19" s="42"/>
      <c r="O19" s="4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/>
      <c r="B20" s="42"/>
      <c r="C20" s="42"/>
      <c r="D20" s="42"/>
      <c r="E20" s="49"/>
      <c r="F20" s="42"/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0</v>
      </c>
      <c r="K20" s="40">
        <f t="shared" si="5"/>
        <v>0</v>
      </c>
      <c r="L20" s="36">
        <f t="shared" si="6"/>
        <v>0</v>
      </c>
      <c r="M20" s="36">
        <f t="shared" si="7"/>
        <v>0</v>
      </c>
      <c r="N20" s="42"/>
      <c r="O20" s="4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/>
      <c r="B21" s="42"/>
      <c r="C21" s="42"/>
      <c r="D21" s="42"/>
      <c r="E21" s="49"/>
      <c r="F21" s="42"/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0</v>
      </c>
      <c r="K21" s="40">
        <f t="shared" si="5"/>
        <v>0</v>
      </c>
      <c r="L21" s="36">
        <f t="shared" si="6"/>
        <v>0</v>
      </c>
      <c r="M21" s="36">
        <f t="shared" si="7"/>
        <v>0</v>
      </c>
      <c r="N21" s="42"/>
      <c r="O21" s="4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/>
      <c r="B22" s="42"/>
      <c r="C22" s="42"/>
      <c r="D22" s="42"/>
      <c r="E22" s="49"/>
      <c r="F22" s="42"/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0</v>
      </c>
      <c r="K22" s="40">
        <f t="shared" si="5"/>
        <v>0</v>
      </c>
      <c r="L22" s="36">
        <f t="shared" si="6"/>
        <v>0</v>
      </c>
      <c r="M22" s="36">
        <f t="shared" si="7"/>
        <v>0</v>
      </c>
      <c r="N22" s="42"/>
      <c r="O22" s="4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/>
      <c r="B23" s="42"/>
      <c r="C23" s="42"/>
      <c r="D23" s="42"/>
      <c r="E23" s="49"/>
      <c r="F23" s="42"/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0</v>
      </c>
      <c r="K23" s="40">
        <f t="shared" si="5"/>
        <v>0</v>
      </c>
      <c r="L23" s="36">
        <f t="shared" si="6"/>
        <v>0</v>
      </c>
      <c r="M23" s="36">
        <f t="shared" si="7"/>
        <v>0</v>
      </c>
      <c r="N23" s="42"/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/>
      <c r="B24" s="42"/>
      <c r="C24" s="42"/>
      <c r="D24" s="42"/>
      <c r="E24" s="49"/>
      <c r="F24" s="42"/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0</v>
      </c>
      <c r="K24" s="40">
        <f t="shared" si="5"/>
        <v>0</v>
      </c>
      <c r="L24" s="36">
        <f t="shared" si="6"/>
        <v>0</v>
      </c>
      <c r="M24" s="36">
        <f t="shared" si="7"/>
        <v>0</v>
      </c>
      <c r="N24" s="42"/>
      <c r="O24" s="4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/>
      <c r="B25" s="42"/>
      <c r="C25" s="42"/>
      <c r="D25" s="42"/>
      <c r="E25" s="49"/>
      <c r="F25" s="42"/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0</v>
      </c>
      <c r="K25" s="40">
        <f t="shared" si="5"/>
        <v>0</v>
      </c>
      <c r="L25" s="36">
        <f t="shared" si="6"/>
        <v>0</v>
      </c>
      <c r="M25" s="36">
        <f t="shared" si="7"/>
        <v>0</v>
      </c>
      <c r="N25" s="42"/>
      <c r="O25" s="4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/>
      <c r="B26" s="42"/>
      <c r="C26" s="42"/>
      <c r="D26" s="42"/>
      <c r="E26" s="49"/>
      <c r="F26" s="42"/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0</v>
      </c>
      <c r="K26" s="40">
        <f t="shared" si="5"/>
        <v>0</v>
      </c>
      <c r="L26" s="36">
        <f t="shared" si="6"/>
        <v>0</v>
      </c>
      <c r="M26" s="36">
        <f t="shared" si="7"/>
        <v>0</v>
      </c>
      <c r="N26" s="42"/>
      <c r="O26" s="4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/>
      <c r="B27" s="42"/>
      <c r="C27" s="42"/>
      <c r="D27" s="42"/>
      <c r="E27" s="49"/>
      <c r="F27" s="42"/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0</v>
      </c>
      <c r="K27" s="40">
        <f t="shared" si="5"/>
        <v>0</v>
      </c>
      <c r="L27" s="36">
        <f t="shared" si="6"/>
        <v>0</v>
      </c>
      <c r="M27" s="36">
        <f t="shared" si="7"/>
        <v>0</v>
      </c>
      <c r="N27" s="42"/>
      <c r="O27" s="4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/>
      <c r="B28" s="42"/>
      <c r="C28" s="42"/>
      <c r="D28" s="42"/>
      <c r="E28" s="49"/>
      <c r="F28" s="42"/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0</v>
      </c>
      <c r="K28" s="40">
        <f t="shared" si="5"/>
        <v>0</v>
      </c>
      <c r="L28" s="36">
        <f t="shared" si="6"/>
        <v>0</v>
      </c>
      <c r="M28" s="36">
        <f t="shared" si="7"/>
        <v>0</v>
      </c>
      <c r="N28" s="42"/>
      <c r="O28" s="4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/>
      <c r="B29" s="42"/>
      <c r="C29" s="42"/>
      <c r="D29" s="42"/>
      <c r="E29" s="49"/>
      <c r="F29" s="42"/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0</v>
      </c>
      <c r="K29" s="40">
        <f t="shared" si="5"/>
        <v>0</v>
      </c>
      <c r="L29" s="36">
        <f t="shared" si="6"/>
        <v>0</v>
      </c>
      <c r="M29" s="36">
        <f t="shared" si="7"/>
        <v>0</v>
      </c>
      <c r="N29" s="42"/>
      <c r="O29" s="42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/>
      <c r="B30" s="42"/>
      <c r="C30" s="42"/>
      <c r="D30" s="42"/>
      <c r="E30" s="49"/>
      <c r="F30" s="42"/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0</v>
      </c>
      <c r="K30" s="40">
        <f t="shared" si="5"/>
        <v>0</v>
      </c>
      <c r="L30" s="36">
        <f t="shared" si="6"/>
        <v>0</v>
      </c>
      <c r="M30" s="36">
        <f t="shared" si="7"/>
        <v>0</v>
      </c>
      <c r="N30" s="42"/>
      <c r="O30" s="4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/>
      <c r="B31" s="42"/>
      <c r="C31" s="42"/>
      <c r="D31" s="42"/>
      <c r="E31" s="49"/>
      <c r="F31" s="42"/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0</v>
      </c>
      <c r="K31" s="40">
        <f t="shared" si="5"/>
        <v>0</v>
      </c>
      <c r="L31" s="36">
        <f t="shared" si="6"/>
        <v>0</v>
      </c>
      <c r="M31" s="36">
        <f t="shared" si="7"/>
        <v>0</v>
      </c>
      <c r="N31" s="42"/>
      <c r="O31" s="4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/>
      <c r="B32" s="42"/>
      <c r="C32" s="42"/>
      <c r="D32" s="42"/>
      <c r="E32" s="49"/>
      <c r="F32" s="42"/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0</v>
      </c>
      <c r="K32" s="40">
        <f t="shared" si="5"/>
        <v>0</v>
      </c>
      <c r="L32" s="36">
        <f t="shared" si="6"/>
        <v>0</v>
      </c>
      <c r="M32" s="36">
        <f t="shared" si="7"/>
        <v>0</v>
      </c>
      <c r="N32" s="42"/>
      <c r="O32" s="4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/>
      <c r="B33" s="42"/>
      <c r="C33" s="42"/>
      <c r="D33" s="42"/>
      <c r="E33" s="49"/>
      <c r="F33" s="42"/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0</v>
      </c>
      <c r="K33" s="40">
        <f t="shared" si="5"/>
        <v>0</v>
      </c>
      <c r="L33" s="36">
        <f t="shared" si="6"/>
        <v>0</v>
      </c>
      <c r="M33" s="36">
        <f t="shared" si="7"/>
        <v>0</v>
      </c>
      <c r="N33" s="42"/>
      <c r="O33" s="4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/>
      <c r="B34" s="42"/>
      <c r="C34" s="42"/>
      <c r="D34" s="42"/>
      <c r="E34" s="49"/>
      <c r="F34" s="42"/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0</v>
      </c>
      <c r="K34" s="40">
        <f t="shared" si="5"/>
        <v>0</v>
      </c>
      <c r="L34" s="36">
        <f t="shared" si="6"/>
        <v>0</v>
      </c>
      <c r="M34" s="36">
        <f t="shared" si="7"/>
        <v>0</v>
      </c>
      <c r="N34" s="42"/>
      <c r="O34" s="4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/>
      <c r="B35" s="42"/>
      <c r="C35" s="42"/>
      <c r="D35" s="42"/>
      <c r="E35" s="49"/>
      <c r="F35" s="42"/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0</v>
      </c>
      <c r="K35" s="40">
        <f t="shared" si="5"/>
        <v>0</v>
      </c>
      <c r="L35" s="36">
        <f t="shared" si="6"/>
        <v>0</v>
      </c>
      <c r="M35" s="36">
        <f t="shared" si="7"/>
        <v>0</v>
      </c>
      <c r="N35" s="42"/>
      <c r="O35" s="4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/>
      <c r="B36" s="42"/>
      <c r="C36" s="42"/>
      <c r="D36" s="42"/>
      <c r="E36" s="49"/>
      <c r="F36" s="42"/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0</v>
      </c>
      <c r="K36" s="40">
        <f t="shared" si="5"/>
        <v>0</v>
      </c>
      <c r="L36" s="36">
        <f t="shared" si="6"/>
        <v>0</v>
      </c>
      <c r="M36" s="36">
        <f t="shared" si="7"/>
        <v>0</v>
      </c>
      <c r="N36" s="42"/>
      <c r="O36" s="4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/>
      <c r="B37" s="42"/>
      <c r="C37" s="42"/>
      <c r="D37" s="42"/>
      <c r="E37" s="49"/>
      <c r="F37" s="42"/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0</v>
      </c>
      <c r="K37" s="40">
        <f t="shared" si="5"/>
        <v>0</v>
      </c>
      <c r="L37" s="36">
        <f t="shared" si="6"/>
        <v>0</v>
      </c>
      <c r="M37" s="36">
        <f t="shared" si="7"/>
        <v>0</v>
      </c>
      <c r="N37" s="42"/>
      <c r="O37" s="4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/>
      <c r="B38" s="42"/>
      <c r="C38" s="42"/>
      <c r="D38" s="42"/>
      <c r="E38" s="49"/>
      <c r="F38" s="42"/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0</v>
      </c>
      <c r="K38" s="40">
        <f t="shared" si="5"/>
        <v>0</v>
      </c>
      <c r="L38" s="36">
        <f t="shared" si="6"/>
        <v>0</v>
      </c>
      <c r="M38" s="36">
        <f t="shared" si="7"/>
        <v>0</v>
      </c>
      <c r="N38" s="42"/>
      <c r="O38" s="4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/>
      <c r="B39" s="42"/>
      <c r="C39" s="42"/>
      <c r="D39" s="42"/>
      <c r="E39" s="49"/>
      <c r="F39" s="42"/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0</v>
      </c>
      <c r="K39" s="40">
        <f t="shared" si="5"/>
        <v>0</v>
      </c>
      <c r="L39" s="36">
        <f t="shared" si="6"/>
        <v>0</v>
      </c>
      <c r="M39" s="36">
        <f t="shared" si="7"/>
        <v>0</v>
      </c>
      <c r="N39" s="42"/>
      <c r="O39" s="4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/>
      <c r="B40" s="42"/>
      <c r="C40" s="42"/>
      <c r="D40" s="42"/>
      <c r="E40" s="49"/>
      <c r="F40" s="42"/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0</v>
      </c>
      <c r="K40" s="40">
        <f t="shared" si="5"/>
        <v>0</v>
      </c>
      <c r="L40" s="36">
        <f t="shared" si="6"/>
        <v>0</v>
      </c>
      <c r="M40" s="36">
        <f t="shared" si="7"/>
        <v>0</v>
      </c>
      <c r="N40" s="42"/>
      <c r="O40" s="4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/>
      <c r="B41" s="42"/>
      <c r="C41" s="42"/>
      <c r="D41" s="42"/>
      <c r="E41" s="49"/>
      <c r="F41" s="42"/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0</v>
      </c>
      <c r="K41" s="40">
        <f t="shared" si="5"/>
        <v>0</v>
      </c>
      <c r="L41" s="36">
        <f t="shared" si="6"/>
        <v>0</v>
      </c>
      <c r="M41" s="36">
        <f t="shared" si="7"/>
        <v>0</v>
      </c>
      <c r="N41" s="42"/>
      <c r="O41" s="4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/>
      <c r="B42" s="42"/>
      <c r="C42" s="42"/>
      <c r="D42" s="42"/>
      <c r="E42" s="49"/>
      <c r="F42" s="42"/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0</v>
      </c>
      <c r="K42" s="40">
        <f t="shared" si="5"/>
        <v>0</v>
      </c>
      <c r="L42" s="36">
        <f t="shared" si="6"/>
        <v>0</v>
      </c>
      <c r="M42" s="36">
        <f t="shared" si="7"/>
        <v>0</v>
      </c>
      <c r="N42" s="42"/>
      <c r="O42" s="4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/>
      <c r="B43" s="42"/>
      <c r="C43" s="42"/>
      <c r="D43" s="42"/>
      <c r="E43" s="49"/>
      <c r="F43" s="42"/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0</v>
      </c>
      <c r="K43" s="40">
        <f t="shared" si="5"/>
        <v>0</v>
      </c>
      <c r="L43" s="36">
        <f t="shared" si="6"/>
        <v>0</v>
      </c>
      <c r="M43" s="36">
        <f t="shared" si="7"/>
        <v>0</v>
      </c>
      <c r="N43" s="42"/>
      <c r="O43" s="4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/>
      <c r="B44" s="42"/>
      <c r="C44" s="42"/>
      <c r="D44" s="42"/>
      <c r="E44" s="49"/>
      <c r="F44" s="42"/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0</v>
      </c>
      <c r="K44" s="40">
        <f t="shared" si="5"/>
        <v>0</v>
      </c>
      <c r="L44" s="36">
        <f t="shared" si="6"/>
        <v>0</v>
      </c>
      <c r="M44" s="36">
        <f t="shared" si="7"/>
        <v>0</v>
      </c>
      <c r="N44" s="42"/>
      <c r="O44" s="4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/>
      <c r="B45" s="42"/>
      <c r="C45" s="42"/>
      <c r="D45" s="42"/>
      <c r="E45" s="49"/>
      <c r="F45" s="42"/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0</v>
      </c>
      <c r="K45" s="40">
        <f t="shared" si="5"/>
        <v>0</v>
      </c>
      <c r="L45" s="36">
        <f t="shared" si="6"/>
        <v>0</v>
      </c>
      <c r="M45" s="36">
        <f t="shared" si="7"/>
        <v>0</v>
      </c>
      <c r="N45" s="42"/>
      <c r="O45" s="4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/>
      <c r="B46" s="42"/>
      <c r="C46" s="42"/>
      <c r="D46" s="42"/>
      <c r="E46" s="49"/>
      <c r="F46" s="42"/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0</v>
      </c>
      <c r="K46" s="40">
        <f t="shared" si="5"/>
        <v>0</v>
      </c>
      <c r="L46" s="36">
        <f t="shared" si="6"/>
        <v>0</v>
      </c>
      <c r="M46" s="36">
        <f t="shared" si="7"/>
        <v>0</v>
      </c>
      <c r="N46" s="42"/>
      <c r="O46" s="4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/>
      <c r="B47" s="42"/>
      <c r="C47" s="42"/>
      <c r="D47" s="42"/>
      <c r="E47" s="49"/>
      <c r="F47" s="42"/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0</v>
      </c>
      <c r="K47" s="40">
        <f t="shared" si="5"/>
        <v>0</v>
      </c>
      <c r="L47" s="36">
        <f t="shared" si="6"/>
        <v>0</v>
      </c>
      <c r="M47" s="36">
        <f t="shared" si="7"/>
        <v>0</v>
      </c>
      <c r="N47" s="42"/>
      <c r="O47" s="4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/>
      <c r="B48" s="42"/>
      <c r="C48" s="42"/>
      <c r="D48" s="42"/>
      <c r="E48" s="49"/>
      <c r="F48" s="42"/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0</v>
      </c>
      <c r="K48" s="40">
        <f t="shared" si="5"/>
        <v>0</v>
      </c>
      <c r="L48" s="36">
        <f t="shared" si="6"/>
        <v>0</v>
      </c>
      <c r="M48" s="36">
        <f t="shared" si="7"/>
        <v>0</v>
      </c>
      <c r="N48" s="42"/>
      <c r="O48" s="4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/>
      <c r="B49" s="42"/>
      <c r="C49" s="42"/>
      <c r="D49" s="42"/>
      <c r="E49" s="49"/>
      <c r="F49" s="42"/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0</v>
      </c>
      <c r="K49" s="40">
        <f t="shared" si="5"/>
        <v>0</v>
      </c>
      <c r="L49" s="36">
        <f t="shared" si="6"/>
        <v>0</v>
      </c>
      <c r="M49" s="36">
        <f t="shared" si="7"/>
        <v>0</v>
      </c>
      <c r="N49" s="42"/>
      <c r="O49" s="4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/>
      <c r="B50" s="42"/>
      <c r="C50" s="42"/>
      <c r="D50" s="42"/>
      <c r="E50" s="49"/>
      <c r="F50" s="42"/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0</v>
      </c>
      <c r="K50" s="40">
        <f t="shared" si="5"/>
        <v>0</v>
      </c>
      <c r="L50" s="36">
        <f t="shared" si="6"/>
        <v>0</v>
      </c>
      <c r="M50" s="36">
        <f t="shared" si="7"/>
        <v>0</v>
      </c>
      <c r="N50" s="42"/>
      <c r="O50" s="4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/>
      <c r="B51" s="42"/>
      <c r="C51" s="42"/>
      <c r="D51" s="42"/>
      <c r="E51" s="49"/>
      <c r="F51" s="42"/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0</v>
      </c>
      <c r="K51" s="40">
        <f t="shared" si="5"/>
        <v>0</v>
      </c>
      <c r="L51" s="36">
        <f t="shared" si="6"/>
        <v>0</v>
      </c>
      <c r="M51" s="36">
        <f t="shared" si="7"/>
        <v>0</v>
      </c>
      <c r="N51" s="42"/>
      <c r="O51" s="4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/>
      <c r="B52" s="42"/>
      <c r="C52" s="42"/>
      <c r="D52" s="42"/>
      <c r="E52" s="49"/>
      <c r="F52" s="42"/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0</v>
      </c>
      <c r="K52" s="40">
        <f t="shared" si="5"/>
        <v>0</v>
      </c>
      <c r="L52" s="36">
        <f t="shared" si="6"/>
        <v>0</v>
      </c>
      <c r="M52" s="36">
        <f t="shared" si="7"/>
        <v>0</v>
      </c>
      <c r="N52" s="42"/>
      <c r="O52" s="4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/>
      <c r="B53" s="42"/>
      <c r="C53" s="42"/>
      <c r="D53" s="42"/>
      <c r="E53" s="49"/>
      <c r="F53" s="42"/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0</v>
      </c>
      <c r="K53" s="40">
        <f t="shared" si="5"/>
        <v>0</v>
      </c>
      <c r="L53" s="36">
        <f t="shared" si="6"/>
        <v>0</v>
      </c>
      <c r="M53" s="36">
        <f t="shared" si="7"/>
        <v>0</v>
      </c>
      <c r="N53" s="42"/>
      <c r="O53" s="4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/>
      <c r="B54" s="42"/>
      <c r="C54" s="42"/>
      <c r="D54" s="42"/>
      <c r="E54" s="49"/>
      <c r="F54" s="42"/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0</v>
      </c>
      <c r="K54" s="40">
        <f t="shared" si="5"/>
        <v>0</v>
      </c>
      <c r="L54" s="36">
        <f t="shared" si="6"/>
        <v>0</v>
      </c>
      <c r="M54" s="36">
        <f t="shared" si="7"/>
        <v>0</v>
      </c>
      <c r="N54" s="42"/>
      <c r="O54" s="4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495</v>
      </c>
      <c r="B108" s="22"/>
      <c r="C108" s="22"/>
      <c r="D108" s="23"/>
      <c r="E108" s="1"/>
      <c r="F108" s="1"/>
      <c r="G108" s="51" t="s">
        <v>496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31.29"/>
    <col customWidth="1" min="16" max="16" width="68.71"/>
    <col customWidth="1" min="17" max="17" width="22.0"/>
  </cols>
  <sheetData>
    <row r="1" ht="31.5" customHeight="1">
      <c r="A1" s="20" t="s">
        <v>497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3476000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259294.1176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 t="s">
        <v>498</v>
      </c>
      <c r="B4" s="42" t="s">
        <v>179</v>
      </c>
      <c r="C4" s="42" t="s">
        <v>135</v>
      </c>
      <c r="D4" s="42" t="s">
        <v>53</v>
      </c>
      <c r="E4" s="49">
        <v>20000.0</v>
      </c>
      <c r="F4" s="42" t="s">
        <v>136</v>
      </c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20000</v>
      </c>
      <c r="K4" s="40">
        <f t="shared" ref="K4:K103" si="5">IF($O4&lt;&gt;"Tienda",0,IF(OR($F4="Débito",$F4="Crédito"),0.05,IF(OR($F4="Efectivo",$F4="Transferencia"),0.07,0)))</f>
        <v>0</v>
      </c>
      <c r="L4" s="36">
        <f t="shared" ref="L4:L103" si="6">IF($O4&lt;&gt;"Tienda",0,$J4*$K4)</f>
        <v>0</v>
      </c>
      <c r="M4" s="36">
        <f t="shared" ref="M4:M103" si="7">E4-G4-I4-L4</f>
        <v>20000</v>
      </c>
      <c r="N4" s="42"/>
      <c r="O4" s="42" t="s">
        <v>192</v>
      </c>
      <c r="P4" s="35" t="s">
        <v>104</v>
      </c>
      <c r="Q4" s="36">
        <f>SUM(I4:I103)</f>
        <v>46154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 t="s">
        <v>499</v>
      </c>
      <c r="B5" s="42" t="s">
        <v>161</v>
      </c>
      <c r="C5" s="42" t="s">
        <v>135</v>
      </c>
      <c r="D5" s="42" t="s">
        <v>50</v>
      </c>
      <c r="E5" s="49">
        <v>45000.0</v>
      </c>
      <c r="F5" s="42" t="s">
        <v>176</v>
      </c>
      <c r="G5" s="36">
        <f t="shared" si="1"/>
        <v>7184.87395</v>
      </c>
      <c r="H5" s="40">
        <f t="shared" si="2"/>
        <v>0.0275</v>
      </c>
      <c r="I5" s="36">
        <f t="shared" si="3"/>
        <v>1237.5</v>
      </c>
      <c r="J5" s="36">
        <f t="shared" si="4"/>
        <v>36577.62605</v>
      </c>
      <c r="K5" s="40">
        <f t="shared" si="5"/>
        <v>0</v>
      </c>
      <c r="L5" s="36">
        <f t="shared" si="6"/>
        <v>0</v>
      </c>
      <c r="M5" s="36">
        <f t="shared" si="7"/>
        <v>36577.62605</v>
      </c>
      <c r="N5" s="42"/>
      <c r="O5" s="42" t="s">
        <v>500</v>
      </c>
      <c r="P5" s="35" t="s">
        <v>140</v>
      </c>
      <c r="Q5" s="36">
        <f>SUM(L4:L103)</f>
        <v>141543.2559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 t="s">
        <v>501</v>
      </c>
      <c r="B6" s="42">
        <v>40.0</v>
      </c>
      <c r="C6" s="42" t="s">
        <v>135</v>
      </c>
      <c r="D6" s="42" t="s">
        <v>50</v>
      </c>
      <c r="E6" s="49">
        <v>45000.0</v>
      </c>
      <c r="F6" s="42" t="s">
        <v>176</v>
      </c>
      <c r="G6" s="36">
        <f t="shared" si="1"/>
        <v>7184.87395</v>
      </c>
      <c r="H6" s="40">
        <f t="shared" si="2"/>
        <v>0.0275</v>
      </c>
      <c r="I6" s="36">
        <f t="shared" si="3"/>
        <v>1237.5</v>
      </c>
      <c r="J6" s="36">
        <f t="shared" si="4"/>
        <v>36577.62605</v>
      </c>
      <c r="K6" s="40">
        <f t="shared" si="5"/>
        <v>0</v>
      </c>
      <c r="L6" s="36">
        <f t="shared" si="6"/>
        <v>0</v>
      </c>
      <c r="M6" s="36">
        <f t="shared" si="7"/>
        <v>36577.62605</v>
      </c>
      <c r="N6" s="42"/>
      <c r="O6" s="42" t="s">
        <v>500</v>
      </c>
      <c r="P6" s="35" t="s">
        <v>142</v>
      </c>
      <c r="Q6" s="36">
        <f>SUM(M4:M103)</f>
        <v>3029008.626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 t="s">
        <v>502</v>
      </c>
      <c r="B7" s="42" t="s">
        <v>503</v>
      </c>
      <c r="C7" s="42" t="s">
        <v>135</v>
      </c>
      <c r="D7" s="42" t="s">
        <v>50</v>
      </c>
      <c r="E7" s="49">
        <v>45000.0</v>
      </c>
      <c r="F7" s="42" t="s">
        <v>176</v>
      </c>
      <c r="G7" s="36">
        <f t="shared" si="1"/>
        <v>7184.87395</v>
      </c>
      <c r="H7" s="40">
        <f t="shared" si="2"/>
        <v>0.0275</v>
      </c>
      <c r="I7" s="36">
        <f t="shared" si="3"/>
        <v>1237.5</v>
      </c>
      <c r="J7" s="36">
        <f t="shared" si="4"/>
        <v>36577.62605</v>
      </c>
      <c r="K7" s="40">
        <f t="shared" si="5"/>
        <v>0</v>
      </c>
      <c r="L7" s="36">
        <f t="shared" si="6"/>
        <v>0</v>
      </c>
      <c r="M7" s="36">
        <f t="shared" si="7"/>
        <v>36577.62605</v>
      </c>
      <c r="N7" s="42"/>
      <c r="O7" s="42" t="s">
        <v>500</v>
      </c>
      <c r="P7" s="35" t="s">
        <v>144</v>
      </c>
      <c r="Q7" s="36">
        <f>COUNTA(E4:E103)</f>
        <v>51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 t="s">
        <v>504</v>
      </c>
      <c r="B8" s="42" t="s">
        <v>146</v>
      </c>
      <c r="C8" s="42" t="s">
        <v>135</v>
      </c>
      <c r="D8" s="42" t="s">
        <v>49</v>
      </c>
      <c r="E8" s="49">
        <v>45000.0</v>
      </c>
      <c r="F8" s="42" t="s">
        <v>176</v>
      </c>
      <c r="G8" s="36">
        <f t="shared" si="1"/>
        <v>7184.87395</v>
      </c>
      <c r="H8" s="40">
        <f t="shared" si="2"/>
        <v>0.0275</v>
      </c>
      <c r="I8" s="36">
        <f t="shared" si="3"/>
        <v>1237.5</v>
      </c>
      <c r="J8" s="36">
        <f t="shared" si="4"/>
        <v>36577.62605</v>
      </c>
      <c r="K8" s="40">
        <f t="shared" si="5"/>
        <v>0</v>
      </c>
      <c r="L8" s="36">
        <f t="shared" si="6"/>
        <v>0</v>
      </c>
      <c r="M8" s="36">
        <f t="shared" si="7"/>
        <v>36577.62605</v>
      </c>
      <c r="N8" s="42"/>
      <c r="O8" s="42" t="s">
        <v>500</v>
      </c>
      <c r="P8" s="35" t="s">
        <v>148</v>
      </c>
      <c r="Q8" s="36">
        <f>IF(Q7=0,0,Q6/Q7)</f>
        <v>59392.32601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 t="s">
        <v>505</v>
      </c>
      <c r="B9" s="42" t="s">
        <v>262</v>
      </c>
      <c r="C9" s="42" t="s">
        <v>135</v>
      </c>
      <c r="D9" s="42" t="s">
        <v>49</v>
      </c>
      <c r="E9" s="49">
        <v>45000.0</v>
      </c>
      <c r="F9" s="42" t="s">
        <v>176</v>
      </c>
      <c r="G9" s="36">
        <f t="shared" si="1"/>
        <v>7184.87395</v>
      </c>
      <c r="H9" s="40">
        <f t="shared" si="2"/>
        <v>0.0275</v>
      </c>
      <c r="I9" s="36">
        <f t="shared" si="3"/>
        <v>1237.5</v>
      </c>
      <c r="J9" s="36">
        <f t="shared" si="4"/>
        <v>36577.62605</v>
      </c>
      <c r="K9" s="40">
        <f t="shared" si="5"/>
        <v>0</v>
      </c>
      <c r="L9" s="36">
        <f t="shared" si="6"/>
        <v>0</v>
      </c>
      <c r="M9" s="36">
        <f t="shared" si="7"/>
        <v>36577.62605</v>
      </c>
      <c r="N9" s="42"/>
      <c r="O9" s="42" t="s">
        <v>500</v>
      </c>
      <c r="P9" s="35" t="s">
        <v>151</v>
      </c>
      <c r="Q9" s="36">
        <f>SUMIF(F4:F103,"Débito",M4:M103)</f>
        <v>702818.7637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 t="s">
        <v>499</v>
      </c>
      <c r="B10" s="42" t="s">
        <v>146</v>
      </c>
      <c r="C10" s="42" t="s">
        <v>135</v>
      </c>
      <c r="D10" s="42" t="s">
        <v>49</v>
      </c>
      <c r="E10" s="49">
        <v>45000.0</v>
      </c>
      <c r="F10" s="42" t="s">
        <v>176</v>
      </c>
      <c r="G10" s="36">
        <f t="shared" si="1"/>
        <v>7184.87395</v>
      </c>
      <c r="H10" s="40">
        <f t="shared" si="2"/>
        <v>0.0275</v>
      </c>
      <c r="I10" s="36">
        <f t="shared" si="3"/>
        <v>1237.5</v>
      </c>
      <c r="J10" s="36">
        <f t="shared" si="4"/>
        <v>36577.62605</v>
      </c>
      <c r="K10" s="40">
        <f t="shared" si="5"/>
        <v>0</v>
      </c>
      <c r="L10" s="36">
        <f t="shared" si="6"/>
        <v>0</v>
      </c>
      <c r="M10" s="36">
        <f t="shared" si="7"/>
        <v>36577.62605</v>
      </c>
      <c r="N10" s="42"/>
      <c r="O10" s="42" t="s">
        <v>500</v>
      </c>
      <c r="P10" s="35" t="s">
        <v>153</v>
      </c>
      <c r="Q10" s="36">
        <f>SUMIF(F4:F103,"Crédito",M4:M103)</f>
        <v>575409.8628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 t="s">
        <v>506</v>
      </c>
      <c r="B11" s="42">
        <v>45.0</v>
      </c>
      <c r="C11" s="42" t="s">
        <v>53</v>
      </c>
      <c r="D11" s="42" t="s">
        <v>53</v>
      </c>
      <c r="E11" s="49">
        <v>130000.0</v>
      </c>
      <c r="F11" s="42" t="s">
        <v>136</v>
      </c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130000</v>
      </c>
      <c r="K11" s="40">
        <f t="shared" si="5"/>
        <v>0.07</v>
      </c>
      <c r="L11" s="36">
        <f t="shared" si="6"/>
        <v>9100</v>
      </c>
      <c r="M11" s="36">
        <f t="shared" si="7"/>
        <v>120900</v>
      </c>
      <c r="N11" s="42"/>
      <c r="O11" s="42" t="s">
        <v>135</v>
      </c>
      <c r="P11" s="35" t="s">
        <v>156</v>
      </c>
      <c r="Q11" s="36">
        <f>SUMIF(F4:F103,"Efectivo",M4:M103)</f>
        <v>163350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 t="s">
        <v>507</v>
      </c>
      <c r="B12" s="42" t="s">
        <v>146</v>
      </c>
      <c r="C12" s="42" t="s">
        <v>51</v>
      </c>
      <c r="D12" s="42" t="s">
        <v>52</v>
      </c>
      <c r="E12" s="49">
        <v>43000.0</v>
      </c>
      <c r="F12" s="42" t="s">
        <v>176</v>
      </c>
      <c r="G12" s="36">
        <f t="shared" si="1"/>
        <v>6865.546218</v>
      </c>
      <c r="H12" s="40">
        <f t="shared" si="2"/>
        <v>0.0275</v>
      </c>
      <c r="I12" s="36">
        <f t="shared" si="3"/>
        <v>1182.5</v>
      </c>
      <c r="J12" s="36">
        <f t="shared" si="4"/>
        <v>34951.95378</v>
      </c>
      <c r="K12" s="40">
        <f t="shared" si="5"/>
        <v>0</v>
      </c>
      <c r="L12" s="36">
        <f t="shared" si="6"/>
        <v>0</v>
      </c>
      <c r="M12" s="36">
        <f t="shared" si="7"/>
        <v>34951.95378</v>
      </c>
      <c r="N12" s="42"/>
      <c r="O12" s="42" t="s">
        <v>508</v>
      </c>
      <c r="P12" s="35" t="s">
        <v>158</v>
      </c>
      <c r="Q12" s="36">
        <f>SUMIF(F4:F103,"Transferencia",M4:M103)</f>
        <v>1587430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 t="s">
        <v>467</v>
      </c>
      <c r="B13" s="42" t="s">
        <v>262</v>
      </c>
      <c r="C13" s="42" t="s">
        <v>52</v>
      </c>
      <c r="D13" s="42" t="s">
        <v>52</v>
      </c>
      <c r="E13" s="49">
        <v>45000.0</v>
      </c>
      <c r="F13" s="42" t="s">
        <v>292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45000</v>
      </c>
      <c r="K13" s="40">
        <f t="shared" si="5"/>
        <v>0.07</v>
      </c>
      <c r="L13" s="36">
        <f t="shared" si="6"/>
        <v>3150</v>
      </c>
      <c r="M13" s="36">
        <f t="shared" si="7"/>
        <v>41850</v>
      </c>
      <c r="N13" s="42"/>
      <c r="O13" s="42" t="s">
        <v>135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 t="s">
        <v>505</v>
      </c>
      <c r="B14" s="42" t="s">
        <v>179</v>
      </c>
      <c r="C14" s="42" t="s">
        <v>135</v>
      </c>
      <c r="D14" s="42" t="s">
        <v>49</v>
      </c>
      <c r="E14" s="49">
        <v>45000.0</v>
      </c>
      <c r="F14" s="42" t="s">
        <v>213</v>
      </c>
      <c r="G14" s="36">
        <f t="shared" si="1"/>
        <v>7184.87395</v>
      </c>
      <c r="H14" s="40">
        <f t="shared" si="2"/>
        <v>0.0295</v>
      </c>
      <c r="I14" s="36">
        <f t="shared" si="3"/>
        <v>1327.5</v>
      </c>
      <c r="J14" s="36">
        <f t="shared" si="4"/>
        <v>36487.62605</v>
      </c>
      <c r="K14" s="40">
        <f t="shared" si="5"/>
        <v>0.05</v>
      </c>
      <c r="L14" s="36">
        <f t="shared" si="6"/>
        <v>1824.381303</v>
      </c>
      <c r="M14" s="36">
        <f t="shared" si="7"/>
        <v>34663.24475</v>
      </c>
      <c r="N14" s="42"/>
      <c r="O14" s="42" t="s">
        <v>135</v>
      </c>
      <c r="P14" s="35" t="s">
        <v>164</v>
      </c>
      <c r="Q14" s="36">
        <f>SUMIF(F4:F103,"Débito",M4:M103)+SUMIF(F4:F103,"Crédito",M4:M103)+SUMIF(F4:F103,"Transferencia",M4:M103)</f>
        <v>2865658.626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 t="s">
        <v>509</v>
      </c>
      <c r="B15" s="42" t="s">
        <v>262</v>
      </c>
      <c r="C15" s="42" t="s">
        <v>135</v>
      </c>
      <c r="D15" s="42" t="s">
        <v>52</v>
      </c>
      <c r="E15" s="49">
        <v>45000.0</v>
      </c>
      <c r="F15" s="42" t="s">
        <v>176</v>
      </c>
      <c r="G15" s="36">
        <f t="shared" si="1"/>
        <v>7184.87395</v>
      </c>
      <c r="H15" s="40">
        <f t="shared" si="2"/>
        <v>0.0275</v>
      </c>
      <c r="I15" s="36">
        <f t="shared" si="3"/>
        <v>1237.5</v>
      </c>
      <c r="J15" s="36">
        <f t="shared" si="4"/>
        <v>36577.62605</v>
      </c>
      <c r="K15" s="40">
        <f t="shared" si="5"/>
        <v>0</v>
      </c>
      <c r="L15" s="36">
        <f t="shared" si="6"/>
        <v>0</v>
      </c>
      <c r="M15" s="36">
        <f t="shared" si="7"/>
        <v>36577.62605</v>
      </c>
      <c r="N15" s="42"/>
      <c r="O15" s="42" t="s">
        <v>500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 t="s">
        <v>505</v>
      </c>
      <c r="B16" s="42" t="s">
        <v>262</v>
      </c>
      <c r="C16" s="42" t="s">
        <v>135</v>
      </c>
      <c r="D16" s="42" t="s">
        <v>49</v>
      </c>
      <c r="E16" s="49">
        <v>45000.0</v>
      </c>
      <c r="F16" s="42" t="s">
        <v>176</v>
      </c>
      <c r="G16" s="36">
        <f t="shared" si="1"/>
        <v>7184.87395</v>
      </c>
      <c r="H16" s="40">
        <f t="shared" si="2"/>
        <v>0.0275</v>
      </c>
      <c r="I16" s="36">
        <f t="shared" si="3"/>
        <v>1237.5</v>
      </c>
      <c r="J16" s="36">
        <f t="shared" si="4"/>
        <v>36577.62605</v>
      </c>
      <c r="K16" s="40">
        <f t="shared" si="5"/>
        <v>0</v>
      </c>
      <c r="L16" s="36">
        <f t="shared" si="6"/>
        <v>0</v>
      </c>
      <c r="M16" s="36">
        <f t="shared" si="7"/>
        <v>36577.62605</v>
      </c>
      <c r="N16" s="42"/>
      <c r="O16" s="42" t="s">
        <v>500</v>
      </c>
      <c r="P16" s="35" t="s">
        <v>170</v>
      </c>
      <c r="Q16" s="36">
        <f>Q3-Q15</f>
        <v>259294.1176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 t="s">
        <v>510</v>
      </c>
      <c r="B17" s="42" t="s">
        <v>146</v>
      </c>
      <c r="C17" s="42" t="s">
        <v>49</v>
      </c>
      <c r="D17" s="42" t="s">
        <v>53</v>
      </c>
      <c r="E17" s="49">
        <v>15000.0</v>
      </c>
      <c r="F17" s="42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15000</v>
      </c>
      <c r="K17" s="40">
        <f t="shared" si="5"/>
        <v>0.07</v>
      </c>
      <c r="L17" s="36">
        <f t="shared" si="6"/>
        <v>1050</v>
      </c>
      <c r="M17" s="36">
        <f t="shared" si="7"/>
        <v>13950</v>
      </c>
      <c r="N17" s="42"/>
      <c r="O17" s="42" t="s">
        <v>135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 t="s">
        <v>511</v>
      </c>
      <c r="B18" s="42" t="s">
        <v>351</v>
      </c>
      <c r="C18" s="42" t="s">
        <v>51</v>
      </c>
      <c r="D18" s="42" t="s">
        <v>49</v>
      </c>
      <c r="E18" s="49">
        <v>60000.0</v>
      </c>
      <c r="F18" s="42" t="s">
        <v>176</v>
      </c>
      <c r="G18" s="36">
        <f t="shared" si="1"/>
        <v>9579.831933</v>
      </c>
      <c r="H18" s="40">
        <f t="shared" si="2"/>
        <v>0.0275</v>
      </c>
      <c r="I18" s="36">
        <f t="shared" si="3"/>
        <v>1650</v>
      </c>
      <c r="J18" s="36">
        <f t="shared" si="4"/>
        <v>48770.16807</v>
      </c>
      <c r="K18" s="40">
        <f t="shared" si="5"/>
        <v>0.05</v>
      </c>
      <c r="L18" s="36">
        <f t="shared" si="6"/>
        <v>2438.508403</v>
      </c>
      <c r="M18" s="36">
        <f t="shared" si="7"/>
        <v>46331.65966</v>
      </c>
      <c r="N18" s="42"/>
      <c r="O18" s="42" t="s">
        <v>135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 t="s">
        <v>512</v>
      </c>
      <c r="B19" s="42">
        <v>40.0</v>
      </c>
      <c r="C19" s="42" t="s">
        <v>135</v>
      </c>
      <c r="D19" s="42" t="s">
        <v>53</v>
      </c>
      <c r="E19" s="49">
        <v>42000.0</v>
      </c>
      <c r="F19" s="42" t="s">
        <v>176</v>
      </c>
      <c r="G19" s="36">
        <f t="shared" si="1"/>
        <v>6705.882353</v>
      </c>
      <c r="H19" s="40">
        <f t="shared" si="2"/>
        <v>0.0275</v>
      </c>
      <c r="I19" s="36">
        <f t="shared" si="3"/>
        <v>1155</v>
      </c>
      <c r="J19" s="36">
        <f t="shared" si="4"/>
        <v>34139.11765</v>
      </c>
      <c r="K19" s="40">
        <f t="shared" si="5"/>
        <v>0</v>
      </c>
      <c r="L19" s="36">
        <f t="shared" si="6"/>
        <v>0</v>
      </c>
      <c r="M19" s="36">
        <f t="shared" si="7"/>
        <v>34139.11765</v>
      </c>
      <c r="N19" s="42"/>
      <c r="O19" s="42" t="s">
        <v>500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 t="s">
        <v>513</v>
      </c>
      <c r="B20" s="42" t="s">
        <v>146</v>
      </c>
      <c r="C20" s="42" t="s">
        <v>135</v>
      </c>
      <c r="D20" s="42" t="s">
        <v>53</v>
      </c>
      <c r="E20" s="49">
        <v>30000.0</v>
      </c>
      <c r="F20" s="42" t="s">
        <v>292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30000</v>
      </c>
      <c r="K20" s="40">
        <f t="shared" si="5"/>
        <v>0</v>
      </c>
      <c r="L20" s="36">
        <f t="shared" si="6"/>
        <v>0</v>
      </c>
      <c r="M20" s="36">
        <f t="shared" si="7"/>
        <v>30000</v>
      </c>
      <c r="N20" s="42"/>
      <c r="O20" s="42" t="s">
        <v>192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 t="s">
        <v>514</v>
      </c>
      <c r="B21" s="42" t="s">
        <v>146</v>
      </c>
      <c r="C21" s="42" t="s">
        <v>53</v>
      </c>
      <c r="D21" s="42" t="s">
        <v>53</v>
      </c>
      <c r="E21" s="49">
        <v>30000.0</v>
      </c>
      <c r="F21" s="42" t="s">
        <v>176</v>
      </c>
      <c r="G21" s="36">
        <f t="shared" si="1"/>
        <v>4789.915966</v>
      </c>
      <c r="H21" s="40">
        <f t="shared" si="2"/>
        <v>0.0275</v>
      </c>
      <c r="I21" s="36">
        <f t="shared" si="3"/>
        <v>825</v>
      </c>
      <c r="J21" s="36">
        <f t="shared" si="4"/>
        <v>24385.08403</v>
      </c>
      <c r="K21" s="40">
        <f t="shared" si="5"/>
        <v>0.05</v>
      </c>
      <c r="L21" s="36">
        <f t="shared" si="6"/>
        <v>1219.254202</v>
      </c>
      <c r="M21" s="36">
        <f t="shared" si="7"/>
        <v>23165.82983</v>
      </c>
      <c r="N21" s="42"/>
      <c r="O21" s="42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 t="s">
        <v>515</v>
      </c>
      <c r="B22" s="42" t="s">
        <v>146</v>
      </c>
      <c r="C22" s="42" t="s">
        <v>49</v>
      </c>
      <c r="D22" s="42" t="s">
        <v>53</v>
      </c>
      <c r="E22" s="49">
        <v>50000.0</v>
      </c>
      <c r="F22" s="42" t="s">
        <v>213</v>
      </c>
      <c r="G22" s="36">
        <f t="shared" si="1"/>
        <v>7983.193277</v>
      </c>
      <c r="H22" s="40">
        <f t="shared" si="2"/>
        <v>0.0295</v>
      </c>
      <c r="I22" s="36">
        <f t="shared" si="3"/>
        <v>1475</v>
      </c>
      <c r="J22" s="36">
        <f t="shared" si="4"/>
        <v>40541.80672</v>
      </c>
      <c r="K22" s="40">
        <f t="shared" si="5"/>
        <v>0.05</v>
      </c>
      <c r="L22" s="36">
        <f t="shared" si="6"/>
        <v>2027.090336</v>
      </c>
      <c r="M22" s="36">
        <f t="shared" si="7"/>
        <v>38514.71639</v>
      </c>
      <c r="N22" s="42"/>
      <c r="O22" s="42" t="s">
        <v>135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 t="s">
        <v>505</v>
      </c>
      <c r="B23" s="42" t="s">
        <v>262</v>
      </c>
      <c r="C23" s="42" t="s">
        <v>135</v>
      </c>
      <c r="D23" s="42" t="s">
        <v>52</v>
      </c>
      <c r="E23" s="49">
        <v>45000.0</v>
      </c>
      <c r="F23" s="42" t="s">
        <v>292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45000</v>
      </c>
      <c r="K23" s="40">
        <f t="shared" si="5"/>
        <v>0</v>
      </c>
      <c r="L23" s="36">
        <f t="shared" si="6"/>
        <v>0</v>
      </c>
      <c r="M23" s="36">
        <f t="shared" si="7"/>
        <v>45000</v>
      </c>
      <c r="N23" s="42"/>
      <c r="O23" s="42" t="s">
        <v>500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 t="s">
        <v>504</v>
      </c>
      <c r="B24" s="42" t="s">
        <v>146</v>
      </c>
      <c r="C24" s="42" t="s">
        <v>135</v>
      </c>
      <c r="D24" s="42" t="s">
        <v>53</v>
      </c>
      <c r="E24" s="49">
        <v>45000.0</v>
      </c>
      <c r="F24" s="42" t="s">
        <v>176</v>
      </c>
      <c r="G24" s="36">
        <f t="shared" si="1"/>
        <v>7184.87395</v>
      </c>
      <c r="H24" s="40">
        <f t="shared" si="2"/>
        <v>0.0275</v>
      </c>
      <c r="I24" s="36">
        <f t="shared" si="3"/>
        <v>1237.5</v>
      </c>
      <c r="J24" s="36">
        <f t="shared" si="4"/>
        <v>36577.62605</v>
      </c>
      <c r="K24" s="40">
        <f t="shared" si="5"/>
        <v>0</v>
      </c>
      <c r="L24" s="36">
        <f t="shared" si="6"/>
        <v>0</v>
      </c>
      <c r="M24" s="36">
        <f t="shared" si="7"/>
        <v>36577.62605</v>
      </c>
      <c r="N24" s="42"/>
      <c r="O24" s="42" t="s">
        <v>500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 t="s">
        <v>516</v>
      </c>
      <c r="B25" s="42" t="s">
        <v>161</v>
      </c>
      <c r="C25" s="42" t="s">
        <v>135</v>
      </c>
      <c r="D25" s="42" t="s">
        <v>53</v>
      </c>
      <c r="E25" s="49">
        <v>75000.0</v>
      </c>
      <c r="F25" s="42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75000</v>
      </c>
      <c r="K25" s="40">
        <f t="shared" si="5"/>
        <v>0</v>
      </c>
      <c r="L25" s="36">
        <f t="shared" si="6"/>
        <v>0</v>
      </c>
      <c r="M25" s="36">
        <f t="shared" si="7"/>
        <v>75000</v>
      </c>
      <c r="N25" s="42"/>
      <c r="O25" s="42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 t="s">
        <v>517</v>
      </c>
      <c r="B26" s="42" t="s">
        <v>146</v>
      </c>
      <c r="C26" s="42" t="s">
        <v>135</v>
      </c>
      <c r="D26" s="42" t="s">
        <v>51</v>
      </c>
      <c r="E26" s="49">
        <v>75000.0</v>
      </c>
      <c r="F26" s="42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75000</v>
      </c>
      <c r="K26" s="40">
        <f t="shared" si="5"/>
        <v>0</v>
      </c>
      <c r="L26" s="36">
        <f t="shared" si="6"/>
        <v>0</v>
      </c>
      <c r="M26" s="36">
        <f t="shared" si="7"/>
        <v>75000</v>
      </c>
      <c r="N26" s="42"/>
      <c r="O26" s="42" t="s">
        <v>192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 t="s">
        <v>467</v>
      </c>
      <c r="B27" s="42" t="s">
        <v>262</v>
      </c>
      <c r="C27" s="42" t="s">
        <v>52</v>
      </c>
      <c r="D27" s="42" t="s">
        <v>51</v>
      </c>
      <c r="E27" s="49">
        <v>80000.0</v>
      </c>
      <c r="F27" s="42" t="s">
        <v>213</v>
      </c>
      <c r="G27" s="36">
        <f t="shared" si="1"/>
        <v>12773.10924</v>
      </c>
      <c r="H27" s="40">
        <f t="shared" si="2"/>
        <v>0.0295</v>
      </c>
      <c r="I27" s="36">
        <f t="shared" si="3"/>
        <v>2360</v>
      </c>
      <c r="J27" s="36">
        <f t="shared" si="4"/>
        <v>64866.89076</v>
      </c>
      <c r="K27" s="40">
        <f t="shared" si="5"/>
        <v>0.05</v>
      </c>
      <c r="L27" s="36">
        <f t="shared" si="6"/>
        <v>3243.344538</v>
      </c>
      <c r="M27" s="36">
        <f t="shared" si="7"/>
        <v>61623.54622</v>
      </c>
      <c r="N27" s="42"/>
      <c r="O27" s="42" t="s">
        <v>135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 t="s">
        <v>518</v>
      </c>
      <c r="B28" s="42" t="s">
        <v>262</v>
      </c>
      <c r="C28" s="42" t="s">
        <v>135</v>
      </c>
      <c r="D28" s="42" t="s">
        <v>51</v>
      </c>
      <c r="E28" s="49">
        <v>36000.0</v>
      </c>
      <c r="F28" s="42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36000</v>
      </c>
      <c r="K28" s="40">
        <f t="shared" si="5"/>
        <v>0.07</v>
      </c>
      <c r="L28" s="36">
        <f t="shared" si="6"/>
        <v>2520</v>
      </c>
      <c r="M28" s="36">
        <f t="shared" si="7"/>
        <v>33480</v>
      </c>
      <c r="N28" s="42"/>
      <c r="O28" s="42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 t="s">
        <v>519</v>
      </c>
      <c r="B29" s="42" t="s">
        <v>262</v>
      </c>
      <c r="C29" s="42" t="s">
        <v>51</v>
      </c>
      <c r="D29" s="42" t="s">
        <v>109</v>
      </c>
      <c r="E29" s="49">
        <v>150000.0</v>
      </c>
      <c r="F29" s="42" t="s">
        <v>213</v>
      </c>
      <c r="G29" s="36">
        <f t="shared" si="1"/>
        <v>23949.57983</v>
      </c>
      <c r="H29" s="40">
        <f t="shared" si="2"/>
        <v>0.0295</v>
      </c>
      <c r="I29" s="36">
        <f t="shared" si="3"/>
        <v>4425</v>
      </c>
      <c r="J29" s="36">
        <f t="shared" si="4"/>
        <v>121625.4202</v>
      </c>
      <c r="K29" s="40">
        <f t="shared" si="5"/>
        <v>0.05</v>
      </c>
      <c r="L29" s="36">
        <f t="shared" si="6"/>
        <v>6081.271008</v>
      </c>
      <c r="M29" s="36">
        <f t="shared" si="7"/>
        <v>115544.1492</v>
      </c>
      <c r="N29" s="42"/>
      <c r="O29" s="42" t="s">
        <v>135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 t="s">
        <v>520</v>
      </c>
      <c r="B30" s="42" t="s">
        <v>503</v>
      </c>
      <c r="C30" s="42" t="s">
        <v>53</v>
      </c>
      <c r="D30" s="42" t="s">
        <v>109</v>
      </c>
      <c r="E30" s="49">
        <v>40000.0</v>
      </c>
      <c r="F30" s="42" t="s">
        <v>213</v>
      </c>
      <c r="G30" s="36">
        <f t="shared" si="1"/>
        <v>6386.554622</v>
      </c>
      <c r="H30" s="40">
        <f t="shared" si="2"/>
        <v>0.0295</v>
      </c>
      <c r="I30" s="36">
        <f t="shared" si="3"/>
        <v>1180</v>
      </c>
      <c r="J30" s="36">
        <f t="shared" si="4"/>
        <v>32433.44538</v>
      </c>
      <c r="K30" s="40">
        <f t="shared" si="5"/>
        <v>0.05</v>
      </c>
      <c r="L30" s="36">
        <f t="shared" si="6"/>
        <v>1621.672269</v>
      </c>
      <c r="M30" s="36">
        <f t="shared" si="7"/>
        <v>30811.77311</v>
      </c>
      <c r="N30" s="42"/>
      <c r="O30" s="42" t="s">
        <v>135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 t="s">
        <v>521</v>
      </c>
      <c r="B31" s="42" t="s">
        <v>503</v>
      </c>
      <c r="C31" s="42" t="s">
        <v>53</v>
      </c>
      <c r="D31" s="42" t="s">
        <v>109</v>
      </c>
      <c r="E31" s="49">
        <v>32000.0</v>
      </c>
      <c r="F31" s="42" t="s">
        <v>213</v>
      </c>
      <c r="G31" s="36">
        <f t="shared" si="1"/>
        <v>5109.243697</v>
      </c>
      <c r="H31" s="40">
        <f t="shared" si="2"/>
        <v>0.0295</v>
      </c>
      <c r="I31" s="36">
        <f t="shared" si="3"/>
        <v>944</v>
      </c>
      <c r="J31" s="36">
        <f t="shared" si="4"/>
        <v>25946.7563</v>
      </c>
      <c r="K31" s="40">
        <f t="shared" si="5"/>
        <v>0.05</v>
      </c>
      <c r="L31" s="36">
        <f t="shared" si="6"/>
        <v>1297.337815</v>
      </c>
      <c r="M31" s="36">
        <f t="shared" si="7"/>
        <v>24649.41849</v>
      </c>
      <c r="N31" s="42"/>
      <c r="O31" s="42" t="s">
        <v>135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 t="s">
        <v>522</v>
      </c>
      <c r="B32" s="42" t="s">
        <v>146</v>
      </c>
      <c r="C32" s="42" t="s">
        <v>51</v>
      </c>
      <c r="D32" s="42" t="s">
        <v>109</v>
      </c>
      <c r="E32" s="49">
        <v>350000.0</v>
      </c>
      <c r="F32" s="42" t="s">
        <v>213</v>
      </c>
      <c r="G32" s="36">
        <f t="shared" si="1"/>
        <v>55882.35294</v>
      </c>
      <c r="H32" s="40">
        <f t="shared" si="2"/>
        <v>0.0295</v>
      </c>
      <c r="I32" s="36">
        <f t="shared" si="3"/>
        <v>10325</v>
      </c>
      <c r="J32" s="36">
        <f t="shared" si="4"/>
        <v>283792.6471</v>
      </c>
      <c r="K32" s="40">
        <f t="shared" si="5"/>
        <v>0.05</v>
      </c>
      <c r="L32" s="36">
        <f t="shared" si="6"/>
        <v>14189.63235</v>
      </c>
      <c r="M32" s="36">
        <f t="shared" si="7"/>
        <v>269603.0147</v>
      </c>
      <c r="N32" s="42"/>
      <c r="O32" s="42" t="s">
        <v>135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 t="s">
        <v>523</v>
      </c>
      <c r="B33" s="42" t="s">
        <v>262</v>
      </c>
      <c r="C33" s="42" t="s">
        <v>135</v>
      </c>
      <c r="D33" s="42" t="s">
        <v>49</v>
      </c>
      <c r="E33" s="49">
        <v>45000.0</v>
      </c>
      <c r="F33" s="42" t="s">
        <v>176</v>
      </c>
      <c r="G33" s="36">
        <f t="shared" si="1"/>
        <v>7184.87395</v>
      </c>
      <c r="H33" s="40">
        <f t="shared" si="2"/>
        <v>0.0275</v>
      </c>
      <c r="I33" s="36">
        <f t="shared" si="3"/>
        <v>1237.5</v>
      </c>
      <c r="J33" s="36">
        <f t="shared" si="4"/>
        <v>36577.62605</v>
      </c>
      <c r="K33" s="40">
        <f t="shared" si="5"/>
        <v>0</v>
      </c>
      <c r="L33" s="36">
        <f t="shared" si="6"/>
        <v>0</v>
      </c>
      <c r="M33" s="36">
        <f t="shared" si="7"/>
        <v>36577.62605</v>
      </c>
      <c r="N33" s="42"/>
      <c r="O33" s="42" t="s">
        <v>500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 t="s">
        <v>524</v>
      </c>
      <c r="B34" s="42" t="s">
        <v>260</v>
      </c>
      <c r="C34" s="42" t="s">
        <v>51</v>
      </c>
      <c r="D34" s="42" t="s">
        <v>50</v>
      </c>
      <c r="E34" s="49">
        <v>43000.0</v>
      </c>
      <c r="F34" s="42" t="s">
        <v>136</v>
      </c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43000</v>
      </c>
      <c r="K34" s="40">
        <f t="shared" si="5"/>
        <v>0</v>
      </c>
      <c r="L34" s="36">
        <f t="shared" si="6"/>
        <v>0</v>
      </c>
      <c r="M34" s="36">
        <f t="shared" si="7"/>
        <v>43000</v>
      </c>
      <c r="N34" s="42"/>
      <c r="O34" s="42" t="s">
        <v>508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 t="s">
        <v>525</v>
      </c>
      <c r="B35" s="42" t="s">
        <v>262</v>
      </c>
      <c r="C35" s="42" t="s">
        <v>49</v>
      </c>
      <c r="D35" s="42" t="s">
        <v>109</v>
      </c>
      <c r="E35" s="49">
        <v>50000.0</v>
      </c>
      <c r="F35" s="42" t="s">
        <v>292</v>
      </c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50000</v>
      </c>
      <c r="K35" s="40">
        <f t="shared" si="5"/>
        <v>0.07</v>
      </c>
      <c r="L35" s="36">
        <f t="shared" si="6"/>
        <v>3500</v>
      </c>
      <c r="M35" s="36">
        <f t="shared" si="7"/>
        <v>46500</v>
      </c>
      <c r="N35" s="42"/>
      <c r="O35" s="42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 t="s">
        <v>526</v>
      </c>
      <c r="B36" s="42">
        <v>42.0</v>
      </c>
      <c r="C36" s="42" t="s">
        <v>50</v>
      </c>
      <c r="D36" s="42" t="s">
        <v>50</v>
      </c>
      <c r="E36" s="49">
        <v>170000.0</v>
      </c>
      <c r="F36" s="42" t="s">
        <v>136</v>
      </c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170000</v>
      </c>
      <c r="K36" s="40">
        <f t="shared" si="5"/>
        <v>0.07</v>
      </c>
      <c r="L36" s="36">
        <f t="shared" si="6"/>
        <v>11900</v>
      </c>
      <c r="M36" s="36">
        <f t="shared" si="7"/>
        <v>158100</v>
      </c>
      <c r="N36" s="42"/>
      <c r="O36" s="42" t="s">
        <v>135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 t="s">
        <v>527</v>
      </c>
      <c r="B37" s="42">
        <v>44.0</v>
      </c>
      <c r="C37" s="42" t="s">
        <v>50</v>
      </c>
      <c r="D37" s="42" t="s">
        <v>50</v>
      </c>
      <c r="E37" s="49">
        <v>450000.0</v>
      </c>
      <c r="F37" s="42" t="s">
        <v>136</v>
      </c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450000</v>
      </c>
      <c r="K37" s="40">
        <f t="shared" si="5"/>
        <v>0.07</v>
      </c>
      <c r="L37" s="36">
        <f t="shared" si="6"/>
        <v>31500</v>
      </c>
      <c r="M37" s="36">
        <f t="shared" si="7"/>
        <v>418500</v>
      </c>
      <c r="N37" s="42"/>
      <c r="O37" s="42" t="s">
        <v>135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 t="s">
        <v>528</v>
      </c>
      <c r="B38" s="42">
        <v>44.0</v>
      </c>
      <c r="C38" s="42" t="s">
        <v>135</v>
      </c>
      <c r="D38" s="42" t="s">
        <v>50</v>
      </c>
      <c r="E38" s="49">
        <v>50000.0</v>
      </c>
      <c r="F38" s="42" t="s">
        <v>176</v>
      </c>
      <c r="G38" s="36">
        <f t="shared" si="1"/>
        <v>7983.193277</v>
      </c>
      <c r="H38" s="40">
        <f t="shared" si="2"/>
        <v>0.0275</v>
      </c>
      <c r="I38" s="36">
        <f t="shared" si="3"/>
        <v>1375</v>
      </c>
      <c r="J38" s="36">
        <f t="shared" si="4"/>
        <v>40641.80672</v>
      </c>
      <c r="K38" s="40">
        <f t="shared" si="5"/>
        <v>0</v>
      </c>
      <c r="L38" s="36">
        <f t="shared" si="6"/>
        <v>0</v>
      </c>
      <c r="M38" s="36">
        <f t="shared" si="7"/>
        <v>40641.80672</v>
      </c>
      <c r="N38" s="42"/>
      <c r="O38" s="42" t="s">
        <v>500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 t="s">
        <v>529</v>
      </c>
      <c r="B39" s="42" t="s">
        <v>262</v>
      </c>
      <c r="C39" s="42" t="s">
        <v>135</v>
      </c>
      <c r="D39" s="42" t="s">
        <v>110</v>
      </c>
      <c r="E39" s="49">
        <v>25000.0</v>
      </c>
      <c r="F39" s="42" t="s">
        <v>136</v>
      </c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25000</v>
      </c>
      <c r="K39" s="40">
        <f t="shared" si="5"/>
        <v>0</v>
      </c>
      <c r="L39" s="36">
        <f t="shared" si="6"/>
        <v>0</v>
      </c>
      <c r="M39" s="36">
        <f t="shared" si="7"/>
        <v>25000</v>
      </c>
      <c r="N39" s="42"/>
      <c r="O39" s="42" t="s">
        <v>192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 t="s">
        <v>504</v>
      </c>
      <c r="B40" s="42" t="s">
        <v>503</v>
      </c>
      <c r="C40" s="42" t="s">
        <v>135</v>
      </c>
      <c r="D40" s="42" t="s">
        <v>51</v>
      </c>
      <c r="E40" s="49">
        <v>45000.0</v>
      </c>
      <c r="F40" s="42" t="s">
        <v>176</v>
      </c>
      <c r="G40" s="36">
        <f t="shared" si="1"/>
        <v>7184.87395</v>
      </c>
      <c r="H40" s="40">
        <f t="shared" si="2"/>
        <v>0.0275</v>
      </c>
      <c r="I40" s="36">
        <f t="shared" si="3"/>
        <v>1237.5</v>
      </c>
      <c r="J40" s="36">
        <f t="shared" si="4"/>
        <v>36577.62605</v>
      </c>
      <c r="K40" s="40">
        <f t="shared" si="5"/>
        <v>0</v>
      </c>
      <c r="L40" s="36">
        <f t="shared" si="6"/>
        <v>0</v>
      </c>
      <c r="M40" s="36">
        <f t="shared" si="7"/>
        <v>36577.62605</v>
      </c>
      <c r="N40" s="42"/>
      <c r="O40" s="42" t="s">
        <v>500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 t="s">
        <v>530</v>
      </c>
      <c r="B41" s="42" t="s">
        <v>146</v>
      </c>
      <c r="C41" s="42" t="s">
        <v>51</v>
      </c>
      <c r="D41" s="42" t="s">
        <v>51</v>
      </c>
      <c r="E41" s="49">
        <v>43000.0</v>
      </c>
      <c r="F41" s="42" t="s">
        <v>136</v>
      </c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43000</v>
      </c>
      <c r="K41" s="40">
        <f t="shared" si="5"/>
        <v>0</v>
      </c>
      <c r="L41" s="36">
        <f t="shared" si="6"/>
        <v>0</v>
      </c>
      <c r="M41" s="36">
        <f t="shared" si="7"/>
        <v>43000</v>
      </c>
      <c r="N41" s="42"/>
      <c r="O41" s="42" t="s">
        <v>508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 t="s">
        <v>518</v>
      </c>
      <c r="B42" s="42" t="s">
        <v>146</v>
      </c>
      <c r="C42" s="42" t="s">
        <v>52</v>
      </c>
      <c r="D42" s="42" t="s">
        <v>49</v>
      </c>
      <c r="E42" s="49">
        <v>25000.0</v>
      </c>
      <c r="F42" s="42" t="s">
        <v>176</v>
      </c>
      <c r="G42" s="36">
        <f t="shared" si="1"/>
        <v>3991.596639</v>
      </c>
      <c r="H42" s="40">
        <f t="shared" si="2"/>
        <v>0.0275</v>
      </c>
      <c r="I42" s="36">
        <f t="shared" si="3"/>
        <v>687.5</v>
      </c>
      <c r="J42" s="36">
        <f t="shared" si="4"/>
        <v>20320.90336</v>
      </c>
      <c r="K42" s="40">
        <f t="shared" si="5"/>
        <v>0.05</v>
      </c>
      <c r="L42" s="36">
        <f t="shared" si="6"/>
        <v>1016.045168</v>
      </c>
      <c r="M42" s="36">
        <f t="shared" si="7"/>
        <v>19304.85819</v>
      </c>
      <c r="N42" s="42"/>
      <c r="O42" s="42" t="s">
        <v>135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 t="s">
        <v>531</v>
      </c>
      <c r="B43" s="42" t="s">
        <v>146</v>
      </c>
      <c r="C43" s="42" t="s">
        <v>53</v>
      </c>
      <c r="D43" s="42" t="s">
        <v>109</v>
      </c>
      <c r="E43" s="49">
        <v>45000.0</v>
      </c>
      <c r="F43" s="42" t="s">
        <v>176</v>
      </c>
      <c r="G43" s="36">
        <f t="shared" si="1"/>
        <v>7184.87395</v>
      </c>
      <c r="H43" s="40">
        <f t="shared" si="2"/>
        <v>0.0275</v>
      </c>
      <c r="I43" s="36">
        <f t="shared" si="3"/>
        <v>1237.5</v>
      </c>
      <c r="J43" s="36">
        <f t="shared" si="4"/>
        <v>36577.62605</v>
      </c>
      <c r="K43" s="40">
        <f t="shared" si="5"/>
        <v>0.05</v>
      </c>
      <c r="L43" s="36">
        <f t="shared" si="6"/>
        <v>1828.881303</v>
      </c>
      <c r="M43" s="36">
        <f t="shared" si="7"/>
        <v>34748.74475</v>
      </c>
      <c r="N43" s="42"/>
      <c r="O43" s="42" t="s">
        <v>135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 t="s">
        <v>532</v>
      </c>
      <c r="B44" s="42" t="s">
        <v>146</v>
      </c>
      <c r="C44" s="42" t="s">
        <v>53</v>
      </c>
      <c r="D44" s="42" t="s">
        <v>109</v>
      </c>
      <c r="E44" s="49">
        <v>32000.0</v>
      </c>
      <c r="F44" s="42" t="s">
        <v>176</v>
      </c>
      <c r="G44" s="36">
        <f t="shared" si="1"/>
        <v>5109.243697</v>
      </c>
      <c r="H44" s="40">
        <f t="shared" si="2"/>
        <v>0.0275</v>
      </c>
      <c r="I44" s="36">
        <f t="shared" si="3"/>
        <v>880</v>
      </c>
      <c r="J44" s="36">
        <f t="shared" si="4"/>
        <v>26010.7563</v>
      </c>
      <c r="K44" s="40">
        <f t="shared" si="5"/>
        <v>0.05</v>
      </c>
      <c r="L44" s="36">
        <f t="shared" si="6"/>
        <v>1300.537815</v>
      </c>
      <c r="M44" s="36">
        <f t="shared" si="7"/>
        <v>24710.21849</v>
      </c>
      <c r="N44" s="42"/>
      <c r="O44" s="42" t="s">
        <v>135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 t="s">
        <v>533</v>
      </c>
      <c r="B45" s="42" t="s">
        <v>146</v>
      </c>
      <c r="C45" s="42" t="s">
        <v>49</v>
      </c>
      <c r="D45" s="42" t="s">
        <v>109</v>
      </c>
      <c r="E45" s="49">
        <v>130000.0</v>
      </c>
      <c r="F45" s="42" t="s">
        <v>136</v>
      </c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130000</v>
      </c>
      <c r="K45" s="40">
        <f t="shared" si="5"/>
        <v>0.07</v>
      </c>
      <c r="L45" s="36">
        <f t="shared" si="6"/>
        <v>9100</v>
      </c>
      <c r="M45" s="36">
        <f t="shared" si="7"/>
        <v>120900</v>
      </c>
      <c r="N45" s="42"/>
      <c r="O45" s="42" t="s">
        <v>135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 t="s">
        <v>534</v>
      </c>
      <c r="B46" s="42" t="s">
        <v>262</v>
      </c>
      <c r="C46" s="42" t="s">
        <v>135</v>
      </c>
      <c r="D46" s="42" t="s">
        <v>53</v>
      </c>
      <c r="E46" s="49">
        <v>25000.0</v>
      </c>
      <c r="F46" s="42" t="s">
        <v>136</v>
      </c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25000</v>
      </c>
      <c r="K46" s="40">
        <f t="shared" si="5"/>
        <v>0</v>
      </c>
      <c r="L46" s="36">
        <f t="shared" si="6"/>
        <v>0</v>
      </c>
      <c r="M46" s="36">
        <f t="shared" si="7"/>
        <v>25000</v>
      </c>
      <c r="N46" s="42"/>
      <c r="O46" s="42" t="s">
        <v>192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 t="s">
        <v>436</v>
      </c>
      <c r="B47" s="42" t="s">
        <v>146</v>
      </c>
      <c r="C47" s="42" t="s">
        <v>135</v>
      </c>
      <c r="D47" s="42" t="s">
        <v>53</v>
      </c>
      <c r="E47" s="49">
        <v>25000.0</v>
      </c>
      <c r="F47" s="42" t="s">
        <v>136</v>
      </c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25000</v>
      </c>
      <c r="K47" s="40">
        <f t="shared" si="5"/>
        <v>0</v>
      </c>
      <c r="L47" s="36">
        <f t="shared" si="6"/>
        <v>0</v>
      </c>
      <c r="M47" s="36">
        <f t="shared" si="7"/>
        <v>25000</v>
      </c>
      <c r="N47" s="42"/>
      <c r="O47" s="42" t="s">
        <v>192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 t="s">
        <v>535</v>
      </c>
      <c r="B48" s="42" t="s">
        <v>146</v>
      </c>
      <c r="C48" s="42" t="s">
        <v>52</v>
      </c>
      <c r="D48" s="42" t="s">
        <v>109</v>
      </c>
      <c r="E48" s="49">
        <v>30000.0</v>
      </c>
      <c r="F48" s="42" t="s">
        <v>176</v>
      </c>
      <c r="G48" s="36">
        <f t="shared" si="1"/>
        <v>4789.915966</v>
      </c>
      <c r="H48" s="40">
        <f t="shared" si="2"/>
        <v>0.0275</v>
      </c>
      <c r="I48" s="36">
        <f t="shared" si="3"/>
        <v>825</v>
      </c>
      <c r="J48" s="36">
        <f t="shared" si="4"/>
        <v>24385.08403</v>
      </c>
      <c r="K48" s="40">
        <f t="shared" si="5"/>
        <v>0.05</v>
      </c>
      <c r="L48" s="36">
        <f t="shared" si="6"/>
        <v>1219.254202</v>
      </c>
      <c r="M48" s="36">
        <f t="shared" si="7"/>
        <v>23165.82983</v>
      </c>
      <c r="N48" s="42"/>
      <c r="O48" s="42" t="s">
        <v>135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 t="s">
        <v>536</v>
      </c>
      <c r="B49" s="42">
        <v>43.0</v>
      </c>
      <c r="C49" s="42" t="s">
        <v>53</v>
      </c>
      <c r="D49" s="42" t="s">
        <v>109</v>
      </c>
      <c r="E49" s="49">
        <v>25000.0</v>
      </c>
      <c r="F49" s="42" t="s">
        <v>176</v>
      </c>
      <c r="G49" s="36">
        <f t="shared" si="1"/>
        <v>3991.596639</v>
      </c>
      <c r="H49" s="40">
        <f t="shared" si="2"/>
        <v>0.0275</v>
      </c>
      <c r="I49" s="36">
        <f t="shared" si="3"/>
        <v>687.5</v>
      </c>
      <c r="J49" s="36">
        <f t="shared" si="4"/>
        <v>20320.90336</v>
      </c>
      <c r="K49" s="40">
        <f t="shared" si="5"/>
        <v>0.05</v>
      </c>
      <c r="L49" s="36">
        <f t="shared" si="6"/>
        <v>1016.045168</v>
      </c>
      <c r="M49" s="36">
        <f t="shared" si="7"/>
        <v>19304.85819</v>
      </c>
      <c r="N49" s="42"/>
      <c r="O49" s="42" t="s">
        <v>135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 t="s">
        <v>537</v>
      </c>
      <c r="B50" s="42">
        <v>45.0</v>
      </c>
      <c r="C50" s="42" t="s">
        <v>52</v>
      </c>
      <c r="D50" s="42" t="s">
        <v>109</v>
      </c>
      <c r="E50" s="49">
        <v>270000.0</v>
      </c>
      <c r="F50" s="42" t="s">
        <v>136</v>
      </c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270000</v>
      </c>
      <c r="K50" s="40">
        <f t="shared" si="5"/>
        <v>0.07</v>
      </c>
      <c r="L50" s="36">
        <f t="shared" si="6"/>
        <v>18900</v>
      </c>
      <c r="M50" s="36">
        <f t="shared" si="7"/>
        <v>251100</v>
      </c>
      <c r="N50" s="42"/>
      <c r="O50" s="42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 t="s">
        <v>538</v>
      </c>
      <c r="B51" s="42">
        <v>40.0</v>
      </c>
      <c r="C51" s="42" t="s">
        <v>49</v>
      </c>
      <c r="D51" s="42" t="s">
        <v>109</v>
      </c>
      <c r="E51" s="49">
        <v>45000.0</v>
      </c>
      <c r="F51" s="42" t="s">
        <v>136</v>
      </c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45000</v>
      </c>
      <c r="K51" s="40">
        <f t="shared" si="5"/>
        <v>0.07</v>
      </c>
      <c r="L51" s="36">
        <f t="shared" si="6"/>
        <v>3150</v>
      </c>
      <c r="M51" s="36">
        <f t="shared" si="7"/>
        <v>41850</v>
      </c>
      <c r="N51" s="42"/>
      <c r="O51" s="42" t="s">
        <v>135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42" t="s">
        <v>539</v>
      </c>
      <c r="B52" s="42" t="s">
        <v>262</v>
      </c>
      <c r="C52" s="42" t="s">
        <v>49</v>
      </c>
      <c r="D52" s="42" t="s">
        <v>109</v>
      </c>
      <c r="E52" s="49">
        <v>25000.0</v>
      </c>
      <c r="F52" s="42" t="s">
        <v>136</v>
      </c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25000</v>
      </c>
      <c r="K52" s="40">
        <f t="shared" si="5"/>
        <v>0.07</v>
      </c>
      <c r="L52" s="36">
        <f t="shared" si="6"/>
        <v>1750</v>
      </c>
      <c r="M52" s="36">
        <f t="shared" si="7"/>
        <v>23250</v>
      </c>
      <c r="N52" s="42"/>
      <c r="O52" s="42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42" t="s">
        <v>532</v>
      </c>
      <c r="B53" s="42" t="s">
        <v>146</v>
      </c>
      <c r="C53" s="42" t="s">
        <v>53</v>
      </c>
      <c r="D53" s="42" t="s">
        <v>109</v>
      </c>
      <c r="E53" s="49">
        <v>35000.0</v>
      </c>
      <c r="F53" s="42" t="s">
        <v>136</v>
      </c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35000</v>
      </c>
      <c r="K53" s="40">
        <f t="shared" si="5"/>
        <v>0.07</v>
      </c>
      <c r="L53" s="36">
        <f t="shared" si="6"/>
        <v>2450</v>
      </c>
      <c r="M53" s="36">
        <f t="shared" si="7"/>
        <v>32550</v>
      </c>
      <c r="N53" s="42"/>
      <c r="O53" s="42" t="s">
        <v>135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42" t="s">
        <v>540</v>
      </c>
      <c r="B54" s="42" t="s">
        <v>161</v>
      </c>
      <c r="C54" s="42" t="s">
        <v>53</v>
      </c>
      <c r="D54" s="42" t="s">
        <v>109</v>
      </c>
      <c r="E54" s="49">
        <v>45000.0</v>
      </c>
      <c r="F54" s="42" t="s">
        <v>136</v>
      </c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45000</v>
      </c>
      <c r="K54" s="40">
        <f t="shared" si="5"/>
        <v>0.07</v>
      </c>
      <c r="L54" s="36">
        <f t="shared" si="6"/>
        <v>3150</v>
      </c>
      <c r="M54" s="36">
        <f t="shared" si="7"/>
        <v>41850</v>
      </c>
      <c r="N54" s="42"/>
      <c r="O54" s="42" t="s">
        <v>135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42"/>
      <c r="B55" s="42"/>
      <c r="C55" s="42"/>
      <c r="D55" s="42"/>
      <c r="E55" s="49"/>
      <c r="F55" s="42"/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0</v>
      </c>
      <c r="K55" s="40">
        <f t="shared" si="5"/>
        <v>0</v>
      </c>
      <c r="L55" s="36">
        <f t="shared" si="6"/>
        <v>0</v>
      </c>
      <c r="M55" s="36">
        <f t="shared" si="7"/>
        <v>0</v>
      </c>
      <c r="N55" s="42"/>
      <c r="O55" s="4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42"/>
      <c r="B56" s="42"/>
      <c r="C56" s="42"/>
      <c r="D56" s="42"/>
      <c r="E56" s="49"/>
      <c r="F56" s="42"/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0</v>
      </c>
      <c r="K56" s="40">
        <f t="shared" si="5"/>
        <v>0</v>
      </c>
      <c r="L56" s="36">
        <f t="shared" si="6"/>
        <v>0</v>
      </c>
      <c r="M56" s="36">
        <f t="shared" si="7"/>
        <v>0</v>
      </c>
      <c r="N56" s="42"/>
      <c r="O56" s="4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42"/>
      <c r="B57" s="42"/>
      <c r="C57" s="42"/>
      <c r="D57" s="42"/>
      <c r="E57" s="49"/>
      <c r="F57" s="42"/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0</v>
      </c>
      <c r="K57" s="40">
        <f t="shared" si="5"/>
        <v>0</v>
      </c>
      <c r="L57" s="36">
        <f t="shared" si="6"/>
        <v>0</v>
      </c>
      <c r="M57" s="36">
        <f t="shared" si="7"/>
        <v>0</v>
      </c>
      <c r="N57" s="42"/>
      <c r="O57" s="4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42"/>
      <c r="B58" s="42"/>
      <c r="C58" s="42"/>
      <c r="D58" s="42"/>
      <c r="E58" s="49"/>
      <c r="F58" s="42"/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0</v>
      </c>
      <c r="K58" s="40">
        <f t="shared" si="5"/>
        <v>0</v>
      </c>
      <c r="L58" s="36">
        <f t="shared" si="6"/>
        <v>0</v>
      </c>
      <c r="M58" s="36">
        <f t="shared" si="7"/>
        <v>0</v>
      </c>
      <c r="N58" s="42"/>
      <c r="O58" s="4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42"/>
      <c r="B59" s="42"/>
      <c r="C59" s="42"/>
      <c r="D59" s="42"/>
      <c r="E59" s="49"/>
      <c r="F59" s="42"/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0</v>
      </c>
      <c r="K59" s="40">
        <f t="shared" si="5"/>
        <v>0</v>
      </c>
      <c r="L59" s="36">
        <f t="shared" si="6"/>
        <v>0</v>
      </c>
      <c r="M59" s="36">
        <f t="shared" si="7"/>
        <v>0</v>
      </c>
      <c r="N59" s="42"/>
      <c r="O59" s="4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541</v>
      </c>
      <c r="B108" s="22"/>
      <c r="C108" s="22"/>
      <c r="D108" s="23"/>
      <c r="E108" s="1"/>
      <c r="F108" s="1"/>
      <c r="G108" s="51" t="s">
        <v>542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52.0"/>
    <col customWidth="1" min="17" max="17" width="22.0"/>
  </cols>
  <sheetData>
    <row r="1" ht="31.5" customHeight="1">
      <c r="A1" s="20" t="s">
        <v>543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2835500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272226.8908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42" t="s">
        <v>544</v>
      </c>
      <c r="B4" s="42" t="s">
        <v>351</v>
      </c>
      <c r="C4" s="42" t="s">
        <v>52</v>
      </c>
      <c r="D4" s="42" t="s">
        <v>53</v>
      </c>
      <c r="E4" s="49">
        <v>25000.0</v>
      </c>
      <c r="F4" s="42" t="s">
        <v>176</v>
      </c>
      <c r="G4" s="36">
        <f t="shared" ref="G4:G103" si="1">IF(OR(F4="Débito",F4="Crédito",F4="Internet(Shopify)"),E4*19/119,0)</f>
        <v>3991.596639</v>
      </c>
      <c r="H4" s="40">
        <f t="shared" ref="H4:H103" si="2">IF(F4="Débito",0.0275,IF(F4="Crédito",0.0295,0))</f>
        <v>0.0275</v>
      </c>
      <c r="I4" s="36">
        <f t="shared" ref="I4:I103" si="3">E4*H4</f>
        <v>687.5</v>
      </c>
      <c r="J4" s="36">
        <f t="shared" ref="J4:J103" si="4">E4-G4-I4</f>
        <v>20320.90336</v>
      </c>
      <c r="K4" s="40">
        <f t="shared" ref="K4:K103" si="5">IF($O4&lt;&gt;"Tienda",0,IF(OR($F4="Débito",$F4="Crédito"),0.05,IF(OR($F4="Efectivo",$F4="Transferencia"),0.07,0)))</f>
        <v>0.05</v>
      </c>
      <c r="L4" s="36">
        <f t="shared" ref="L4:L103" si="6">IF($O4&lt;&gt;"Tienda",0,$J4*$K4)</f>
        <v>1016.045168</v>
      </c>
      <c r="M4" s="34">
        <f t="shared" ref="M4:M103" si="7">E4-G4-I4-L4</f>
        <v>19304.85819</v>
      </c>
      <c r="N4" s="42" t="s">
        <v>545</v>
      </c>
      <c r="O4" s="42" t="s">
        <v>135</v>
      </c>
      <c r="P4" s="35" t="s">
        <v>104</v>
      </c>
      <c r="Q4" s="36">
        <f>SUM(I4:I103)</f>
        <v>47883.5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42" t="s">
        <v>546</v>
      </c>
      <c r="B5" s="42" t="s">
        <v>146</v>
      </c>
      <c r="C5" s="42" t="s">
        <v>49</v>
      </c>
      <c r="D5" s="42" t="s">
        <v>110</v>
      </c>
      <c r="E5" s="49">
        <v>50000.0</v>
      </c>
      <c r="F5" s="42" t="s">
        <v>213</v>
      </c>
      <c r="G5" s="36">
        <f t="shared" si="1"/>
        <v>7983.193277</v>
      </c>
      <c r="H5" s="40">
        <f t="shared" si="2"/>
        <v>0.0295</v>
      </c>
      <c r="I5" s="36">
        <f t="shared" si="3"/>
        <v>1475</v>
      </c>
      <c r="J5" s="36">
        <f t="shared" si="4"/>
        <v>40541.80672</v>
      </c>
      <c r="K5" s="40">
        <f t="shared" si="5"/>
        <v>0.05</v>
      </c>
      <c r="L5" s="36">
        <f t="shared" si="6"/>
        <v>2027.090336</v>
      </c>
      <c r="M5" s="36">
        <f t="shared" si="7"/>
        <v>38514.71639</v>
      </c>
      <c r="N5" s="42"/>
      <c r="O5" s="42" t="s">
        <v>135</v>
      </c>
      <c r="P5" s="35" t="s">
        <v>140</v>
      </c>
      <c r="Q5" s="36">
        <f>SUM(L4:L103)</f>
        <v>77271.14328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42" t="s">
        <v>547</v>
      </c>
      <c r="B6" s="42" t="s">
        <v>146</v>
      </c>
      <c r="C6" s="42" t="s">
        <v>135</v>
      </c>
      <c r="D6" s="42" t="s">
        <v>53</v>
      </c>
      <c r="E6" s="49">
        <v>38000.0</v>
      </c>
      <c r="F6" s="42" t="s">
        <v>136</v>
      </c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38000</v>
      </c>
      <c r="K6" s="40">
        <f t="shared" si="5"/>
        <v>0</v>
      </c>
      <c r="L6" s="36">
        <f t="shared" si="6"/>
        <v>0</v>
      </c>
      <c r="M6" s="36">
        <f t="shared" si="7"/>
        <v>38000</v>
      </c>
      <c r="N6" s="42"/>
      <c r="O6" s="42" t="s">
        <v>508</v>
      </c>
      <c r="P6" s="35" t="s">
        <v>142</v>
      </c>
      <c r="Q6" s="36">
        <f>SUM(M4:M103)</f>
        <v>2438118.466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42" t="s">
        <v>548</v>
      </c>
      <c r="B7" s="42" t="s">
        <v>161</v>
      </c>
      <c r="C7" s="42" t="s">
        <v>52</v>
      </c>
      <c r="D7" s="42" t="s">
        <v>51</v>
      </c>
      <c r="E7" s="49">
        <v>23000.0</v>
      </c>
      <c r="F7" s="42" t="s">
        <v>176</v>
      </c>
      <c r="G7" s="36">
        <f t="shared" si="1"/>
        <v>3672.268908</v>
      </c>
      <c r="H7" s="40">
        <f t="shared" si="2"/>
        <v>0.0275</v>
      </c>
      <c r="I7" s="36">
        <f t="shared" si="3"/>
        <v>632.5</v>
      </c>
      <c r="J7" s="36">
        <f t="shared" si="4"/>
        <v>18695.23109</v>
      </c>
      <c r="K7" s="40">
        <f t="shared" si="5"/>
        <v>0.05</v>
      </c>
      <c r="L7" s="36">
        <f t="shared" si="6"/>
        <v>934.7615546</v>
      </c>
      <c r="M7" s="36">
        <f t="shared" si="7"/>
        <v>17760.46954</v>
      </c>
      <c r="N7" s="42"/>
      <c r="O7" s="42" t="s">
        <v>135</v>
      </c>
      <c r="P7" s="35" t="s">
        <v>144</v>
      </c>
      <c r="Q7" s="36">
        <f>COUNTA(E4:E103)</f>
        <v>69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42" t="s">
        <v>549</v>
      </c>
      <c r="B8" s="42">
        <v>38.0</v>
      </c>
      <c r="C8" s="42" t="s">
        <v>50</v>
      </c>
      <c r="D8" s="42" t="s">
        <v>51</v>
      </c>
      <c r="E8" s="49">
        <v>60000.0</v>
      </c>
      <c r="F8" s="42" t="s">
        <v>176</v>
      </c>
      <c r="G8" s="36">
        <f t="shared" si="1"/>
        <v>9579.831933</v>
      </c>
      <c r="H8" s="40">
        <f t="shared" si="2"/>
        <v>0.0275</v>
      </c>
      <c r="I8" s="36">
        <f t="shared" si="3"/>
        <v>1650</v>
      </c>
      <c r="J8" s="36">
        <f t="shared" si="4"/>
        <v>48770.16807</v>
      </c>
      <c r="K8" s="40">
        <f t="shared" si="5"/>
        <v>0.05</v>
      </c>
      <c r="L8" s="36">
        <f t="shared" si="6"/>
        <v>2438.508403</v>
      </c>
      <c r="M8" s="36">
        <f t="shared" si="7"/>
        <v>46331.65966</v>
      </c>
      <c r="N8" s="42"/>
      <c r="O8" s="42" t="s">
        <v>135</v>
      </c>
      <c r="P8" s="35" t="s">
        <v>148</v>
      </c>
      <c r="Q8" s="36">
        <f>IF(Q7=0,0,Q6/Q7)</f>
        <v>35335.05023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42" t="s">
        <v>550</v>
      </c>
      <c r="B9" s="42" t="s">
        <v>161</v>
      </c>
      <c r="C9" s="42" t="s">
        <v>135</v>
      </c>
      <c r="D9" s="42" t="s">
        <v>51</v>
      </c>
      <c r="E9" s="49">
        <v>20000.0</v>
      </c>
      <c r="F9" s="42" t="s">
        <v>136</v>
      </c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20000</v>
      </c>
      <c r="K9" s="40">
        <f t="shared" si="5"/>
        <v>0</v>
      </c>
      <c r="L9" s="36">
        <f t="shared" si="6"/>
        <v>0</v>
      </c>
      <c r="M9" s="36">
        <f t="shared" si="7"/>
        <v>20000</v>
      </c>
      <c r="N9" s="42"/>
      <c r="O9" s="42" t="s">
        <v>192</v>
      </c>
      <c r="P9" s="35" t="s">
        <v>151</v>
      </c>
      <c r="Q9" s="36">
        <f>SUMIF(F4:F103,"Débito",M4:M103)</f>
        <v>953700.6366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42" t="s">
        <v>551</v>
      </c>
      <c r="B10" s="42" t="s">
        <v>146</v>
      </c>
      <c r="C10" s="42" t="s">
        <v>49</v>
      </c>
      <c r="D10" s="42" t="s">
        <v>50</v>
      </c>
      <c r="E10" s="49">
        <v>25000.0</v>
      </c>
      <c r="F10" s="42" t="s">
        <v>176</v>
      </c>
      <c r="G10" s="36">
        <f t="shared" si="1"/>
        <v>3991.596639</v>
      </c>
      <c r="H10" s="40">
        <f t="shared" si="2"/>
        <v>0.0275</v>
      </c>
      <c r="I10" s="36">
        <f t="shared" si="3"/>
        <v>687.5</v>
      </c>
      <c r="J10" s="36">
        <f t="shared" si="4"/>
        <v>20320.90336</v>
      </c>
      <c r="K10" s="40">
        <f t="shared" si="5"/>
        <v>0.05</v>
      </c>
      <c r="L10" s="36">
        <f t="shared" si="6"/>
        <v>1016.045168</v>
      </c>
      <c r="M10" s="36">
        <f t="shared" si="7"/>
        <v>19304.85819</v>
      </c>
      <c r="N10" s="42"/>
      <c r="O10" s="42" t="s">
        <v>135</v>
      </c>
      <c r="P10" s="35" t="s">
        <v>153</v>
      </c>
      <c r="Q10" s="36">
        <f>SUMIF(F4:F103,"Crédito",M4:M103)</f>
        <v>384822.8294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42" t="s">
        <v>552</v>
      </c>
      <c r="B11" s="42" t="s">
        <v>146</v>
      </c>
      <c r="C11" s="42" t="s">
        <v>50</v>
      </c>
      <c r="D11" s="42" t="s">
        <v>50</v>
      </c>
      <c r="E11" s="49">
        <v>45000.0</v>
      </c>
      <c r="F11" s="42" t="s">
        <v>176</v>
      </c>
      <c r="G11" s="36">
        <f t="shared" si="1"/>
        <v>7184.87395</v>
      </c>
      <c r="H11" s="40">
        <f t="shared" si="2"/>
        <v>0.0275</v>
      </c>
      <c r="I11" s="36">
        <f t="shared" si="3"/>
        <v>1237.5</v>
      </c>
      <c r="J11" s="36">
        <f t="shared" si="4"/>
        <v>36577.62605</v>
      </c>
      <c r="K11" s="40">
        <f t="shared" si="5"/>
        <v>0.05</v>
      </c>
      <c r="L11" s="36">
        <f t="shared" si="6"/>
        <v>1828.881303</v>
      </c>
      <c r="M11" s="36">
        <f t="shared" si="7"/>
        <v>34748.74475</v>
      </c>
      <c r="N11" s="42"/>
      <c r="O11" s="42" t="s">
        <v>135</v>
      </c>
      <c r="P11" s="35" t="s">
        <v>156</v>
      </c>
      <c r="Q11" s="36">
        <f>SUMIF(F4:F103,"Efectivo",M4:M103)</f>
        <v>18600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42" t="s">
        <v>553</v>
      </c>
      <c r="B12" s="42" t="s">
        <v>146</v>
      </c>
      <c r="C12" s="42" t="s">
        <v>50</v>
      </c>
      <c r="D12" s="42" t="s">
        <v>50</v>
      </c>
      <c r="E12" s="49">
        <v>120000.0</v>
      </c>
      <c r="F12" s="42" t="s">
        <v>176</v>
      </c>
      <c r="G12" s="36">
        <f t="shared" si="1"/>
        <v>19159.66387</v>
      </c>
      <c r="H12" s="40">
        <f t="shared" si="2"/>
        <v>0.0275</v>
      </c>
      <c r="I12" s="36">
        <f t="shared" si="3"/>
        <v>3300</v>
      </c>
      <c r="J12" s="36">
        <f t="shared" si="4"/>
        <v>97540.33613</v>
      </c>
      <c r="K12" s="40">
        <f t="shared" si="5"/>
        <v>0.05</v>
      </c>
      <c r="L12" s="36">
        <f t="shared" si="6"/>
        <v>4877.016807</v>
      </c>
      <c r="M12" s="36">
        <f t="shared" si="7"/>
        <v>92663.31933</v>
      </c>
      <c r="N12" s="42"/>
      <c r="O12" s="42" t="s">
        <v>135</v>
      </c>
      <c r="P12" s="35" t="s">
        <v>158</v>
      </c>
      <c r="Q12" s="36">
        <f>SUMIF(F4:F103,"Transferencia",M4:M103)</f>
        <v>1080995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42" t="s">
        <v>33</v>
      </c>
      <c r="B13" s="42" t="s">
        <v>161</v>
      </c>
      <c r="C13" s="42" t="s">
        <v>135</v>
      </c>
      <c r="D13" s="38" t="s">
        <v>110</v>
      </c>
      <c r="E13" s="49">
        <v>45000.0</v>
      </c>
      <c r="F13" s="42" t="s">
        <v>176</v>
      </c>
      <c r="G13" s="36">
        <f t="shared" si="1"/>
        <v>7184.87395</v>
      </c>
      <c r="H13" s="40">
        <f t="shared" si="2"/>
        <v>0.0275</v>
      </c>
      <c r="I13" s="36">
        <f t="shared" si="3"/>
        <v>1237.5</v>
      </c>
      <c r="J13" s="36">
        <f t="shared" si="4"/>
        <v>36577.62605</v>
      </c>
      <c r="K13" s="40">
        <f t="shared" si="5"/>
        <v>0</v>
      </c>
      <c r="L13" s="36">
        <f t="shared" si="6"/>
        <v>0</v>
      </c>
      <c r="M13" s="36">
        <f t="shared" si="7"/>
        <v>36577.62605</v>
      </c>
      <c r="N13" s="42"/>
      <c r="O13" s="42" t="s">
        <v>500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42" t="s">
        <v>17</v>
      </c>
      <c r="B14" s="42" t="s">
        <v>161</v>
      </c>
      <c r="C14" s="42" t="s">
        <v>135</v>
      </c>
      <c r="D14" s="38" t="s">
        <v>110</v>
      </c>
      <c r="E14" s="49">
        <v>38000.0</v>
      </c>
      <c r="F14" s="42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38000</v>
      </c>
      <c r="K14" s="40">
        <f t="shared" si="5"/>
        <v>0</v>
      </c>
      <c r="L14" s="36">
        <f t="shared" si="6"/>
        <v>0</v>
      </c>
      <c r="M14" s="36">
        <f t="shared" si="7"/>
        <v>38000</v>
      </c>
      <c r="N14" s="42"/>
      <c r="O14" s="42" t="s">
        <v>508</v>
      </c>
      <c r="P14" s="35" t="s">
        <v>164</v>
      </c>
      <c r="Q14" s="36">
        <f>SUMIF(F4:F103,"Débito",M4:M103)+SUMIF(F4:F103,"Crédito",M4:M103)+SUMIF(F4:F103,"Transferencia",M4:M103)</f>
        <v>2419518.466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42" t="s">
        <v>554</v>
      </c>
      <c r="B15" s="42" t="s">
        <v>161</v>
      </c>
      <c r="C15" s="42" t="s">
        <v>135</v>
      </c>
      <c r="D15" s="38" t="s">
        <v>110</v>
      </c>
      <c r="E15" s="49">
        <v>40000.0</v>
      </c>
      <c r="F15" s="42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40000</v>
      </c>
      <c r="K15" s="40">
        <f t="shared" si="5"/>
        <v>0</v>
      </c>
      <c r="L15" s="36">
        <f t="shared" si="6"/>
        <v>0</v>
      </c>
      <c r="M15" s="36">
        <f t="shared" si="7"/>
        <v>40000</v>
      </c>
      <c r="N15" s="42"/>
      <c r="O15" s="42" t="s">
        <v>500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42" t="s">
        <v>555</v>
      </c>
      <c r="B16" s="42" t="s">
        <v>146</v>
      </c>
      <c r="C16" s="42" t="s">
        <v>52</v>
      </c>
      <c r="D16" s="42" t="s">
        <v>109</v>
      </c>
      <c r="E16" s="49">
        <v>31500.0</v>
      </c>
      <c r="F16" s="42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31500</v>
      </c>
      <c r="K16" s="40">
        <f t="shared" si="5"/>
        <v>0.07</v>
      </c>
      <c r="L16" s="36">
        <f t="shared" si="6"/>
        <v>2205</v>
      </c>
      <c r="M16" s="36">
        <f t="shared" si="7"/>
        <v>29295</v>
      </c>
      <c r="N16" s="42"/>
      <c r="O16" s="42" t="s">
        <v>135</v>
      </c>
      <c r="P16" s="35" t="s">
        <v>170</v>
      </c>
      <c r="Q16" s="36">
        <f>Q3-Q15</f>
        <v>272226.8908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42" t="s">
        <v>550</v>
      </c>
      <c r="B17" s="42" t="s">
        <v>262</v>
      </c>
      <c r="C17" s="42" t="s">
        <v>135</v>
      </c>
      <c r="D17" s="38" t="s">
        <v>110</v>
      </c>
      <c r="E17" s="49">
        <v>20000.0</v>
      </c>
      <c r="F17" s="42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20000</v>
      </c>
      <c r="K17" s="40">
        <f t="shared" si="5"/>
        <v>0</v>
      </c>
      <c r="L17" s="36">
        <f t="shared" si="6"/>
        <v>0</v>
      </c>
      <c r="M17" s="36">
        <f t="shared" si="7"/>
        <v>20000</v>
      </c>
      <c r="N17" s="42"/>
      <c r="O17" s="42" t="s">
        <v>192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42" t="s">
        <v>556</v>
      </c>
      <c r="B18" s="42" t="s">
        <v>146</v>
      </c>
      <c r="C18" s="42" t="s">
        <v>135</v>
      </c>
      <c r="D18" s="38" t="s">
        <v>110</v>
      </c>
      <c r="E18" s="49">
        <v>40000.0</v>
      </c>
      <c r="F18" s="42" t="s">
        <v>176</v>
      </c>
      <c r="G18" s="36">
        <f t="shared" si="1"/>
        <v>6386.554622</v>
      </c>
      <c r="H18" s="40">
        <f t="shared" si="2"/>
        <v>0.0275</v>
      </c>
      <c r="I18" s="36">
        <f t="shared" si="3"/>
        <v>1100</v>
      </c>
      <c r="J18" s="36">
        <f t="shared" si="4"/>
        <v>32513.44538</v>
      </c>
      <c r="K18" s="40">
        <f t="shared" si="5"/>
        <v>0</v>
      </c>
      <c r="L18" s="36">
        <f t="shared" si="6"/>
        <v>0</v>
      </c>
      <c r="M18" s="36">
        <f t="shared" si="7"/>
        <v>32513.44538</v>
      </c>
      <c r="N18" s="42"/>
      <c r="O18" s="42" t="s">
        <v>500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42" t="s">
        <v>557</v>
      </c>
      <c r="B19" s="42" t="s">
        <v>161</v>
      </c>
      <c r="C19" s="42" t="s">
        <v>135</v>
      </c>
      <c r="D19" s="38" t="s">
        <v>110</v>
      </c>
      <c r="E19" s="49">
        <v>30000.0</v>
      </c>
      <c r="F19" s="42" t="s">
        <v>176</v>
      </c>
      <c r="G19" s="36">
        <f t="shared" si="1"/>
        <v>4789.915966</v>
      </c>
      <c r="H19" s="40">
        <f t="shared" si="2"/>
        <v>0.0275</v>
      </c>
      <c r="I19" s="36">
        <f t="shared" si="3"/>
        <v>825</v>
      </c>
      <c r="J19" s="36">
        <f t="shared" si="4"/>
        <v>24385.08403</v>
      </c>
      <c r="K19" s="40">
        <f t="shared" si="5"/>
        <v>0</v>
      </c>
      <c r="L19" s="36">
        <f t="shared" si="6"/>
        <v>0</v>
      </c>
      <c r="M19" s="36">
        <f t="shared" si="7"/>
        <v>24385.08403</v>
      </c>
      <c r="N19" s="42"/>
      <c r="O19" s="42" t="s">
        <v>500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42" t="s">
        <v>558</v>
      </c>
      <c r="B20" s="42" t="s">
        <v>161</v>
      </c>
      <c r="C20" s="42" t="s">
        <v>53</v>
      </c>
      <c r="D20" s="42" t="s">
        <v>109</v>
      </c>
      <c r="E20" s="49">
        <v>28000.0</v>
      </c>
      <c r="F20" s="42" t="s">
        <v>176</v>
      </c>
      <c r="G20" s="36">
        <f t="shared" si="1"/>
        <v>4470.588235</v>
      </c>
      <c r="H20" s="40">
        <f t="shared" si="2"/>
        <v>0.0275</v>
      </c>
      <c r="I20" s="36">
        <f t="shared" si="3"/>
        <v>770</v>
      </c>
      <c r="J20" s="36">
        <f t="shared" si="4"/>
        <v>22759.41176</v>
      </c>
      <c r="K20" s="40">
        <f t="shared" si="5"/>
        <v>0.05</v>
      </c>
      <c r="L20" s="36">
        <f t="shared" si="6"/>
        <v>1137.970588</v>
      </c>
      <c r="M20" s="36">
        <f t="shared" si="7"/>
        <v>21621.44118</v>
      </c>
      <c r="N20" s="42"/>
      <c r="O20" s="42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42" t="s">
        <v>559</v>
      </c>
      <c r="B21" s="42" t="s">
        <v>161</v>
      </c>
      <c r="C21" s="42" t="s">
        <v>53</v>
      </c>
      <c r="D21" s="42" t="s">
        <v>109</v>
      </c>
      <c r="E21" s="49">
        <v>45000.0</v>
      </c>
      <c r="F21" s="42" t="s">
        <v>176</v>
      </c>
      <c r="G21" s="36">
        <f t="shared" si="1"/>
        <v>7184.87395</v>
      </c>
      <c r="H21" s="40">
        <f t="shared" si="2"/>
        <v>0.0275</v>
      </c>
      <c r="I21" s="36">
        <f t="shared" si="3"/>
        <v>1237.5</v>
      </c>
      <c r="J21" s="36">
        <f t="shared" si="4"/>
        <v>36577.62605</v>
      </c>
      <c r="K21" s="40">
        <f t="shared" si="5"/>
        <v>0.05</v>
      </c>
      <c r="L21" s="36">
        <f t="shared" si="6"/>
        <v>1828.881303</v>
      </c>
      <c r="M21" s="36">
        <f t="shared" si="7"/>
        <v>34748.74475</v>
      </c>
      <c r="N21" s="42"/>
      <c r="O21" s="42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42" t="s">
        <v>560</v>
      </c>
      <c r="B22" s="42" t="s">
        <v>161</v>
      </c>
      <c r="C22" s="42" t="s">
        <v>135</v>
      </c>
      <c r="D22" s="38" t="s">
        <v>110</v>
      </c>
      <c r="E22" s="49">
        <v>20000.0</v>
      </c>
      <c r="F22" s="42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20000</v>
      </c>
      <c r="K22" s="40">
        <f t="shared" si="5"/>
        <v>0</v>
      </c>
      <c r="L22" s="36">
        <f t="shared" si="6"/>
        <v>0</v>
      </c>
      <c r="M22" s="36">
        <f t="shared" si="7"/>
        <v>20000</v>
      </c>
      <c r="N22" s="42"/>
      <c r="O22" s="42" t="s">
        <v>192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42" t="s">
        <v>561</v>
      </c>
      <c r="B23" s="42" t="s">
        <v>146</v>
      </c>
      <c r="C23" s="42" t="s">
        <v>51</v>
      </c>
      <c r="D23" s="42" t="s">
        <v>53</v>
      </c>
      <c r="E23" s="49">
        <v>60000.0</v>
      </c>
      <c r="F23" s="42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60000</v>
      </c>
      <c r="K23" s="40">
        <f t="shared" si="5"/>
        <v>0.07</v>
      </c>
      <c r="L23" s="36">
        <f t="shared" si="6"/>
        <v>4200</v>
      </c>
      <c r="M23" s="36">
        <f t="shared" si="7"/>
        <v>55800</v>
      </c>
      <c r="N23" s="42"/>
      <c r="O23" s="42" t="s">
        <v>135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42" t="s">
        <v>547</v>
      </c>
      <c r="B24" s="42" t="s">
        <v>161</v>
      </c>
      <c r="C24" s="42" t="s">
        <v>135</v>
      </c>
      <c r="D24" s="42" t="s">
        <v>53</v>
      </c>
      <c r="E24" s="49">
        <v>35000.0</v>
      </c>
      <c r="F24" s="42" t="s">
        <v>176</v>
      </c>
      <c r="G24" s="36">
        <f t="shared" si="1"/>
        <v>5588.235294</v>
      </c>
      <c r="H24" s="40">
        <f t="shared" si="2"/>
        <v>0.0275</v>
      </c>
      <c r="I24" s="36">
        <f t="shared" si="3"/>
        <v>962.5</v>
      </c>
      <c r="J24" s="36">
        <f t="shared" si="4"/>
        <v>28449.26471</v>
      </c>
      <c r="K24" s="40">
        <f t="shared" si="5"/>
        <v>0</v>
      </c>
      <c r="L24" s="36">
        <f t="shared" si="6"/>
        <v>0</v>
      </c>
      <c r="M24" s="36">
        <f t="shared" si="7"/>
        <v>28449.26471</v>
      </c>
      <c r="N24" s="42"/>
      <c r="O24" s="42" t="s">
        <v>500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42" t="s">
        <v>562</v>
      </c>
      <c r="B25" s="42" t="s">
        <v>227</v>
      </c>
      <c r="C25" s="42" t="s">
        <v>135</v>
      </c>
      <c r="D25" s="42" t="s">
        <v>53</v>
      </c>
      <c r="E25" s="49">
        <v>20000.0</v>
      </c>
      <c r="F25" s="42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20000</v>
      </c>
      <c r="K25" s="40">
        <f t="shared" si="5"/>
        <v>0</v>
      </c>
      <c r="L25" s="36">
        <f t="shared" si="6"/>
        <v>0</v>
      </c>
      <c r="M25" s="36">
        <f t="shared" si="7"/>
        <v>20000</v>
      </c>
      <c r="N25" s="42"/>
      <c r="O25" s="42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42" t="s">
        <v>563</v>
      </c>
      <c r="B26" s="42" t="s">
        <v>161</v>
      </c>
      <c r="C26" s="42" t="s">
        <v>52</v>
      </c>
      <c r="D26" s="42" t="s">
        <v>109</v>
      </c>
      <c r="E26" s="49">
        <v>30000.0</v>
      </c>
      <c r="F26" s="42" t="s">
        <v>176</v>
      </c>
      <c r="G26" s="36">
        <f t="shared" si="1"/>
        <v>4789.915966</v>
      </c>
      <c r="H26" s="40">
        <f t="shared" si="2"/>
        <v>0.0275</v>
      </c>
      <c r="I26" s="36">
        <f t="shared" si="3"/>
        <v>825</v>
      </c>
      <c r="J26" s="36">
        <f t="shared" si="4"/>
        <v>24385.08403</v>
      </c>
      <c r="K26" s="40">
        <f t="shared" si="5"/>
        <v>0.05</v>
      </c>
      <c r="L26" s="36">
        <f t="shared" si="6"/>
        <v>1219.254202</v>
      </c>
      <c r="M26" s="36">
        <f t="shared" si="7"/>
        <v>23165.82983</v>
      </c>
      <c r="N26" s="42"/>
      <c r="O26" s="42" t="s">
        <v>135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42" t="s">
        <v>564</v>
      </c>
      <c r="B27" s="42" t="s">
        <v>161</v>
      </c>
      <c r="C27" s="42" t="s">
        <v>49</v>
      </c>
      <c r="D27" s="42" t="s">
        <v>109</v>
      </c>
      <c r="E27" s="49">
        <v>100000.0</v>
      </c>
      <c r="F27" s="42" t="s">
        <v>176</v>
      </c>
      <c r="G27" s="36">
        <f t="shared" si="1"/>
        <v>15966.38655</v>
      </c>
      <c r="H27" s="40">
        <f t="shared" si="2"/>
        <v>0.0275</v>
      </c>
      <c r="I27" s="36">
        <f t="shared" si="3"/>
        <v>2750</v>
      </c>
      <c r="J27" s="36">
        <f t="shared" si="4"/>
        <v>81283.61345</v>
      </c>
      <c r="K27" s="40">
        <f t="shared" si="5"/>
        <v>0.05</v>
      </c>
      <c r="L27" s="36">
        <f t="shared" si="6"/>
        <v>4064.180672</v>
      </c>
      <c r="M27" s="36">
        <f t="shared" si="7"/>
        <v>77219.43277</v>
      </c>
      <c r="N27" s="42"/>
      <c r="O27" s="42" t="s">
        <v>135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42" t="s">
        <v>565</v>
      </c>
      <c r="B28" s="42" t="s">
        <v>146</v>
      </c>
      <c r="C28" s="42" t="s">
        <v>52</v>
      </c>
      <c r="D28" s="42" t="s">
        <v>109</v>
      </c>
      <c r="E28" s="49">
        <v>50000.0</v>
      </c>
      <c r="F28" s="42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50000</v>
      </c>
      <c r="K28" s="40">
        <f t="shared" si="5"/>
        <v>0.07</v>
      </c>
      <c r="L28" s="36">
        <f t="shared" si="6"/>
        <v>3500</v>
      </c>
      <c r="M28" s="36">
        <f t="shared" si="7"/>
        <v>46500</v>
      </c>
      <c r="N28" s="42"/>
      <c r="O28" s="42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42" t="s">
        <v>566</v>
      </c>
      <c r="B29" s="42" t="s">
        <v>161</v>
      </c>
      <c r="C29" s="42" t="s">
        <v>135</v>
      </c>
      <c r="D29" s="42" t="s">
        <v>50</v>
      </c>
      <c r="E29" s="49">
        <v>40000.0</v>
      </c>
      <c r="F29" s="42" t="s">
        <v>176</v>
      </c>
      <c r="G29" s="36">
        <f t="shared" si="1"/>
        <v>6386.554622</v>
      </c>
      <c r="H29" s="40">
        <f t="shared" si="2"/>
        <v>0.0275</v>
      </c>
      <c r="I29" s="36">
        <f t="shared" si="3"/>
        <v>1100</v>
      </c>
      <c r="J29" s="36">
        <f t="shared" si="4"/>
        <v>32513.44538</v>
      </c>
      <c r="K29" s="40">
        <f t="shared" si="5"/>
        <v>0</v>
      </c>
      <c r="L29" s="36">
        <f t="shared" si="6"/>
        <v>0</v>
      </c>
      <c r="M29" s="36">
        <f t="shared" si="7"/>
        <v>32513.44538</v>
      </c>
      <c r="N29" s="42"/>
      <c r="O29" s="42" t="s">
        <v>500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42" t="s">
        <v>567</v>
      </c>
      <c r="B30" s="42" t="s">
        <v>161</v>
      </c>
      <c r="C30" s="42" t="s">
        <v>52</v>
      </c>
      <c r="D30" s="42" t="s">
        <v>109</v>
      </c>
      <c r="E30" s="49">
        <v>250000.0</v>
      </c>
      <c r="F30" s="42" t="s">
        <v>213</v>
      </c>
      <c r="G30" s="36">
        <f t="shared" si="1"/>
        <v>39915.96639</v>
      </c>
      <c r="H30" s="40">
        <f t="shared" si="2"/>
        <v>0.0295</v>
      </c>
      <c r="I30" s="36">
        <f t="shared" si="3"/>
        <v>7375</v>
      </c>
      <c r="J30" s="36">
        <f t="shared" si="4"/>
        <v>202709.0336</v>
      </c>
      <c r="K30" s="40">
        <f t="shared" si="5"/>
        <v>0.05</v>
      </c>
      <c r="L30" s="36">
        <f t="shared" si="6"/>
        <v>10135.45168</v>
      </c>
      <c r="M30" s="36">
        <f t="shared" si="7"/>
        <v>192573.5819</v>
      </c>
      <c r="N30" s="42"/>
      <c r="O30" s="42" t="s">
        <v>135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42" t="s">
        <v>568</v>
      </c>
      <c r="B31" s="42" t="s">
        <v>262</v>
      </c>
      <c r="C31" s="42" t="s">
        <v>135</v>
      </c>
      <c r="D31" s="42" t="s">
        <v>50</v>
      </c>
      <c r="E31" s="49">
        <v>40000.0</v>
      </c>
      <c r="F31" s="42" t="s">
        <v>176</v>
      </c>
      <c r="G31" s="36">
        <f t="shared" si="1"/>
        <v>6386.554622</v>
      </c>
      <c r="H31" s="40">
        <f t="shared" si="2"/>
        <v>0.0275</v>
      </c>
      <c r="I31" s="36">
        <f t="shared" si="3"/>
        <v>1100</v>
      </c>
      <c r="J31" s="36">
        <f t="shared" si="4"/>
        <v>32513.44538</v>
      </c>
      <c r="K31" s="40">
        <f t="shared" si="5"/>
        <v>0</v>
      </c>
      <c r="L31" s="36">
        <f t="shared" si="6"/>
        <v>0</v>
      </c>
      <c r="M31" s="36">
        <f t="shared" si="7"/>
        <v>32513.44538</v>
      </c>
      <c r="N31" s="42"/>
      <c r="O31" s="42" t="s">
        <v>500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42" t="s">
        <v>569</v>
      </c>
      <c r="B32" s="42" t="s">
        <v>262</v>
      </c>
      <c r="C32" s="42" t="s">
        <v>135</v>
      </c>
      <c r="D32" s="42" t="s">
        <v>50</v>
      </c>
      <c r="E32" s="49">
        <v>40000.0</v>
      </c>
      <c r="F32" s="42" t="s">
        <v>176</v>
      </c>
      <c r="G32" s="36">
        <f t="shared" si="1"/>
        <v>6386.554622</v>
      </c>
      <c r="H32" s="40">
        <f t="shared" si="2"/>
        <v>0.0275</v>
      </c>
      <c r="I32" s="36">
        <f t="shared" si="3"/>
        <v>1100</v>
      </c>
      <c r="J32" s="36">
        <f t="shared" si="4"/>
        <v>32513.44538</v>
      </c>
      <c r="K32" s="40">
        <f t="shared" si="5"/>
        <v>0</v>
      </c>
      <c r="L32" s="36">
        <f t="shared" si="6"/>
        <v>0</v>
      </c>
      <c r="M32" s="36">
        <f t="shared" si="7"/>
        <v>32513.44538</v>
      </c>
      <c r="N32" s="42"/>
      <c r="O32" s="42" t="s">
        <v>500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42" t="s">
        <v>570</v>
      </c>
      <c r="B33" s="42">
        <v>1.0</v>
      </c>
      <c r="C33" s="42" t="s">
        <v>51</v>
      </c>
      <c r="D33" s="42" t="s">
        <v>109</v>
      </c>
      <c r="E33" s="49">
        <v>65000.0</v>
      </c>
      <c r="F33" s="42" t="s">
        <v>176</v>
      </c>
      <c r="G33" s="36">
        <f t="shared" si="1"/>
        <v>10378.15126</v>
      </c>
      <c r="H33" s="40">
        <f t="shared" si="2"/>
        <v>0.0275</v>
      </c>
      <c r="I33" s="36">
        <f t="shared" si="3"/>
        <v>1787.5</v>
      </c>
      <c r="J33" s="36">
        <f t="shared" si="4"/>
        <v>52834.34874</v>
      </c>
      <c r="K33" s="40">
        <f t="shared" si="5"/>
        <v>0.05</v>
      </c>
      <c r="L33" s="36">
        <f t="shared" si="6"/>
        <v>2641.717437</v>
      </c>
      <c r="M33" s="36">
        <f t="shared" si="7"/>
        <v>50192.6313</v>
      </c>
      <c r="N33" s="42"/>
      <c r="O33" s="42" t="s">
        <v>135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42" t="s">
        <v>571</v>
      </c>
      <c r="B34" s="42">
        <v>32.0</v>
      </c>
      <c r="C34" s="42" t="s">
        <v>53</v>
      </c>
      <c r="D34" s="42" t="s">
        <v>109</v>
      </c>
      <c r="E34" s="49">
        <v>35000.0</v>
      </c>
      <c r="F34" s="42" t="s">
        <v>176</v>
      </c>
      <c r="G34" s="36">
        <f t="shared" si="1"/>
        <v>5588.235294</v>
      </c>
      <c r="H34" s="40">
        <f t="shared" si="2"/>
        <v>0.0275</v>
      </c>
      <c r="I34" s="36">
        <f t="shared" si="3"/>
        <v>962.5</v>
      </c>
      <c r="J34" s="36">
        <f t="shared" si="4"/>
        <v>28449.26471</v>
      </c>
      <c r="K34" s="40">
        <f t="shared" si="5"/>
        <v>0.05</v>
      </c>
      <c r="L34" s="36">
        <f t="shared" si="6"/>
        <v>1422.463235</v>
      </c>
      <c r="M34" s="36">
        <f t="shared" si="7"/>
        <v>27026.80147</v>
      </c>
      <c r="N34" s="42"/>
      <c r="O34" s="42" t="s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42" t="s">
        <v>572</v>
      </c>
      <c r="B35" s="42" t="s">
        <v>161</v>
      </c>
      <c r="C35" s="42" t="s">
        <v>52</v>
      </c>
      <c r="D35" s="42" t="s">
        <v>53</v>
      </c>
      <c r="E35" s="49">
        <v>25000.0</v>
      </c>
      <c r="F35" s="42" t="s">
        <v>176</v>
      </c>
      <c r="G35" s="36">
        <f t="shared" si="1"/>
        <v>3991.596639</v>
      </c>
      <c r="H35" s="40">
        <f t="shared" si="2"/>
        <v>0.0275</v>
      </c>
      <c r="I35" s="36">
        <f t="shared" si="3"/>
        <v>687.5</v>
      </c>
      <c r="J35" s="36">
        <f t="shared" si="4"/>
        <v>20320.90336</v>
      </c>
      <c r="K35" s="40">
        <f t="shared" si="5"/>
        <v>0.05</v>
      </c>
      <c r="L35" s="36">
        <f t="shared" si="6"/>
        <v>1016.045168</v>
      </c>
      <c r="M35" s="36">
        <f t="shared" si="7"/>
        <v>19304.85819</v>
      </c>
      <c r="N35" s="42"/>
      <c r="O35" s="42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42" t="s">
        <v>573</v>
      </c>
      <c r="B36" s="42" t="s">
        <v>146</v>
      </c>
      <c r="C36" s="42" t="s">
        <v>49</v>
      </c>
      <c r="D36" s="42" t="s">
        <v>53</v>
      </c>
      <c r="E36" s="49">
        <v>35000.0</v>
      </c>
      <c r="F36" s="42" t="s">
        <v>213</v>
      </c>
      <c r="G36" s="36">
        <f t="shared" si="1"/>
        <v>5588.235294</v>
      </c>
      <c r="H36" s="40">
        <f t="shared" si="2"/>
        <v>0.0295</v>
      </c>
      <c r="I36" s="36">
        <f t="shared" si="3"/>
        <v>1032.5</v>
      </c>
      <c r="J36" s="36">
        <f t="shared" si="4"/>
        <v>28379.26471</v>
      </c>
      <c r="K36" s="40">
        <f t="shared" si="5"/>
        <v>0.05</v>
      </c>
      <c r="L36" s="36">
        <f t="shared" si="6"/>
        <v>1418.963235</v>
      </c>
      <c r="M36" s="36">
        <f t="shared" si="7"/>
        <v>26960.30147</v>
      </c>
      <c r="N36" s="42"/>
      <c r="O36" s="42" t="s">
        <v>135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42" t="s">
        <v>574</v>
      </c>
      <c r="B37" s="42" t="s">
        <v>161</v>
      </c>
      <c r="C37" s="42" t="s">
        <v>135</v>
      </c>
      <c r="D37" s="42" t="s">
        <v>53</v>
      </c>
      <c r="E37" s="49">
        <v>30000.0</v>
      </c>
      <c r="F37" s="42" t="s">
        <v>213</v>
      </c>
      <c r="G37" s="36">
        <f t="shared" si="1"/>
        <v>4789.915966</v>
      </c>
      <c r="H37" s="40">
        <f t="shared" si="2"/>
        <v>0.0295</v>
      </c>
      <c r="I37" s="36">
        <f t="shared" si="3"/>
        <v>885</v>
      </c>
      <c r="J37" s="36">
        <f t="shared" si="4"/>
        <v>24325.08403</v>
      </c>
      <c r="K37" s="40">
        <f t="shared" si="5"/>
        <v>0</v>
      </c>
      <c r="L37" s="36">
        <f t="shared" si="6"/>
        <v>0</v>
      </c>
      <c r="M37" s="36">
        <f t="shared" si="7"/>
        <v>24325.08403</v>
      </c>
      <c r="N37" s="42"/>
      <c r="O37" s="42" t="s">
        <v>500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42" t="s">
        <v>575</v>
      </c>
      <c r="B38" s="42" t="s">
        <v>262</v>
      </c>
      <c r="C38" s="42" t="s">
        <v>135</v>
      </c>
      <c r="D38" s="42" t="s">
        <v>53</v>
      </c>
      <c r="E38" s="49">
        <v>38000.0</v>
      </c>
      <c r="F38" s="42" t="s">
        <v>136</v>
      </c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38000</v>
      </c>
      <c r="K38" s="40">
        <f t="shared" si="5"/>
        <v>0</v>
      </c>
      <c r="L38" s="36">
        <f t="shared" si="6"/>
        <v>0</v>
      </c>
      <c r="M38" s="36">
        <f t="shared" si="7"/>
        <v>38000</v>
      </c>
      <c r="N38" s="42"/>
      <c r="O38" s="42" t="s">
        <v>508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42" t="s">
        <v>576</v>
      </c>
      <c r="B39" s="42" t="s">
        <v>262</v>
      </c>
      <c r="C39" s="42" t="s">
        <v>53</v>
      </c>
      <c r="D39" s="42" t="s">
        <v>53</v>
      </c>
      <c r="E39" s="49">
        <v>20000.0</v>
      </c>
      <c r="F39" s="42" t="s">
        <v>213</v>
      </c>
      <c r="G39" s="36">
        <f t="shared" si="1"/>
        <v>3193.277311</v>
      </c>
      <c r="H39" s="40">
        <f t="shared" si="2"/>
        <v>0.0295</v>
      </c>
      <c r="I39" s="36">
        <f t="shared" si="3"/>
        <v>590</v>
      </c>
      <c r="J39" s="36">
        <f t="shared" si="4"/>
        <v>16216.72269</v>
      </c>
      <c r="K39" s="40">
        <f t="shared" si="5"/>
        <v>0.05</v>
      </c>
      <c r="L39" s="36">
        <f t="shared" si="6"/>
        <v>810.8361345</v>
      </c>
      <c r="M39" s="36">
        <f t="shared" si="7"/>
        <v>15405.88655</v>
      </c>
      <c r="N39" s="42"/>
      <c r="O39" s="42" t="s">
        <v>135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42" t="s">
        <v>577</v>
      </c>
      <c r="B40" s="42" t="s">
        <v>161</v>
      </c>
      <c r="C40" s="42" t="s">
        <v>135</v>
      </c>
      <c r="D40" s="42" t="s">
        <v>51</v>
      </c>
      <c r="E40" s="49">
        <v>23000.0</v>
      </c>
      <c r="F40" s="42" t="s">
        <v>176</v>
      </c>
      <c r="G40" s="36">
        <f t="shared" si="1"/>
        <v>3672.268908</v>
      </c>
      <c r="H40" s="40">
        <f t="shared" si="2"/>
        <v>0.0275</v>
      </c>
      <c r="I40" s="36">
        <f t="shared" si="3"/>
        <v>632.5</v>
      </c>
      <c r="J40" s="36">
        <f t="shared" si="4"/>
        <v>18695.23109</v>
      </c>
      <c r="K40" s="40">
        <f t="shared" si="5"/>
        <v>0</v>
      </c>
      <c r="L40" s="36">
        <f t="shared" si="6"/>
        <v>0</v>
      </c>
      <c r="M40" s="36">
        <f t="shared" si="7"/>
        <v>18695.23109</v>
      </c>
      <c r="N40" s="42"/>
      <c r="O40" s="42" t="s">
        <v>500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42" t="s">
        <v>578</v>
      </c>
      <c r="B41" s="42" t="s">
        <v>146</v>
      </c>
      <c r="C41" s="42" t="s">
        <v>53</v>
      </c>
      <c r="D41" s="42" t="s">
        <v>110</v>
      </c>
      <c r="E41" s="49">
        <v>75000.0</v>
      </c>
      <c r="F41" s="42" t="s">
        <v>136</v>
      </c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75000</v>
      </c>
      <c r="K41" s="40">
        <f t="shared" si="5"/>
        <v>0.07</v>
      </c>
      <c r="L41" s="36">
        <f t="shared" si="6"/>
        <v>5250</v>
      </c>
      <c r="M41" s="36">
        <f t="shared" si="7"/>
        <v>69750</v>
      </c>
      <c r="N41" s="42"/>
      <c r="O41" s="42" t="s">
        <v>135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42" t="s">
        <v>579</v>
      </c>
      <c r="B42" s="42" t="s">
        <v>262</v>
      </c>
      <c r="C42" s="42" t="s">
        <v>135</v>
      </c>
      <c r="D42" s="42" t="s">
        <v>51</v>
      </c>
      <c r="E42" s="49">
        <v>75000.0</v>
      </c>
      <c r="F42" s="42" t="s">
        <v>136</v>
      </c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75000</v>
      </c>
      <c r="K42" s="40">
        <f t="shared" si="5"/>
        <v>0</v>
      </c>
      <c r="L42" s="36">
        <f t="shared" si="6"/>
        <v>0</v>
      </c>
      <c r="M42" s="36">
        <f t="shared" si="7"/>
        <v>75000</v>
      </c>
      <c r="N42" s="42"/>
      <c r="O42" s="42" t="s">
        <v>192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42" t="s">
        <v>580</v>
      </c>
      <c r="B43" s="42" t="s">
        <v>161</v>
      </c>
      <c r="C43" s="42" t="s">
        <v>135</v>
      </c>
      <c r="D43" s="42" t="s">
        <v>51</v>
      </c>
      <c r="E43" s="49">
        <v>20000.0</v>
      </c>
      <c r="F43" s="42" t="s">
        <v>136</v>
      </c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20000</v>
      </c>
      <c r="K43" s="40">
        <f t="shared" si="5"/>
        <v>0</v>
      </c>
      <c r="L43" s="36">
        <f t="shared" si="6"/>
        <v>0</v>
      </c>
      <c r="M43" s="36">
        <f t="shared" si="7"/>
        <v>20000</v>
      </c>
      <c r="N43" s="42"/>
      <c r="O43" s="42" t="s">
        <v>192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42" t="s">
        <v>580</v>
      </c>
      <c r="B44" s="42" t="s">
        <v>161</v>
      </c>
      <c r="C44" s="42" t="s">
        <v>135</v>
      </c>
      <c r="D44" s="42" t="s">
        <v>51</v>
      </c>
      <c r="E44" s="49">
        <v>20000.0</v>
      </c>
      <c r="F44" s="42" t="s">
        <v>136</v>
      </c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20000</v>
      </c>
      <c r="K44" s="40">
        <f t="shared" si="5"/>
        <v>0</v>
      </c>
      <c r="L44" s="36">
        <f t="shared" si="6"/>
        <v>0</v>
      </c>
      <c r="M44" s="36">
        <f t="shared" si="7"/>
        <v>20000</v>
      </c>
      <c r="N44" s="42"/>
      <c r="O44" s="42" t="s">
        <v>192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42" t="s">
        <v>580</v>
      </c>
      <c r="B45" s="42" t="s">
        <v>227</v>
      </c>
      <c r="C45" s="42" t="s">
        <v>135</v>
      </c>
      <c r="D45" s="42" t="s">
        <v>51</v>
      </c>
      <c r="E45" s="49">
        <v>20000.0</v>
      </c>
      <c r="F45" s="42" t="s">
        <v>136</v>
      </c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20000</v>
      </c>
      <c r="K45" s="40">
        <f t="shared" si="5"/>
        <v>0</v>
      </c>
      <c r="L45" s="36">
        <f t="shared" si="6"/>
        <v>0</v>
      </c>
      <c r="M45" s="36">
        <f t="shared" si="7"/>
        <v>20000</v>
      </c>
      <c r="N45" s="42"/>
      <c r="O45" s="42" t="s">
        <v>192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42" t="s">
        <v>580</v>
      </c>
      <c r="B46" s="42" t="s">
        <v>161</v>
      </c>
      <c r="C46" s="42" t="s">
        <v>135</v>
      </c>
      <c r="D46" s="42" t="s">
        <v>51</v>
      </c>
      <c r="E46" s="49">
        <v>20000.0</v>
      </c>
      <c r="F46" s="42" t="s">
        <v>136</v>
      </c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20000</v>
      </c>
      <c r="K46" s="40">
        <f t="shared" si="5"/>
        <v>0</v>
      </c>
      <c r="L46" s="36">
        <f t="shared" si="6"/>
        <v>0</v>
      </c>
      <c r="M46" s="36">
        <f t="shared" si="7"/>
        <v>20000</v>
      </c>
      <c r="N46" s="42"/>
      <c r="O46" s="42" t="s">
        <v>192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42" t="s">
        <v>580</v>
      </c>
      <c r="B47" s="42" t="s">
        <v>262</v>
      </c>
      <c r="C47" s="42" t="s">
        <v>135</v>
      </c>
      <c r="D47" s="42" t="s">
        <v>51</v>
      </c>
      <c r="E47" s="49">
        <v>20000.0</v>
      </c>
      <c r="F47" s="42" t="s">
        <v>136</v>
      </c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20000</v>
      </c>
      <c r="K47" s="40">
        <f t="shared" si="5"/>
        <v>0</v>
      </c>
      <c r="L47" s="36">
        <f t="shared" si="6"/>
        <v>0</v>
      </c>
      <c r="M47" s="36">
        <f t="shared" si="7"/>
        <v>20000</v>
      </c>
      <c r="N47" s="42"/>
      <c r="O47" s="42" t="s">
        <v>192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42" t="s">
        <v>581</v>
      </c>
      <c r="B48" s="42" t="s">
        <v>262</v>
      </c>
      <c r="C48" s="42" t="s">
        <v>135</v>
      </c>
      <c r="D48" s="42" t="s">
        <v>51</v>
      </c>
      <c r="E48" s="49">
        <v>20000.0</v>
      </c>
      <c r="F48" s="42" t="s">
        <v>136</v>
      </c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20000</v>
      </c>
      <c r="K48" s="40">
        <f t="shared" si="5"/>
        <v>0</v>
      </c>
      <c r="L48" s="36">
        <f t="shared" si="6"/>
        <v>0</v>
      </c>
      <c r="M48" s="36">
        <f t="shared" si="7"/>
        <v>20000</v>
      </c>
      <c r="N48" s="42"/>
      <c r="O48" s="42" t="s">
        <v>192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42" t="s">
        <v>562</v>
      </c>
      <c r="B49" s="42" t="s">
        <v>161</v>
      </c>
      <c r="C49" s="42" t="s">
        <v>135</v>
      </c>
      <c r="D49" s="42" t="s">
        <v>51</v>
      </c>
      <c r="E49" s="49">
        <v>20000.0</v>
      </c>
      <c r="F49" s="42" t="s">
        <v>136</v>
      </c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20000</v>
      </c>
      <c r="K49" s="40">
        <f t="shared" si="5"/>
        <v>0</v>
      </c>
      <c r="L49" s="36">
        <f t="shared" si="6"/>
        <v>0</v>
      </c>
      <c r="M49" s="36">
        <f t="shared" si="7"/>
        <v>20000</v>
      </c>
      <c r="N49" s="42"/>
      <c r="O49" s="42" t="s">
        <v>192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42" t="s">
        <v>582</v>
      </c>
      <c r="B50" s="42" t="s">
        <v>161</v>
      </c>
      <c r="C50" s="42" t="s">
        <v>53</v>
      </c>
      <c r="D50" s="42" t="s">
        <v>110</v>
      </c>
      <c r="E50" s="49">
        <v>23000.0</v>
      </c>
      <c r="F50" s="42" t="s">
        <v>176</v>
      </c>
      <c r="G50" s="36">
        <f t="shared" si="1"/>
        <v>3672.268908</v>
      </c>
      <c r="H50" s="40">
        <f t="shared" si="2"/>
        <v>0.0275</v>
      </c>
      <c r="I50" s="36">
        <f t="shared" si="3"/>
        <v>632.5</v>
      </c>
      <c r="J50" s="36">
        <f t="shared" si="4"/>
        <v>18695.23109</v>
      </c>
      <c r="K50" s="40">
        <f t="shared" si="5"/>
        <v>0.05</v>
      </c>
      <c r="L50" s="36">
        <f t="shared" si="6"/>
        <v>934.7615546</v>
      </c>
      <c r="M50" s="36">
        <f t="shared" si="7"/>
        <v>17760.46954</v>
      </c>
      <c r="N50" s="42"/>
      <c r="O50" s="42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42" t="s">
        <v>583</v>
      </c>
      <c r="B51" s="42" t="s">
        <v>161</v>
      </c>
      <c r="C51" s="42" t="s">
        <v>53</v>
      </c>
      <c r="D51" s="42" t="s">
        <v>110</v>
      </c>
      <c r="E51" s="49">
        <v>20000.0</v>
      </c>
      <c r="F51" s="42" t="s">
        <v>292</v>
      </c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20000</v>
      </c>
      <c r="K51" s="40">
        <f t="shared" si="5"/>
        <v>0.07</v>
      </c>
      <c r="L51" s="36">
        <f t="shared" si="6"/>
        <v>1400</v>
      </c>
      <c r="M51" s="36">
        <f t="shared" si="7"/>
        <v>18600</v>
      </c>
      <c r="N51" s="42"/>
      <c r="O51" s="42" t="s">
        <v>135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38" t="s">
        <v>584</v>
      </c>
      <c r="B52" s="38" t="s">
        <v>227</v>
      </c>
      <c r="C52" s="38" t="s">
        <v>49</v>
      </c>
      <c r="D52" s="38" t="s">
        <v>109</v>
      </c>
      <c r="E52" s="39">
        <v>35000.0</v>
      </c>
      <c r="F52" s="38" t="s">
        <v>136</v>
      </c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35000</v>
      </c>
      <c r="K52" s="40">
        <f t="shared" si="5"/>
        <v>0.07</v>
      </c>
      <c r="L52" s="36">
        <f t="shared" si="6"/>
        <v>2450</v>
      </c>
      <c r="M52" s="36">
        <f t="shared" si="7"/>
        <v>32550</v>
      </c>
      <c r="N52" s="42"/>
      <c r="O52" s="38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38" t="s">
        <v>585</v>
      </c>
      <c r="B53" s="38" t="s">
        <v>227</v>
      </c>
      <c r="C53" s="38" t="s">
        <v>51</v>
      </c>
      <c r="D53" s="38" t="s">
        <v>110</v>
      </c>
      <c r="E53" s="39">
        <v>25000.0</v>
      </c>
      <c r="F53" s="38" t="s">
        <v>176</v>
      </c>
      <c r="G53" s="36">
        <f t="shared" si="1"/>
        <v>3991.596639</v>
      </c>
      <c r="H53" s="40">
        <f t="shared" si="2"/>
        <v>0.0275</v>
      </c>
      <c r="I53" s="36">
        <f t="shared" si="3"/>
        <v>687.5</v>
      </c>
      <c r="J53" s="36">
        <f t="shared" si="4"/>
        <v>20320.90336</v>
      </c>
      <c r="K53" s="40">
        <f t="shared" si="5"/>
        <v>0.05</v>
      </c>
      <c r="L53" s="36">
        <f t="shared" si="6"/>
        <v>1016.045168</v>
      </c>
      <c r="M53" s="36">
        <f t="shared" si="7"/>
        <v>19304.85819</v>
      </c>
      <c r="N53" s="42"/>
      <c r="O53" s="38" t="s">
        <v>135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38" t="s">
        <v>586</v>
      </c>
      <c r="B54" s="38" t="s">
        <v>161</v>
      </c>
      <c r="C54" s="38" t="s">
        <v>53</v>
      </c>
      <c r="D54" s="38" t="s">
        <v>109</v>
      </c>
      <c r="E54" s="39">
        <v>50000.0</v>
      </c>
      <c r="F54" s="38" t="s">
        <v>213</v>
      </c>
      <c r="G54" s="36">
        <f t="shared" si="1"/>
        <v>7983.193277</v>
      </c>
      <c r="H54" s="40">
        <f t="shared" si="2"/>
        <v>0.0295</v>
      </c>
      <c r="I54" s="36">
        <f t="shared" si="3"/>
        <v>1475</v>
      </c>
      <c r="J54" s="36">
        <f t="shared" si="4"/>
        <v>40541.80672</v>
      </c>
      <c r="K54" s="40">
        <f t="shared" si="5"/>
        <v>0.05</v>
      </c>
      <c r="L54" s="36">
        <f t="shared" si="6"/>
        <v>2027.090336</v>
      </c>
      <c r="M54" s="36">
        <f t="shared" si="7"/>
        <v>38514.71639</v>
      </c>
      <c r="N54" s="42"/>
      <c r="O54" s="38" t="s">
        <v>135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38" t="s">
        <v>587</v>
      </c>
      <c r="B55" s="38">
        <v>34.0</v>
      </c>
      <c r="C55" s="38" t="s">
        <v>51</v>
      </c>
      <c r="D55" s="38" t="s">
        <v>50</v>
      </c>
      <c r="E55" s="39">
        <v>28000.0</v>
      </c>
      <c r="F55" s="38" t="s">
        <v>213</v>
      </c>
      <c r="G55" s="36">
        <f t="shared" si="1"/>
        <v>4470.588235</v>
      </c>
      <c r="H55" s="40">
        <f t="shared" si="2"/>
        <v>0.0295</v>
      </c>
      <c r="I55" s="36">
        <f t="shared" si="3"/>
        <v>826</v>
      </c>
      <c r="J55" s="36">
        <f t="shared" si="4"/>
        <v>22703.41176</v>
      </c>
      <c r="K55" s="40">
        <f t="shared" si="5"/>
        <v>0.05</v>
      </c>
      <c r="L55" s="36">
        <f t="shared" si="6"/>
        <v>1135.170588</v>
      </c>
      <c r="M55" s="36">
        <f t="shared" si="7"/>
        <v>21568.24118</v>
      </c>
      <c r="N55" s="42"/>
      <c r="O55" s="38" t="s">
        <v>135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38" t="s">
        <v>588</v>
      </c>
      <c r="B56" s="38">
        <v>46.0</v>
      </c>
      <c r="C56" s="38" t="s">
        <v>51</v>
      </c>
      <c r="D56" s="38" t="s">
        <v>51</v>
      </c>
      <c r="E56" s="39">
        <v>35000.0</v>
      </c>
      <c r="F56" s="38" t="s">
        <v>213</v>
      </c>
      <c r="G56" s="36">
        <f t="shared" si="1"/>
        <v>5588.235294</v>
      </c>
      <c r="H56" s="40">
        <f t="shared" si="2"/>
        <v>0.0295</v>
      </c>
      <c r="I56" s="36">
        <f t="shared" si="3"/>
        <v>1032.5</v>
      </c>
      <c r="J56" s="36">
        <f t="shared" si="4"/>
        <v>28379.26471</v>
      </c>
      <c r="K56" s="40">
        <f t="shared" si="5"/>
        <v>0.05</v>
      </c>
      <c r="L56" s="36">
        <f t="shared" si="6"/>
        <v>1418.963235</v>
      </c>
      <c r="M56" s="36">
        <f t="shared" si="7"/>
        <v>26960.30147</v>
      </c>
      <c r="N56" s="42"/>
      <c r="O56" s="38" t="s">
        <v>135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38" t="s">
        <v>589</v>
      </c>
      <c r="B57" s="38" t="s">
        <v>146</v>
      </c>
      <c r="C57" s="38" t="s">
        <v>135</v>
      </c>
      <c r="D57" s="38" t="s">
        <v>51</v>
      </c>
      <c r="E57" s="39">
        <v>45000.0</v>
      </c>
      <c r="F57" s="38" t="s">
        <v>136</v>
      </c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45000</v>
      </c>
      <c r="K57" s="40">
        <f t="shared" si="5"/>
        <v>0.07</v>
      </c>
      <c r="L57" s="36">
        <f t="shared" si="6"/>
        <v>3150</v>
      </c>
      <c r="M57" s="36">
        <f t="shared" si="7"/>
        <v>41850</v>
      </c>
      <c r="N57" s="42"/>
      <c r="O57" s="38" t="s">
        <v>135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38" t="s">
        <v>590</v>
      </c>
      <c r="B58" s="38" t="s">
        <v>227</v>
      </c>
      <c r="C58" s="38" t="s">
        <v>135</v>
      </c>
      <c r="D58" s="38" t="s">
        <v>51</v>
      </c>
      <c r="E58" s="39">
        <v>30000.0</v>
      </c>
      <c r="F58" s="38" t="s">
        <v>176</v>
      </c>
      <c r="G58" s="36">
        <f t="shared" si="1"/>
        <v>4789.915966</v>
      </c>
      <c r="H58" s="40">
        <f t="shared" si="2"/>
        <v>0.0275</v>
      </c>
      <c r="I58" s="36">
        <f t="shared" si="3"/>
        <v>825</v>
      </c>
      <c r="J58" s="36">
        <f t="shared" si="4"/>
        <v>24385.08403</v>
      </c>
      <c r="K58" s="40">
        <f t="shared" si="5"/>
        <v>0</v>
      </c>
      <c r="L58" s="36">
        <f t="shared" si="6"/>
        <v>0</v>
      </c>
      <c r="M58" s="36">
        <f t="shared" si="7"/>
        <v>24385.08403</v>
      </c>
      <c r="N58" s="42"/>
      <c r="O58" s="38" t="s">
        <v>500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38" t="s">
        <v>591</v>
      </c>
      <c r="B59" s="38" t="s">
        <v>227</v>
      </c>
      <c r="C59" s="38" t="s">
        <v>135</v>
      </c>
      <c r="D59" s="38" t="s">
        <v>51</v>
      </c>
      <c r="E59" s="39">
        <v>40000.0</v>
      </c>
      <c r="F59" s="38" t="s">
        <v>176</v>
      </c>
      <c r="G59" s="36">
        <f t="shared" si="1"/>
        <v>6386.554622</v>
      </c>
      <c r="H59" s="40">
        <f t="shared" si="2"/>
        <v>0.0275</v>
      </c>
      <c r="I59" s="36">
        <f t="shared" si="3"/>
        <v>1100</v>
      </c>
      <c r="J59" s="36">
        <f t="shared" si="4"/>
        <v>32513.44538</v>
      </c>
      <c r="K59" s="40">
        <f t="shared" si="5"/>
        <v>0</v>
      </c>
      <c r="L59" s="36">
        <f t="shared" si="6"/>
        <v>0</v>
      </c>
      <c r="M59" s="36">
        <f t="shared" si="7"/>
        <v>32513.44538</v>
      </c>
      <c r="N59" s="42"/>
      <c r="O59" s="38" t="s">
        <v>500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38" t="s">
        <v>562</v>
      </c>
      <c r="B60" s="38" t="s">
        <v>262</v>
      </c>
      <c r="C60" s="38" t="s">
        <v>135</v>
      </c>
      <c r="D60" s="38" t="s">
        <v>49</v>
      </c>
      <c r="E60" s="39">
        <v>25000.0</v>
      </c>
      <c r="F60" s="38" t="s">
        <v>136</v>
      </c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25000</v>
      </c>
      <c r="K60" s="40">
        <f t="shared" si="5"/>
        <v>0</v>
      </c>
      <c r="L60" s="36">
        <f t="shared" si="6"/>
        <v>0</v>
      </c>
      <c r="M60" s="36">
        <f t="shared" si="7"/>
        <v>25000</v>
      </c>
      <c r="N60" s="42"/>
      <c r="O60" s="38" t="s">
        <v>192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38" t="s">
        <v>592</v>
      </c>
      <c r="B61" s="38" t="s">
        <v>262</v>
      </c>
      <c r="C61" s="38" t="s">
        <v>135</v>
      </c>
      <c r="D61" s="38" t="s">
        <v>53</v>
      </c>
      <c r="E61" s="39">
        <v>30000.0</v>
      </c>
      <c r="F61" s="38" t="s">
        <v>176</v>
      </c>
      <c r="G61" s="36">
        <f t="shared" si="1"/>
        <v>4789.915966</v>
      </c>
      <c r="H61" s="40">
        <f t="shared" si="2"/>
        <v>0.0275</v>
      </c>
      <c r="I61" s="36">
        <f t="shared" si="3"/>
        <v>825</v>
      </c>
      <c r="J61" s="36">
        <f t="shared" si="4"/>
        <v>24385.08403</v>
      </c>
      <c r="K61" s="40">
        <f t="shared" si="5"/>
        <v>0</v>
      </c>
      <c r="L61" s="36">
        <f t="shared" si="6"/>
        <v>0</v>
      </c>
      <c r="M61" s="36">
        <f t="shared" si="7"/>
        <v>24385.08403</v>
      </c>
      <c r="N61" s="42"/>
      <c r="O61" s="38" t="s">
        <v>500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38" t="s">
        <v>593</v>
      </c>
      <c r="B62" s="38" t="s">
        <v>244</v>
      </c>
      <c r="C62" s="38" t="s">
        <v>135</v>
      </c>
      <c r="D62" s="38" t="s">
        <v>53</v>
      </c>
      <c r="E62" s="39">
        <v>30000.0</v>
      </c>
      <c r="F62" s="38" t="s">
        <v>176</v>
      </c>
      <c r="G62" s="36">
        <f t="shared" si="1"/>
        <v>4789.915966</v>
      </c>
      <c r="H62" s="40">
        <f t="shared" si="2"/>
        <v>0.0275</v>
      </c>
      <c r="I62" s="36">
        <f t="shared" si="3"/>
        <v>825</v>
      </c>
      <c r="J62" s="36">
        <f t="shared" si="4"/>
        <v>24385.08403</v>
      </c>
      <c r="K62" s="40">
        <f t="shared" si="5"/>
        <v>0</v>
      </c>
      <c r="L62" s="36">
        <f t="shared" si="6"/>
        <v>0</v>
      </c>
      <c r="M62" s="36">
        <f t="shared" si="7"/>
        <v>24385.08403</v>
      </c>
      <c r="N62" s="42"/>
      <c r="O62" s="38" t="s">
        <v>500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38" t="s">
        <v>594</v>
      </c>
      <c r="B63" s="38" t="s">
        <v>262</v>
      </c>
      <c r="C63" s="38" t="s">
        <v>52</v>
      </c>
      <c r="D63" s="38" t="s">
        <v>109</v>
      </c>
      <c r="E63" s="39">
        <v>80000.0</v>
      </c>
      <c r="F63" s="38" t="s">
        <v>136</v>
      </c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80000</v>
      </c>
      <c r="K63" s="40">
        <f t="shared" si="5"/>
        <v>0.07</v>
      </c>
      <c r="L63" s="36">
        <f t="shared" si="6"/>
        <v>5600</v>
      </c>
      <c r="M63" s="36">
        <f t="shared" si="7"/>
        <v>74400</v>
      </c>
      <c r="N63" s="38" t="s">
        <v>595</v>
      </c>
      <c r="O63" s="38" t="s">
        <v>135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38" t="s">
        <v>593</v>
      </c>
      <c r="B64" s="38" t="s">
        <v>161</v>
      </c>
      <c r="C64" s="38" t="s">
        <v>135</v>
      </c>
      <c r="D64" s="38" t="s">
        <v>110</v>
      </c>
      <c r="E64" s="39">
        <v>30000.0</v>
      </c>
      <c r="F64" s="38" t="s">
        <v>176</v>
      </c>
      <c r="G64" s="36">
        <f t="shared" si="1"/>
        <v>4789.915966</v>
      </c>
      <c r="H64" s="40">
        <f t="shared" si="2"/>
        <v>0.0275</v>
      </c>
      <c r="I64" s="36">
        <f t="shared" si="3"/>
        <v>825</v>
      </c>
      <c r="J64" s="36">
        <f t="shared" si="4"/>
        <v>24385.08403</v>
      </c>
      <c r="K64" s="40">
        <f t="shared" si="5"/>
        <v>0</v>
      </c>
      <c r="L64" s="36">
        <f t="shared" si="6"/>
        <v>0</v>
      </c>
      <c r="M64" s="36">
        <f t="shared" si="7"/>
        <v>24385.08403</v>
      </c>
      <c r="N64" s="38"/>
      <c r="O64" s="38" t="s">
        <v>500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38" t="s">
        <v>596</v>
      </c>
      <c r="B65" s="38" t="s">
        <v>262</v>
      </c>
      <c r="C65" s="38" t="s">
        <v>135</v>
      </c>
      <c r="D65" s="38" t="s">
        <v>110</v>
      </c>
      <c r="E65" s="39">
        <v>40000.0</v>
      </c>
      <c r="F65" s="38" t="s">
        <v>176</v>
      </c>
      <c r="G65" s="36">
        <f t="shared" si="1"/>
        <v>6386.554622</v>
      </c>
      <c r="H65" s="40">
        <f t="shared" si="2"/>
        <v>0.0275</v>
      </c>
      <c r="I65" s="36">
        <f t="shared" si="3"/>
        <v>1100</v>
      </c>
      <c r="J65" s="36">
        <f t="shared" si="4"/>
        <v>32513.44538</v>
      </c>
      <c r="K65" s="40">
        <f t="shared" si="5"/>
        <v>0</v>
      </c>
      <c r="L65" s="36">
        <f t="shared" si="6"/>
        <v>0</v>
      </c>
      <c r="M65" s="36">
        <f t="shared" si="7"/>
        <v>32513.44538</v>
      </c>
      <c r="N65" s="42"/>
      <c r="O65" s="38" t="s">
        <v>500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38" t="s">
        <v>597</v>
      </c>
      <c r="B66" s="38" t="s">
        <v>262</v>
      </c>
      <c r="C66" s="38" t="s">
        <v>135</v>
      </c>
      <c r="D66" s="38" t="s">
        <v>110</v>
      </c>
      <c r="E66" s="39">
        <v>70000.0</v>
      </c>
      <c r="F66" s="38" t="s">
        <v>136</v>
      </c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70000</v>
      </c>
      <c r="K66" s="40">
        <f t="shared" si="5"/>
        <v>0</v>
      </c>
      <c r="L66" s="36">
        <f t="shared" si="6"/>
        <v>0</v>
      </c>
      <c r="M66" s="36">
        <f t="shared" si="7"/>
        <v>70000</v>
      </c>
      <c r="N66" s="42"/>
      <c r="O66" s="38" t="s">
        <v>192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38" t="s">
        <v>598</v>
      </c>
      <c r="B67" s="38" t="s">
        <v>179</v>
      </c>
      <c r="C67" s="38" t="s">
        <v>135</v>
      </c>
      <c r="D67" s="38" t="s">
        <v>110</v>
      </c>
      <c r="E67" s="39">
        <v>20000.0</v>
      </c>
      <c r="F67" s="38" t="s">
        <v>136</v>
      </c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20000</v>
      </c>
      <c r="K67" s="40">
        <f t="shared" si="5"/>
        <v>0</v>
      </c>
      <c r="L67" s="36">
        <f t="shared" si="6"/>
        <v>0</v>
      </c>
      <c r="M67" s="36">
        <f t="shared" si="7"/>
        <v>20000</v>
      </c>
      <c r="N67" s="42"/>
      <c r="O67" s="38" t="s">
        <v>192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38" t="s">
        <v>599</v>
      </c>
      <c r="B68" s="38" t="s">
        <v>146</v>
      </c>
      <c r="C68" s="38" t="s">
        <v>135</v>
      </c>
      <c r="D68" s="38" t="s">
        <v>109</v>
      </c>
      <c r="E68" s="39">
        <v>40000.0</v>
      </c>
      <c r="F68" s="38" t="s">
        <v>176</v>
      </c>
      <c r="G68" s="36">
        <f t="shared" si="1"/>
        <v>6386.554622</v>
      </c>
      <c r="H68" s="40">
        <f t="shared" si="2"/>
        <v>0.0275</v>
      </c>
      <c r="I68" s="36">
        <f t="shared" si="3"/>
        <v>1100</v>
      </c>
      <c r="J68" s="36">
        <f t="shared" si="4"/>
        <v>32513.44538</v>
      </c>
      <c r="K68" s="40">
        <f t="shared" si="5"/>
        <v>0</v>
      </c>
      <c r="L68" s="36">
        <f t="shared" si="6"/>
        <v>0</v>
      </c>
      <c r="M68" s="36">
        <f t="shared" si="7"/>
        <v>32513.44538</v>
      </c>
      <c r="N68" s="38" t="s">
        <v>212</v>
      </c>
      <c r="O68" s="38" t="s">
        <v>500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38" t="s">
        <v>402</v>
      </c>
      <c r="B69" s="38" t="s">
        <v>227</v>
      </c>
      <c r="C69" s="38" t="s">
        <v>135</v>
      </c>
      <c r="D69" s="38" t="s">
        <v>109</v>
      </c>
      <c r="E69" s="39">
        <v>75000.0</v>
      </c>
      <c r="F69" s="38" t="s">
        <v>136</v>
      </c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75000</v>
      </c>
      <c r="K69" s="40">
        <f t="shared" si="5"/>
        <v>0</v>
      </c>
      <c r="L69" s="36">
        <f t="shared" si="6"/>
        <v>0</v>
      </c>
      <c r="M69" s="36">
        <f t="shared" si="7"/>
        <v>75000</v>
      </c>
      <c r="N69" s="42"/>
      <c r="O69" s="38" t="s">
        <v>192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38" t="s">
        <v>600</v>
      </c>
      <c r="B70" s="38" t="s">
        <v>601</v>
      </c>
      <c r="C70" s="38" t="s">
        <v>50</v>
      </c>
      <c r="D70" s="38" t="s">
        <v>110</v>
      </c>
      <c r="E70" s="39">
        <v>45000.0</v>
      </c>
      <c r="F70" s="38" t="s">
        <v>136</v>
      </c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45000</v>
      </c>
      <c r="K70" s="40">
        <f t="shared" si="5"/>
        <v>0.07</v>
      </c>
      <c r="L70" s="36">
        <f t="shared" si="6"/>
        <v>3150</v>
      </c>
      <c r="M70" s="36">
        <f t="shared" si="7"/>
        <v>41850</v>
      </c>
      <c r="N70" s="42"/>
      <c r="O70" s="38" t="s">
        <v>135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38" t="s">
        <v>602</v>
      </c>
      <c r="B71" s="38" t="s">
        <v>179</v>
      </c>
      <c r="C71" s="38" t="s">
        <v>135</v>
      </c>
      <c r="D71" s="38" t="s">
        <v>110</v>
      </c>
      <c r="E71" s="43">
        <v>25000.0</v>
      </c>
      <c r="F71" s="38" t="s">
        <v>136</v>
      </c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25000</v>
      </c>
      <c r="K71" s="40">
        <f t="shared" si="5"/>
        <v>0</v>
      </c>
      <c r="L71" s="36">
        <f t="shared" si="6"/>
        <v>0</v>
      </c>
      <c r="M71" s="36">
        <f t="shared" si="7"/>
        <v>25000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38" t="s">
        <v>602</v>
      </c>
      <c r="B72" s="38" t="s">
        <v>179</v>
      </c>
      <c r="C72" s="38" t="s">
        <v>135</v>
      </c>
      <c r="D72" s="38" t="s">
        <v>110</v>
      </c>
      <c r="E72" s="43">
        <v>25000.0</v>
      </c>
      <c r="F72" s="38" t="s">
        <v>136</v>
      </c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25000</v>
      </c>
      <c r="K72" s="40">
        <f t="shared" si="5"/>
        <v>0</v>
      </c>
      <c r="L72" s="36">
        <f t="shared" si="6"/>
        <v>0</v>
      </c>
      <c r="M72" s="36">
        <f t="shared" si="7"/>
        <v>25000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603</v>
      </c>
      <c r="B108" s="22"/>
      <c r="C108" s="22"/>
      <c r="D108" s="23"/>
      <c r="E108" s="1"/>
      <c r="F108" s="1"/>
      <c r="G108" s="51" t="s">
        <v>604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64" t="s">
        <v>605</v>
      </c>
      <c r="B117" s="65">
        <v>403200.0</v>
      </c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64" t="s">
        <v>606</v>
      </c>
      <c r="B118" s="65">
        <v>50000.0</v>
      </c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64" t="s">
        <v>607</v>
      </c>
      <c r="B119" s="65">
        <v>30000.0</v>
      </c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64" t="s">
        <v>608</v>
      </c>
      <c r="B120" s="65">
        <v>176000.0</v>
      </c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64" t="s">
        <v>609</v>
      </c>
      <c r="B121" s="64">
        <v>7201.0</v>
      </c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2418361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483672.2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30.0"/>
    <col customWidth="1" min="4" max="4" width="22.0"/>
    <col customWidth="1" min="5" max="5" width="24.0"/>
    <col customWidth="1" min="6" max="6" width="20.0"/>
    <col customWidth="1" min="7" max="10" width="24.0"/>
    <col customWidth="1" min="11" max="12" width="20.0"/>
    <col customWidth="1" min="13" max="13" width="24.0"/>
    <col customWidth="1" min="14" max="14" width="30.0"/>
    <col customWidth="1" min="15" max="15" width="26.0"/>
    <col customWidth="1" min="16" max="16" width="38.0"/>
    <col customWidth="1" min="17" max="17" width="22.0"/>
  </cols>
  <sheetData>
    <row r="1" ht="31.5" customHeight="1">
      <c r="A1" s="20" t="s">
        <v>610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5" t="s">
        <v>124</v>
      </c>
      <c r="Q2" s="36">
        <f>SUM(E4:E103)</f>
        <v>2353000</v>
      </c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125</v>
      </c>
      <c r="H3" s="37" t="s">
        <v>126</v>
      </c>
      <c r="I3" s="37" t="s">
        <v>127</v>
      </c>
      <c r="J3" s="37" t="s">
        <v>128</v>
      </c>
      <c r="K3" s="37" t="s">
        <v>129</v>
      </c>
      <c r="L3" s="37" t="s">
        <v>130</v>
      </c>
      <c r="M3" s="37" t="s">
        <v>131</v>
      </c>
      <c r="N3" s="37" t="s">
        <v>9</v>
      </c>
      <c r="O3" s="37" t="s">
        <v>8</v>
      </c>
      <c r="P3" s="35" t="s">
        <v>132</v>
      </c>
      <c r="Q3" s="36">
        <f>SUM(G4:G103)</f>
        <v>0</v>
      </c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38" t="s">
        <v>611</v>
      </c>
      <c r="B4" s="38" t="s">
        <v>179</v>
      </c>
      <c r="C4" s="38" t="s">
        <v>50</v>
      </c>
      <c r="D4" s="38" t="s">
        <v>50</v>
      </c>
      <c r="E4" s="39">
        <v>45000.0</v>
      </c>
      <c r="F4" s="38" t="s">
        <v>136</v>
      </c>
      <c r="G4" s="36">
        <f t="shared" ref="G4:G103" si="1">IF(OR(F4="Débito",F4="Crédito",F4="Internet(Shopify)"),E4*19/119,0)</f>
        <v>0</v>
      </c>
      <c r="H4" s="40">
        <f t="shared" ref="H4:H103" si="2">IF(F4="Débito",0.0275,IF(F4="Crédito",0.0295,0))</f>
        <v>0</v>
      </c>
      <c r="I4" s="36">
        <f t="shared" ref="I4:I103" si="3">E4*H4</f>
        <v>0</v>
      </c>
      <c r="J4" s="36">
        <f t="shared" ref="J4:J103" si="4">E4-G4-I4</f>
        <v>45000</v>
      </c>
      <c r="K4" s="40">
        <f t="shared" ref="K4:K103" si="5">IF($O4&lt;&gt;"Tienda",0,IF(OR($F4="Débito",$F4="Crédito"),0.05,IF(OR($F4="Efectivo",$F4="Transferencia"),0.07,0)))</f>
        <v>0.07</v>
      </c>
      <c r="L4" s="36">
        <f t="shared" ref="L4:L103" si="6">IF($O4&lt;&gt;"Tienda",0,$J4*$K4)</f>
        <v>3150</v>
      </c>
      <c r="M4" s="36">
        <f t="shared" ref="M4:M103" si="7">E4-G4-I4-L4</f>
        <v>41850</v>
      </c>
      <c r="N4" s="42"/>
      <c r="O4" s="38" t="s">
        <v>135</v>
      </c>
      <c r="P4" s="35" t="s">
        <v>104</v>
      </c>
      <c r="Q4" s="36">
        <f>SUM(I4:I103)</f>
        <v>0</v>
      </c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38" t="s">
        <v>612</v>
      </c>
      <c r="B5" s="38" t="s">
        <v>146</v>
      </c>
      <c r="C5" s="38" t="s">
        <v>49</v>
      </c>
      <c r="D5" s="38" t="s">
        <v>50</v>
      </c>
      <c r="E5" s="39">
        <v>30000.0</v>
      </c>
      <c r="F5" s="38" t="s">
        <v>136</v>
      </c>
      <c r="G5" s="36">
        <f t="shared" si="1"/>
        <v>0</v>
      </c>
      <c r="H5" s="40">
        <f t="shared" si="2"/>
        <v>0</v>
      </c>
      <c r="I5" s="36">
        <f t="shared" si="3"/>
        <v>0</v>
      </c>
      <c r="J5" s="36">
        <f t="shared" si="4"/>
        <v>30000</v>
      </c>
      <c r="K5" s="40">
        <f t="shared" si="5"/>
        <v>0.07</v>
      </c>
      <c r="L5" s="36">
        <f t="shared" si="6"/>
        <v>2100</v>
      </c>
      <c r="M5" s="36">
        <f t="shared" si="7"/>
        <v>27900</v>
      </c>
      <c r="N5" s="42"/>
      <c r="O5" s="38" t="s">
        <v>135</v>
      </c>
      <c r="P5" s="35" t="s">
        <v>140</v>
      </c>
      <c r="Q5" s="36">
        <f>SUM(L4:L103)</f>
        <v>157710</v>
      </c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38" t="s">
        <v>613</v>
      </c>
      <c r="B6" s="38" t="s">
        <v>146</v>
      </c>
      <c r="C6" s="38" t="s">
        <v>51</v>
      </c>
      <c r="D6" s="38" t="s">
        <v>50</v>
      </c>
      <c r="E6" s="39">
        <v>30000.0</v>
      </c>
      <c r="F6" s="38" t="s">
        <v>136</v>
      </c>
      <c r="G6" s="36">
        <f t="shared" si="1"/>
        <v>0</v>
      </c>
      <c r="H6" s="40">
        <f t="shared" si="2"/>
        <v>0</v>
      </c>
      <c r="I6" s="36">
        <f t="shared" si="3"/>
        <v>0</v>
      </c>
      <c r="J6" s="36">
        <f t="shared" si="4"/>
        <v>30000</v>
      </c>
      <c r="K6" s="40">
        <f t="shared" si="5"/>
        <v>0.07</v>
      </c>
      <c r="L6" s="36">
        <f t="shared" si="6"/>
        <v>2100</v>
      </c>
      <c r="M6" s="36">
        <f t="shared" si="7"/>
        <v>27900</v>
      </c>
      <c r="N6" s="42"/>
      <c r="O6" s="38" t="s">
        <v>135</v>
      </c>
      <c r="P6" s="35" t="s">
        <v>142</v>
      </c>
      <c r="Q6" s="36">
        <f>SUM(M4:M103)</f>
        <v>2195290</v>
      </c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38" t="s">
        <v>614</v>
      </c>
      <c r="B7" s="38" t="s">
        <v>146</v>
      </c>
      <c r="C7" s="38" t="s">
        <v>49</v>
      </c>
      <c r="D7" s="38" t="s">
        <v>50</v>
      </c>
      <c r="E7" s="39">
        <v>30000.0</v>
      </c>
      <c r="F7" s="38" t="s">
        <v>136</v>
      </c>
      <c r="G7" s="36">
        <f t="shared" si="1"/>
        <v>0</v>
      </c>
      <c r="H7" s="40">
        <f t="shared" si="2"/>
        <v>0</v>
      </c>
      <c r="I7" s="36">
        <f t="shared" si="3"/>
        <v>0</v>
      </c>
      <c r="J7" s="36">
        <f t="shared" si="4"/>
        <v>30000</v>
      </c>
      <c r="K7" s="40">
        <f t="shared" si="5"/>
        <v>0.07</v>
      </c>
      <c r="L7" s="36">
        <f t="shared" si="6"/>
        <v>2100</v>
      </c>
      <c r="M7" s="36">
        <f t="shared" si="7"/>
        <v>27900</v>
      </c>
      <c r="N7" s="42"/>
      <c r="O7" s="38" t="s">
        <v>135</v>
      </c>
      <c r="P7" s="35" t="s">
        <v>144</v>
      </c>
      <c r="Q7" s="36">
        <f>COUNTA(E4:E103)</f>
        <v>56</v>
      </c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38" t="s">
        <v>615</v>
      </c>
      <c r="B8" s="38" t="s">
        <v>146</v>
      </c>
      <c r="C8" s="38" t="s">
        <v>49</v>
      </c>
      <c r="D8" s="38" t="s">
        <v>50</v>
      </c>
      <c r="E8" s="39">
        <v>40000.0</v>
      </c>
      <c r="F8" s="38" t="s">
        <v>136</v>
      </c>
      <c r="G8" s="36">
        <f t="shared" si="1"/>
        <v>0</v>
      </c>
      <c r="H8" s="40">
        <f t="shared" si="2"/>
        <v>0</v>
      </c>
      <c r="I8" s="36">
        <f t="shared" si="3"/>
        <v>0</v>
      </c>
      <c r="J8" s="36">
        <f t="shared" si="4"/>
        <v>40000</v>
      </c>
      <c r="K8" s="40">
        <f t="shared" si="5"/>
        <v>0.07</v>
      </c>
      <c r="L8" s="36">
        <f t="shared" si="6"/>
        <v>2800</v>
      </c>
      <c r="M8" s="36">
        <f t="shared" si="7"/>
        <v>37200</v>
      </c>
      <c r="N8" s="42"/>
      <c r="O8" s="38" t="s">
        <v>135</v>
      </c>
      <c r="P8" s="35" t="s">
        <v>148</v>
      </c>
      <c r="Q8" s="36">
        <f>IF(Q7=0,0,Q6/Q7)</f>
        <v>39201.60714</v>
      </c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38" t="s">
        <v>616</v>
      </c>
      <c r="B9" s="38" t="s">
        <v>146</v>
      </c>
      <c r="C9" s="38" t="s">
        <v>49</v>
      </c>
      <c r="D9" s="38" t="s">
        <v>50</v>
      </c>
      <c r="E9" s="39">
        <v>30000.0</v>
      </c>
      <c r="F9" s="38" t="s">
        <v>136</v>
      </c>
      <c r="G9" s="36">
        <f t="shared" si="1"/>
        <v>0</v>
      </c>
      <c r="H9" s="40">
        <f t="shared" si="2"/>
        <v>0</v>
      </c>
      <c r="I9" s="36">
        <f t="shared" si="3"/>
        <v>0</v>
      </c>
      <c r="J9" s="36">
        <f t="shared" si="4"/>
        <v>30000</v>
      </c>
      <c r="K9" s="40">
        <f t="shared" si="5"/>
        <v>0.07</v>
      </c>
      <c r="L9" s="36">
        <f t="shared" si="6"/>
        <v>2100</v>
      </c>
      <c r="M9" s="36">
        <f t="shared" si="7"/>
        <v>27900</v>
      </c>
      <c r="N9" s="42"/>
      <c r="O9" s="38" t="s">
        <v>135</v>
      </c>
      <c r="P9" s="35" t="s">
        <v>151</v>
      </c>
      <c r="Q9" s="36">
        <f>SUMIF(F4:F103,"Débito",M4:M103)</f>
        <v>0</v>
      </c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38" t="s">
        <v>468</v>
      </c>
      <c r="B10" s="38" t="s">
        <v>146</v>
      </c>
      <c r="C10" s="38" t="s">
        <v>53</v>
      </c>
      <c r="D10" s="38" t="s">
        <v>50</v>
      </c>
      <c r="E10" s="39">
        <v>35000.0</v>
      </c>
      <c r="F10" s="38" t="s">
        <v>292</v>
      </c>
      <c r="G10" s="36">
        <f t="shared" si="1"/>
        <v>0</v>
      </c>
      <c r="H10" s="40">
        <f t="shared" si="2"/>
        <v>0</v>
      </c>
      <c r="I10" s="36">
        <f t="shared" si="3"/>
        <v>0</v>
      </c>
      <c r="J10" s="36">
        <f t="shared" si="4"/>
        <v>35000</v>
      </c>
      <c r="K10" s="40">
        <f t="shared" si="5"/>
        <v>0.07</v>
      </c>
      <c r="L10" s="36">
        <f t="shared" si="6"/>
        <v>2450</v>
      </c>
      <c r="M10" s="36">
        <f t="shared" si="7"/>
        <v>32550</v>
      </c>
      <c r="N10" s="42"/>
      <c r="O10" s="38" t="s">
        <v>135</v>
      </c>
      <c r="P10" s="35" t="s">
        <v>153</v>
      </c>
      <c r="Q10" s="36">
        <f>SUMIF(F4:F103,"Crédito",M4:M103)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38" t="s">
        <v>617</v>
      </c>
      <c r="B11" s="38" t="s">
        <v>146</v>
      </c>
      <c r="C11" s="38" t="s">
        <v>135</v>
      </c>
      <c r="D11" s="38" t="s">
        <v>50</v>
      </c>
      <c r="E11" s="39">
        <v>80000.0</v>
      </c>
      <c r="F11" s="38" t="s">
        <v>136</v>
      </c>
      <c r="G11" s="36">
        <f t="shared" si="1"/>
        <v>0</v>
      </c>
      <c r="H11" s="40">
        <f t="shared" si="2"/>
        <v>0</v>
      </c>
      <c r="I11" s="36">
        <f t="shared" si="3"/>
        <v>0</v>
      </c>
      <c r="J11" s="36">
        <f t="shared" si="4"/>
        <v>80000</v>
      </c>
      <c r="K11" s="40">
        <f t="shared" si="5"/>
        <v>0.07</v>
      </c>
      <c r="L11" s="36">
        <f t="shared" si="6"/>
        <v>5600</v>
      </c>
      <c r="M11" s="36">
        <f t="shared" si="7"/>
        <v>74400</v>
      </c>
      <c r="N11" s="42"/>
      <c r="O11" s="38" t="s">
        <v>135</v>
      </c>
      <c r="P11" s="35" t="s">
        <v>156</v>
      </c>
      <c r="Q11" s="36">
        <f>SUMIF(F4:F103,"Efectivo",M4:M103)</f>
        <v>55800</v>
      </c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38" t="s">
        <v>618</v>
      </c>
      <c r="B12" s="38" t="s">
        <v>146</v>
      </c>
      <c r="C12" s="38" t="s">
        <v>51</v>
      </c>
      <c r="D12" s="38" t="s">
        <v>50</v>
      </c>
      <c r="E12" s="39">
        <v>100000.0</v>
      </c>
      <c r="F12" s="38" t="s">
        <v>136</v>
      </c>
      <c r="G12" s="36">
        <f t="shared" si="1"/>
        <v>0</v>
      </c>
      <c r="H12" s="40">
        <f t="shared" si="2"/>
        <v>0</v>
      </c>
      <c r="I12" s="36">
        <f t="shared" si="3"/>
        <v>0</v>
      </c>
      <c r="J12" s="36">
        <f t="shared" si="4"/>
        <v>100000</v>
      </c>
      <c r="K12" s="40">
        <f t="shared" si="5"/>
        <v>0</v>
      </c>
      <c r="L12" s="36">
        <f t="shared" si="6"/>
        <v>0</v>
      </c>
      <c r="M12" s="36">
        <f t="shared" si="7"/>
        <v>100000</v>
      </c>
      <c r="N12" s="42"/>
      <c r="O12" s="42"/>
      <c r="P12" s="35" t="s">
        <v>158</v>
      </c>
      <c r="Q12" s="36">
        <f>SUMIF(F4:F103,"Transferencia",M4:M103)</f>
        <v>2139490</v>
      </c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38" t="s">
        <v>619</v>
      </c>
      <c r="B13" s="38" t="s">
        <v>620</v>
      </c>
      <c r="C13" s="38" t="s">
        <v>52</v>
      </c>
      <c r="D13" s="38" t="s">
        <v>50</v>
      </c>
      <c r="E13" s="39">
        <v>100000.0</v>
      </c>
      <c r="F13" s="38" t="s">
        <v>136</v>
      </c>
      <c r="G13" s="36">
        <f t="shared" si="1"/>
        <v>0</v>
      </c>
      <c r="H13" s="40">
        <f t="shared" si="2"/>
        <v>0</v>
      </c>
      <c r="I13" s="36">
        <f t="shared" si="3"/>
        <v>0</v>
      </c>
      <c r="J13" s="36">
        <f t="shared" si="4"/>
        <v>100000</v>
      </c>
      <c r="K13" s="40">
        <f t="shared" si="5"/>
        <v>0.07</v>
      </c>
      <c r="L13" s="36">
        <f t="shared" si="6"/>
        <v>7000</v>
      </c>
      <c r="M13" s="36">
        <f t="shared" si="7"/>
        <v>93000</v>
      </c>
      <c r="N13" s="42"/>
      <c r="O13" s="38" t="s">
        <v>135</v>
      </c>
      <c r="P13" s="35" t="s">
        <v>159</v>
      </c>
      <c r="Q13" s="36">
        <f>SUMIF(F4:F103,"Internet(Shopify)",M4:M103)</f>
        <v>0</v>
      </c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38" t="s">
        <v>621</v>
      </c>
      <c r="B14" s="38" t="s">
        <v>146</v>
      </c>
      <c r="C14" s="38" t="s">
        <v>50</v>
      </c>
      <c r="D14" s="38" t="s">
        <v>50</v>
      </c>
      <c r="E14" s="39">
        <v>55000.0</v>
      </c>
      <c r="F14" s="38" t="s">
        <v>136</v>
      </c>
      <c r="G14" s="36">
        <f t="shared" si="1"/>
        <v>0</v>
      </c>
      <c r="H14" s="40">
        <f t="shared" si="2"/>
        <v>0</v>
      </c>
      <c r="I14" s="36">
        <f t="shared" si="3"/>
        <v>0</v>
      </c>
      <c r="J14" s="36">
        <f t="shared" si="4"/>
        <v>55000</v>
      </c>
      <c r="K14" s="40">
        <f t="shared" si="5"/>
        <v>0.07</v>
      </c>
      <c r="L14" s="36">
        <f t="shared" si="6"/>
        <v>3850</v>
      </c>
      <c r="M14" s="36">
        <f t="shared" si="7"/>
        <v>51150</v>
      </c>
      <c r="N14" s="42"/>
      <c r="O14" s="38" t="s">
        <v>135</v>
      </c>
      <c r="P14" s="35" t="s">
        <v>164</v>
      </c>
      <c r="Q14" s="36">
        <f>SUMIF(F4:F103,"Débito",M4:M103)+SUMIF(F4:F103,"Crédito",M4:M103)+SUMIF(F4:F103,"Transferencia",M4:M103)</f>
        <v>2139490</v>
      </c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38" t="s">
        <v>622</v>
      </c>
      <c r="B15" s="38" t="s">
        <v>262</v>
      </c>
      <c r="C15" s="38" t="s">
        <v>51</v>
      </c>
      <c r="D15" s="38" t="s">
        <v>50</v>
      </c>
      <c r="E15" s="39">
        <v>100000.0</v>
      </c>
      <c r="F15" s="38" t="s">
        <v>136</v>
      </c>
      <c r="G15" s="36">
        <f t="shared" si="1"/>
        <v>0</v>
      </c>
      <c r="H15" s="40">
        <f t="shared" si="2"/>
        <v>0</v>
      </c>
      <c r="I15" s="36">
        <f t="shared" si="3"/>
        <v>0</v>
      </c>
      <c r="J15" s="36">
        <f t="shared" si="4"/>
        <v>100000</v>
      </c>
      <c r="K15" s="40">
        <f t="shared" si="5"/>
        <v>0.07</v>
      </c>
      <c r="L15" s="36">
        <f t="shared" si="6"/>
        <v>7000</v>
      </c>
      <c r="M15" s="36">
        <f t="shared" si="7"/>
        <v>93000</v>
      </c>
      <c r="N15" s="42"/>
      <c r="O15" s="38" t="s">
        <v>135</v>
      </c>
      <c r="P15" s="35" t="s">
        <v>168</v>
      </c>
      <c r="Q15" s="36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38" t="s">
        <v>623</v>
      </c>
      <c r="B16" s="38" t="s">
        <v>146</v>
      </c>
      <c r="C16" s="38" t="s">
        <v>53</v>
      </c>
      <c r="D16" s="38" t="s">
        <v>50</v>
      </c>
      <c r="E16" s="39">
        <v>25000.0</v>
      </c>
      <c r="F16" s="38" t="s">
        <v>136</v>
      </c>
      <c r="G16" s="36">
        <f t="shared" si="1"/>
        <v>0</v>
      </c>
      <c r="H16" s="40">
        <f t="shared" si="2"/>
        <v>0</v>
      </c>
      <c r="I16" s="36">
        <f t="shared" si="3"/>
        <v>0</v>
      </c>
      <c r="J16" s="36">
        <f t="shared" si="4"/>
        <v>25000</v>
      </c>
      <c r="K16" s="40">
        <f t="shared" si="5"/>
        <v>0.07</v>
      </c>
      <c r="L16" s="36">
        <f t="shared" si="6"/>
        <v>1750</v>
      </c>
      <c r="M16" s="36">
        <f t="shared" si="7"/>
        <v>23250</v>
      </c>
      <c r="N16" s="42"/>
      <c r="O16" s="38" t="s">
        <v>135</v>
      </c>
      <c r="P16" s="35" t="s">
        <v>170</v>
      </c>
      <c r="Q16" s="36">
        <f>Q3-Q15</f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38" t="s">
        <v>624</v>
      </c>
      <c r="B17" s="38" t="s">
        <v>146</v>
      </c>
      <c r="C17" s="38" t="s">
        <v>51</v>
      </c>
      <c r="D17" s="38" t="s">
        <v>50</v>
      </c>
      <c r="E17" s="39">
        <v>90000.0</v>
      </c>
      <c r="F17" s="38" t="s">
        <v>136</v>
      </c>
      <c r="G17" s="36">
        <f t="shared" si="1"/>
        <v>0</v>
      </c>
      <c r="H17" s="40">
        <f t="shared" si="2"/>
        <v>0</v>
      </c>
      <c r="I17" s="36">
        <f t="shared" si="3"/>
        <v>0</v>
      </c>
      <c r="J17" s="36">
        <f t="shared" si="4"/>
        <v>90000</v>
      </c>
      <c r="K17" s="40">
        <f t="shared" si="5"/>
        <v>0.07</v>
      </c>
      <c r="L17" s="36">
        <f t="shared" si="6"/>
        <v>6300</v>
      </c>
      <c r="M17" s="36">
        <f t="shared" si="7"/>
        <v>83700</v>
      </c>
      <c r="N17" s="42"/>
      <c r="O17" s="38" t="s">
        <v>135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38" t="s">
        <v>625</v>
      </c>
      <c r="B18" s="38" t="s">
        <v>146</v>
      </c>
      <c r="C18" s="38" t="s">
        <v>53</v>
      </c>
      <c r="D18" s="38" t="s">
        <v>50</v>
      </c>
      <c r="E18" s="39">
        <v>20000.0</v>
      </c>
      <c r="F18" s="38" t="s">
        <v>136</v>
      </c>
      <c r="G18" s="36">
        <f t="shared" si="1"/>
        <v>0</v>
      </c>
      <c r="H18" s="40">
        <f t="shared" si="2"/>
        <v>0</v>
      </c>
      <c r="I18" s="36">
        <f t="shared" si="3"/>
        <v>0</v>
      </c>
      <c r="J18" s="36">
        <f t="shared" si="4"/>
        <v>20000</v>
      </c>
      <c r="K18" s="40">
        <f t="shared" si="5"/>
        <v>0.07</v>
      </c>
      <c r="L18" s="36">
        <f t="shared" si="6"/>
        <v>1400</v>
      </c>
      <c r="M18" s="36">
        <f t="shared" si="7"/>
        <v>18600</v>
      </c>
      <c r="N18" s="42"/>
      <c r="O18" s="38" t="s">
        <v>135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38" t="s">
        <v>626</v>
      </c>
      <c r="B19" s="38" t="s">
        <v>146</v>
      </c>
      <c r="C19" s="38" t="s">
        <v>53</v>
      </c>
      <c r="D19" s="38" t="s">
        <v>50</v>
      </c>
      <c r="E19" s="39">
        <v>20000.0</v>
      </c>
      <c r="F19" s="38" t="s">
        <v>136</v>
      </c>
      <c r="G19" s="36">
        <f t="shared" si="1"/>
        <v>0</v>
      </c>
      <c r="H19" s="40">
        <f t="shared" si="2"/>
        <v>0</v>
      </c>
      <c r="I19" s="36">
        <f t="shared" si="3"/>
        <v>0</v>
      </c>
      <c r="J19" s="36">
        <f t="shared" si="4"/>
        <v>20000</v>
      </c>
      <c r="K19" s="40">
        <f t="shared" si="5"/>
        <v>0.07</v>
      </c>
      <c r="L19" s="36">
        <f t="shared" si="6"/>
        <v>1400</v>
      </c>
      <c r="M19" s="36">
        <f t="shared" si="7"/>
        <v>18600</v>
      </c>
      <c r="N19" s="42"/>
      <c r="O19" s="38" t="s">
        <v>135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38" t="s">
        <v>626</v>
      </c>
      <c r="B20" s="38" t="s">
        <v>146</v>
      </c>
      <c r="C20" s="38" t="s">
        <v>53</v>
      </c>
      <c r="D20" s="38" t="s">
        <v>50</v>
      </c>
      <c r="E20" s="39">
        <v>20000.0</v>
      </c>
      <c r="F20" s="38" t="s">
        <v>136</v>
      </c>
      <c r="G20" s="36">
        <f t="shared" si="1"/>
        <v>0</v>
      </c>
      <c r="H20" s="40">
        <f t="shared" si="2"/>
        <v>0</v>
      </c>
      <c r="I20" s="36">
        <f t="shared" si="3"/>
        <v>0</v>
      </c>
      <c r="J20" s="36">
        <f t="shared" si="4"/>
        <v>20000</v>
      </c>
      <c r="K20" s="40">
        <f t="shared" si="5"/>
        <v>0.07</v>
      </c>
      <c r="L20" s="36">
        <f t="shared" si="6"/>
        <v>1400</v>
      </c>
      <c r="M20" s="36">
        <f t="shared" si="7"/>
        <v>18600</v>
      </c>
      <c r="N20" s="42"/>
      <c r="O20" s="38" t="s">
        <v>135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38" t="s">
        <v>627</v>
      </c>
      <c r="B21" s="38" t="s">
        <v>620</v>
      </c>
      <c r="C21" s="38" t="s">
        <v>52</v>
      </c>
      <c r="D21" s="38" t="s">
        <v>50</v>
      </c>
      <c r="E21" s="39">
        <v>100000.0</v>
      </c>
      <c r="F21" s="38" t="s">
        <v>136</v>
      </c>
      <c r="G21" s="36">
        <f t="shared" si="1"/>
        <v>0</v>
      </c>
      <c r="H21" s="40">
        <f t="shared" si="2"/>
        <v>0</v>
      </c>
      <c r="I21" s="36">
        <f t="shared" si="3"/>
        <v>0</v>
      </c>
      <c r="J21" s="36">
        <f t="shared" si="4"/>
        <v>100000</v>
      </c>
      <c r="K21" s="40">
        <f t="shared" si="5"/>
        <v>0.07</v>
      </c>
      <c r="L21" s="36">
        <f t="shared" si="6"/>
        <v>7000</v>
      </c>
      <c r="M21" s="36">
        <f t="shared" si="7"/>
        <v>93000</v>
      </c>
      <c r="N21" s="42"/>
      <c r="O21" s="38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38" t="s">
        <v>628</v>
      </c>
      <c r="B22" s="38" t="s">
        <v>244</v>
      </c>
      <c r="C22" s="38" t="s">
        <v>50</v>
      </c>
      <c r="D22" s="38" t="s">
        <v>50</v>
      </c>
      <c r="E22" s="39">
        <v>40000.0</v>
      </c>
      <c r="F22" s="38" t="s">
        <v>136</v>
      </c>
      <c r="G22" s="36">
        <f t="shared" si="1"/>
        <v>0</v>
      </c>
      <c r="H22" s="40">
        <f t="shared" si="2"/>
        <v>0</v>
      </c>
      <c r="I22" s="36">
        <f t="shared" si="3"/>
        <v>0</v>
      </c>
      <c r="J22" s="36">
        <f t="shared" si="4"/>
        <v>40000</v>
      </c>
      <c r="K22" s="40">
        <f t="shared" si="5"/>
        <v>0.07</v>
      </c>
      <c r="L22" s="36">
        <f t="shared" si="6"/>
        <v>2800</v>
      </c>
      <c r="M22" s="36">
        <f t="shared" si="7"/>
        <v>37200</v>
      </c>
      <c r="N22" s="42"/>
      <c r="O22" s="38" t="s">
        <v>135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38" t="s">
        <v>629</v>
      </c>
      <c r="B23" s="38" t="s">
        <v>244</v>
      </c>
      <c r="C23" s="38" t="s">
        <v>53</v>
      </c>
      <c r="D23" s="38" t="s">
        <v>50</v>
      </c>
      <c r="E23" s="39">
        <v>30000.0</v>
      </c>
      <c r="F23" s="38" t="s">
        <v>136</v>
      </c>
      <c r="G23" s="36">
        <f t="shared" si="1"/>
        <v>0</v>
      </c>
      <c r="H23" s="40">
        <f t="shared" si="2"/>
        <v>0</v>
      </c>
      <c r="I23" s="36">
        <f t="shared" si="3"/>
        <v>0</v>
      </c>
      <c r="J23" s="36">
        <f t="shared" si="4"/>
        <v>30000</v>
      </c>
      <c r="K23" s="40">
        <f t="shared" si="5"/>
        <v>0.07</v>
      </c>
      <c r="L23" s="36">
        <f t="shared" si="6"/>
        <v>2100</v>
      </c>
      <c r="M23" s="36">
        <f t="shared" si="7"/>
        <v>27900</v>
      </c>
      <c r="N23" s="38" t="s">
        <v>630</v>
      </c>
      <c r="O23" s="38" t="s">
        <v>135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38" t="s">
        <v>631</v>
      </c>
      <c r="B24" s="38" t="s">
        <v>179</v>
      </c>
      <c r="C24" s="38" t="s">
        <v>52</v>
      </c>
      <c r="D24" s="38" t="s">
        <v>50</v>
      </c>
      <c r="E24" s="39">
        <v>90000.0</v>
      </c>
      <c r="F24" s="38" t="s">
        <v>136</v>
      </c>
      <c r="G24" s="36">
        <f t="shared" si="1"/>
        <v>0</v>
      </c>
      <c r="H24" s="40">
        <f t="shared" si="2"/>
        <v>0</v>
      </c>
      <c r="I24" s="36">
        <f t="shared" si="3"/>
        <v>0</v>
      </c>
      <c r="J24" s="36">
        <f t="shared" si="4"/>
        <v>90000</v>
      </c>
      <c r="K24" s="40">
        <f t="shared" si="5"/>
        <v>0.07</v>
      </c>
      <c r="L24" s="36">
        <f t="shared" si="6"/>
        <v>6300</v>
      </c>
      <c r="M24" s="36">
        <f t="shared" si="7"/>
        <v>83700</v>
      </c>
      <c r="N24" s="42"/>
      <c r="O24" s="38" t="s">
        <v>135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38" t="s">
        <v>632</v>
      </c>
      <c r="B25" s="38" t="s">
        <v>146</v>
      </c>
      <c r="C25" s="38" t="s">
        <v>52</v>
      </c>
      <c r="D25" s="38" t="s">
        <v>50</v>
      </c>
      <c r="E25" s="39">
        <v>15000.0</v>
      </c>
      <c r="F25" s="38" t="s">
        <v>136</v>
      </c>
      <c r="G25" s="36">
        <f t="shared" si="1"/>
        <v>0</v>
      </c>
      <c r="H25" s="40">
        <f t="shared" si="2"/>
        <v>0</v>
      </c>
      <c r="I25" s="36">
        <f t="shared" si="3"/>
        <v>0</v>
      </c>
      <c r="J25" s="36">
        <f t="shared" si="4"/>
        <v>15000</v>
      </c>
      <c r="K25" s="40">
        <f t="shared" si="5"/>
        <v>0.07</v>
      </c>
      <c r="L25" s="36">
        <f t="shared" si="6"/>
        <v>1050</v>
      </c>
      <c r="M25" s="36">
        <f t="shared" si="7"/>
        <v>13950</v>
      </c>
      <c r="N25" s="42"/>
      <c r="O25" s="38" t="s">
        <v>135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38" t="s">
        <v>633</v>
      </c>
      <c r="B26" s="38" t="s">
        <v>244</v>
      </c>
      <c r="C26" s="38" t="s">
        <v>49</v>
      </c>
      <c r="D26" s="38" t="s">
        <v>50</v>
      </c>
      <c r="E26" s="39">
        <v>25000.0</v>
      </c>
      <c r="F26" s="38" t="s">
        <v>136</v>
      </c>
      <c r="G26" s="36">
        <f t="shared" si="1"/>
        <v>0</v>
      </c>
      <c r="H26" s="40">
        <f t="shared" si="2"/>
        <v>0</v>
      </c>
      <c r="I26" s="36">
        <f t="shared" si="3"/>
        <v>0</v>
      </c>
      <c r="J26" s="36">
        <f t="shared" si="4"/>
        <v>25000</v>
      </c>
      <c r="K26" s="40">
        <f t="shared" si="5"/>
        <v>0.07</v>
      </c>
      <c r="L26" s="36">
        <f t="shared" si="6"/>
        <v>1750</v>
      </c>
      <c r="M26" s="36">
        <f t="shared" si="7"/>
        <v>23250</v>
      </c>
      <c r="N26" s="42"/>
      <c r="O26" s="38" t="s">
        <v>135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38" t="s">
        <v>634</v>
      </c>
      <c r="B27" s="38" t="s">
        <v>244</v>
      </c>
      <c r="C27" s="38" t="s">
        <v>49</v>
      </c>
      <c r="D27" s="38" t="s">
        <v>50</v>
      </c>
      <c r="E27" s="39">
        <v>30000.0</v>
      </c>
      <c r="F27" s="38" t="s">
        <v>136</v>
      </c>
      <c r="G27" s="36">
        <f t="shared" si="1"/>
        <v>0</v>
      </c>
      <c r="H27" s="40">
        <f t="shared" si="2"/>
        <v>0</v>
      </c>
      <c r="I27" s="36">
        <f t="shared" si="3"/>
        <v>0</v>
      </c>
      <c r="J27" s="36">
        <f t="shared" si="4"/>
        <v>30000</v>
      </c>
      <c r="K27" s="40">
        <f t="shared" si="5"/>
        <v>0.07</v>
      </c>
      <c r="L27" s="36">
        <f t="shared" si="6"/>
        <v>2100</v>
      </c>
      <c r="M27" s="36">
        <f t="shared" si="7"/>
        <v>27900</v>
      </c>
      <c r="N27" s="42"/>
      <c r="O27" s="38" t="s">
        <v>135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38" t="s">
        <v>635</v>
      </c>
      <c r="B28" s="38" t="s">
        <v>244</v>
      </c>
      <c r="C28" s="38" t="s">
        <v>49</v>
      </c>
      <c r="D28" s="38" t="s">
        <v>50</v>
      </c>
      <c r="E28" s="39">
        <v>30000.0</v>
      </c>
      <c r="F28" s="38" t="s">
        <v>136</v>
      </c>
      <c r="G28" s="36">
        <f t="shared" si="1"/>
        <v>0</v>
      </c>
      <c r="H28" s="40">
        <f t="shared" si="2"/>
        <v>0</v>
      </c>
      <c r="I28" s="36">
        <f t="shared" si="3"/>
        <v>0</v>
      </c>
      <c r="J28" s="36">
        <f t="shared" si="4"/>
        <v>30000</v>
      </c>
      <c r="K28" s="40">
        <f t="shared" si="5"/>
        <v>0.07</v>
      </c>
      <c r="L28" s="36">
        <f t="shared" si="6"/>
        <v>2100</v>
      </c>
      <c r="M28" s="36">
        <f t="shared" si="7"/>
        <v>27900</v>
      </c>
      <c r="N28" s="42"/>
      <c r="O28" s="38" t="s">
        <v>135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38" t="s">
        <v>636</v>
      </c>
      <c r="B29" s="38" t="s">
        <v>244</v>
      </c>
      <c r="C29" s="38" t="s">
        <v>52</v>
      </c>
      <c r="D29" s="38" t="s">
        <v>50</v>
      </c>
      <c r="E29" s="39">
        <v>25000.0</v>
      </c>
      <c r="F29" s="38" t="s">
        <v>136</v>
      </c>
      <c r="G29" s="36">
        <f t="shared" si="1"/>
        <v>0</v>
      </c>
      <c r="H29" s="40">
        <f t="shared" si="2"/>
        <v>0</v>
      </c>
      <c r="I29" s="36">
        <f t="shared" si="3"/>
        <v>0</v>
      </c>
      <c r="J29" s="36">
        <f t="shared" si="4"/>
        <v>25000</v>
      </c>
      <c r="K29" s="40">
        <f t="shared" si="5"/>
        <v>0.07</v>
      </c>
      <c r="L29" s="36">
        <f t="shared" si="6"/>
        <v>1750</v>
      </c>
      <c r="M29" s="36">
        <f t="shared" si="7"/>
        <v>23250</v>
      </c>
      <c r="N29" s="42"/>
      <c r="O29" s="38" t="s">
        <v>135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38" t="s">
        <v>637</v>
      </c>
      <c r="B30" s="38" t="s">
        <v>244</v>
      </c>
      <c r="C30" s="38" t="s">
        <v>50</v>
      </c>
      <c r="D30" s="38" t="s">
        <v>50</v>
      </c>
      <c r="E30" s="39">
        <v>30000.0</v>
      </c>
      <c r="F30" s="38" t="s">
        <v>136</v>
      </c>
      <c r="G30" s="36">
        <f t="shared" si="1"/>
        <v>0</v>
      </c>
      <c r="H30" s="40">
        <f t="shared" si="2"/>
        <v>0</v>
      </c>
      <c r="I30" s="36">
        <f t="shared" si="3"/>
        <v>0</v>
      </c>
      <c r="J30" s="36">
        <f t="shared" si="4"/>
        <v>30000</v>
      </c>
      <c r="K30" s="40">
        <f t="shared" si="5"/>
        <v>0.07</v>
      </c>
      <c r="L30" s="36">
        <f t="shared" si="6"/>
        <v>2100</v>
      </c>
      <c r="M30" s="36">
        <f t="shared" si="7"/>
        <v>27900</v>
      </c>
      <c r="N30" s="42"/>
      <c r="O30" s="38" t="s">
        <v>135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38" t="s">
        <v>634</v>
      </c>
      <c r="B31" s="38" t="s">
        <v>244</v>
      </c>
      <c r="C31" s="38" t="s">
        <v>53</v>
      </c>
      <c r="D31" s="38" t="s">
        <v>50</v>
      </c>
      <c r="E31" s="39">
        <v>30000.0</v>
      </c>
      <c r="F31" s="38" t="s">
        <v>136</v>
      </c>
      <c r="G31" s="36">
        <f t="shared" si="1"/>
        <v>0</v>
      </c>
      <c r="H31" s="40">
        <f t="shared" si="2"/>
        <v>0</v>
      </c>
      <c r="I31" s="36">
        <f t="shared" si="3"/>
        <v>0</v>
      </c>
      <c r="J31" s="36">
        <f t="shared" si="4"/>
        <v>30000</v>
      </c>
      <c r="K31" s="40">
        <f t="shared" si="5"/>
        <v>0.07</v>
      </c>
      <c r="L31" s="36">
        <f t="shared" si="6"/>
        <v>2100</v>
      </c>
      <c r="M31" s="36">
        <f t="shared" si="7"/>
        <v>27900</v>
      </c>
      <c r="N31" s="42"/>
      <c r="O31" s="38" t="s">
        <v>135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38" t="s">
        <v>638</v>
      </c>
      <c r="B32" s="38" t="s">
        <v>244</v>
      </c>
      <c r="C32" s="38" t="s">
        <v>53</v>
      </c>
      <c r="D32" s="38" t="s">
        <v>50</v>
      </c>
      <c r="E32" s="39">
        <v>15000.0</v>
      </c>
      <c r="F32" s="38" t="s">
        <v>136</v>
      </c>
      <c r="G32" s="36">
        <f t="shared" si="1"/>
        <v>0</v>
      </c>
      <c r="H32" s="40">
        <f t="shared" si="2"/>
        <v>0</v>
      </c>
      <c r="I32" s="36">
        <f t="shared" si="3"/>
        <v>0</v>
      </c>
      <c r="J32" s="36">
        <f t="shared" si="4"/>
        <v>15000</v>
      </c>
      <c r="K32" s="40">
        <f t="shared" si="5"/>
        <v>0.07</v>
      </c>
      <c r="L32" s="36">
        <f t="shared" si="6"/>
        <v>1050</v>
      </c>
      <c r="M32" s="36">
        <f t="shared" si="7"/>
        <v>13950</v>
      </c>
      <c r="N32" s="42"/>
      <c r="O32" s="38" t="s">
        <v>135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38" t="s">
        <v>639</v>
      </c>
      <c r="B33" s="38" t="s">
        <v>244</v>
      </c>
      <c r="C33" s="38" t="s">
        <v>50</v>
      </c>
      <c r="D33" s="38" t="s">
        <v>50</v>
      </c>
      <c r="E33" s="39">
        <v>100000.0</v>
      </c>
      <c r="F33" s="38" t="s">
        <v>136</v>
      </c>
      <c r="G33" s="36">
        <f t="shared" si="1"/>
        <v>0</v>
      </c>
      <c r="H33" s="40">
        <f t="shared" si="2"/>
        <v>0</v>
      </c>
      <c r="I33" s="36">
        <f t="shared" si="3"/>
        <v>0</v>
      </c>
      <c r="J33" s="36">
        <f t="shared" si="4"/>
        <v>100000</v>
      </c>
      <c r="K33" s="40">
        <f t="shared" si="5"/>
        <v>0.07</v>
      </c>
      <c r="L33" s="36">
        <f t="shared" si="6"/>
        <v>7000</v>
      </c>
      <c r="M33" s="36">
        <f t="shared" si="7"/>
        <v>93000</v>
      </c>
      <c r="N33" s="42"/>
      <c r="O33" s="38" t="s">
        <v>135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38" t="s">
        <v>640</v>
      </c>
      <c r="B34" s="38" t="s">
        <v>244</v>
      </c>
      <c r="C34" s="38" t="s">
        <v>52</v>
      </c>
      <c r="D34" s="38" t="s">
        <v>50</v>
      </c>
      <c r="E34" s="39">
        <v>60000.0</v>
      </c>
      <c r="F34" s="38" t="s">
        <v>136</v>
      </c>
      <c r="G34" s="36">
        <f t="shared" si="1"/>
        <v>0</v>
      </c>
      <c r="H34" s="40">
        <f t="shared" si="2"/>
        <v>0</v>
      </c>
      <c r="I34" s="36">
        <f t="shared" si="3"/>
        <v>0</v>
      </c>
      <c r="J34" s="36">
        <f t="shared" si="4"/>
        <v>60000</v>
      </c>
      <c r="K34" s="40">
        <f t="shared" si="5"/>
        <v>0.07</v>
      </c>
      <c r="L34" s="36">
        <f t="shared" si="6"/>
        <v>4200</v>
      </c>
      <c r="M34" s="36">
        <f t="shared" si="7"/>
        <v>55800</v>
      </c>
      <c r="N34" s="42"/>
      <c r="O34" s="38" t="s">
        <v>135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38" t="s">
        <v>641</v>
      </c>
      <c r="B35" s="38" t="s">
        <v>244</v>
      </c>
      <c r="C35" s="38" t="s">
        <v>49</v>
      </c>
      <c r="D35" s="38" t="s">
        <v>50</v>
      </c>
      <c r="E35" s="39">
        <v>30000.0</v>
      </c>
      <c r="F35" s="38" t="s">
        <v>136</v>
      </c>
      <c r="G35" s="36">
        <f t="shared" si="1"/>
        <v>0</v>
      </c>
      <c r="H35" s="40">
        <f t="shared" si="2"/>
        <v>0</v>
      </c>
      <c r="I35" s="36">
        <f t="shared" si="3"/>
        <v>0</v>
      </c>
      <c r="J35" s="36">
        <f t="shared" si="4"/>
        <v>30000</v>
      </c>
      <c r="K35" s="40">
        <f t="shared" si="5"/>
        <v>0.07</v>
      </c>
      <c r="L35" s="36">
        <f t="shared" si="6"/>
        <v>2100</v>
      </c>
      <c r="M35" s="36">
        <f t="shared" si="7"/>
        <v>27900</v>
      </c>
      <c r="N35" s="42"/>
      <c r="O35" s="38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38" t="s">
        <v>642</v>
      </c>
      <c r="B36" s="38" t="s">
        <v>244</v>
      </c>
      <c r="C36" s="38" t="s">
        <v>53</v>
      </c>
      <c r="D36" s="38" t="s">
        <v>50</v>
      </c>
      <c r="E36" s="39">
        <v>35000.0</v>
      </c>
      <c r="F36" s="38" t="s">
        <v>136</v>
      </c>
      <c r="G36" s="36">
        <f t="shared" si="1"/>
        <v>0</v>
      </c>
      <c r="H36" s="40">
        <f t="shared" si="2"/>
        <v>0</v>
      </c>
      <c r="I36" s="36">
        <f t="shared" si="3"/>
        <v>0</v>
      </c>
      <c r="J36" s="36">
        <f t="shared" si="4"/>
        <v>35000</v>
      </c>
      <c r="K36" s="40">
        <f t="shared" si="5"/>
        <v>0.07</v>
      </c>
      <c r="L36" s="36">
        <f t="shared" si="6"/>
        <v>2450</v>
      </c>
      <c r="M36" s="36">
        <f t="shared" si="7"/>
        <v>32550</v>
      </c>
      <c r="N36" s="42"/>
      <c r="O36" s="38" t="s">
        <v>135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38" t="s">
        <v>643</v>
      </c>
      <c r="B37" s="38" t="s">
        <v>244</v>
      </c>
      <c r="C37" s="38" t="s">
        <v>53</v>
      </c>
      <c r="D37" s="38" t="s">
        <v>50</v>
      </c>
      <c r="E37" s="39">
        <v>50000.0</v>
      </c>
      <c r="F37" s="38" t="s">
        <v>136</v>
      </c>
      <c r="G37" s="36">
        <f t="shared" si="1"/>
        <v>0</v>
      </c>
      <c r="H37" s="40">
        <f t="shared" si="2"/>
        <v>0</v>
      </c>
      <c r="I37" s="36">
        <f t="shared" si="3"/>
        <v>0</v>
      </c>
      <c r="J37" s="36">
        <f t="shared" si="4"/>
        <v>50000</v>
      </c>
      <c r="K37" s="40">
        <f t="shared" si="5"/>
        <v>0.07</v>
      </c>
      <c r="L37" s="36">
        <f t="shared" si="6"/>
        <v>3500</v>
      </c>
      <c r="M37" s="36">
        <f t="shared" si="7"/>
        <v>46500</v>
      </c>
      <c r="N37" s="38" t="s">
        <v>630</v>
      </c>
      <c r="O37" s="38" t="s">
        <v>135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38" t="s">
        <v>644</v>
      </c>
      <c r="B38" s="38" t="s">
        <v>244</v>
      </c>
      <c r="C38" s="38" t="s">
        <v>50</v>
      </c>
      <c r="D38" s="38" t="s">
        <v>50</v>
      </c>
      <c r="E38" s="39">
        <v>90000.0</v>
      </c>
      <c r="F38" s="38" t="s">
        <v>136</v>
      </c>
      <c r="G38" s="36">
        <f t="shared" si="1"/>
        <v>0</v>
      </c>
      <c r="H38" s="40">
        <f t="shared" si="2"/>
        <v>0</v>
      </c>
      <c r="I38" s="36">
        <f t="shared" si="3"/>
        <v>0</v>
      </c>
      <c r="J38" s="36">
        <f t="shared" si="4"/>
        <v>90000</v>
      </c>
      <c r="K38" s="40">
        <f t="shared" si="5"/>
        <v>0.07</v>
      </c>
      <c r="L38" s="36">
        <f t="shared" si="6"/>
        <v>6300</v>
      </c>
      <c r="M38" s="36">
        <f t="shared" si="7"/>
        <v>83700</v>
      </c>
      <c r="N38" s="42"/>
      <c r="O38" s="38" t="s">
        <v>135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38" t="s">
        <v>629</v>
      </c>
      <c r="B39" s="38" t="s">
        <v>244</v>
      </c>
      <c r="C39" s="38" t="s">
        <v>49</v>
      </c>
      <c r="D39" s="38" t="s">
        <v>50</v>
      </c>
      <c r="E39" s="39">
        <v>30000.0</v>
      </c>
      <c r="F39" s="38" t="s">
        <v>136</v>
      </c>
      <c r="G39" s="36">
        <f t="shared" si="1"/>
        <v>0</v>
      </c>
      <c r="H39" s="40">
        <f t="shared" si="2"/>
        <v>0</v>
      </c>
      <c r="I39" s="36">
        <f t="shared" si="3"/>
        <v>0</v>
      </c>
      <c r="J39" s="36">
        <f t="shared" si="4"/>
        <v>30000</v>
      </c>
      <c r="K39" s="40">
        <f t="shared" si="5"/>
        <v>0.07</v>
      </c>
      <c r="L39" s="36">
        <f t="shared" si="6"/>
        <v>2100</v>
      </c>
      <c r="M39" s="36">
        <f t="shared" si="7"/>
        <v>27900</v>
      </c>
      <c r="N39" s="42"/>
      <c r="O39" s="38" t="s">
        <v>135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38" t="s">
        <v>645</v>
      </c>
      <c r="B40" s="38" t="s">
        <v>244</v>
      </c>
      <c r="C40" s="38" t="s">
        <v>53</v>
      </c>
      <c r="D40" s="38" t="s">
        <v>50</v>
      </c>
      <c r="E40" s="39">
        <v>30000.0</v>
      </c>
      <c r="F40" s="38" t="s">
        <v>136</v>
      </c>
      <c r="G40" s="36">
        <f t="shared" si="1"/>
        <v>0</v>
      </c>
      <c r="H40" s="40">
        <f t="shared" si="2"/>
        <v>0</v>
      </c>
      <c r="I40" s="36">
        <f t="shared" si="3"/>
        <v>0</v>
      </c>
      <c r="J40" s="36">
        <f t="shared" si="4"/>
        <v>30000</v>
      </c>
      <c r="K40" s="40">
        <f t="shared" si="5"/>
        <v>0.07</v>
      </c>
      <c r="L40" s="36">
        <f t="shared" si="6"/>
        <v>2100</v>
      </c>
      <c r="M40" s="36">
        <f t="shared" si="7"/>
        <v>27900</v>
      </c>
      <c r="N40" s="42"/>
      <c r="O40" s="38" t="s">
        <v>135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38" t="s">
        <v>355</v>
      </c>
      <c r="B41" s="38" t="s">
        <v>244</v>
      </c>
      <c r="C41" s="38" t="s">
        <v>52</v>
      </c>
      <c r="D41" s="38" t="s">
        <v>50</v>
      </c>
      <c r="E41" s="39">
        <v>25000.0</v>
      </c>
      <c r="F41" s="38" t="s">
        <v>136</v>
      </c>
      <c r="G41" s="36">
        <f t="shared" si="1"/>
        <v>0</v>
      </c>
      <c r="H41" s="40">
        <f t="shared" si="2"/>
        <v>0</v>
      </c>
      <c r="I41" s="36">
        <f t="shared" si="3"/>
        <v>0</v>
      </c>
      <c r="J41" s="36">
        <f t="shared" si="4"/>
        <v>25000</v>
      </c>
      <c r="K41" s="40">
        <f t="shared" si="5"/>
        <v>0.07</v>
      </c>
      <c r="L41" s="36">
        <f t="shared" si="6"/>
        <v>1750</v>
      </c>
      <c r="M41" s="36">
        <f t="shared" si="7"/>
        <v>23250</v>
      </c>
      <c r="N41" s="42"/>
      <c r="O41" s="38" t="s">
        <v>135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38" t="s">
        <v>646</v>
      </c>
      <c r="B42" s="38" t="s">
        <v>244</v>
      </c>
      <c r="C42" s="38" t="s">
        <v>49</v>
      </c>
      <c r="D42" s="38" t="s">
        <v>50</v>
      </c>
      <c r="E42" s="39">
        <v>25000.0</v>
      </c>
      <c r="F42" s="38" t="s">
        <v>136</v>
      </c>
      <c r="G42" s="36">
        <f t="shared" si="1"/>
        <v>0</v>
      </c>
      <c r="H42" s="40">
        <f t="shared" si="2"/>
        <v>0</v>
      </c>
      <c r="I42" s="36">
        <f t="shared" si="3"/>
        <v>0</v>
      </c>
      <c r="J42" s="36">
        <f t="shared" si="4"/>
        <v>25000</v>
      </c>
      <c r="K42" s="40">
        <f t="shared" si="5"/>
        <v>0.07</v>
      </c>
      <c r="L42" s="36">
        <f t="shared" si="6"/>
        <v>1750</v>
      </c>
      <c r="M42" s="36">
        <f t="shared" si="7"/>
        <v>23250</v>
      </c>
      <c r="N42" s="42"/>
      <c r="O42" s="38" t="s">
        <v>135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38" t="s">
        <v>634</v>
      </c>
      <c r="B43" s="38" t="s">
        <v>244</v>
      </c>
      <c r="C43" s="38" t="s">
        <v>53</v>
      </c>
      <c r="D43" s="38" t="s">
        <v>50</v>
      </c>
      <c r="E43" s="39">
        <v>20000.0</v>
      </c>
      <c r="F43" s="38" t="s">
        <v>136</v>
      </c>
      <c r="G43" s="36">
        <f t="shared" si="1"/>
        <v>0</v>
      </c>
      <c r="H43" s="40">
        <f t="shared" si="2"/>
        <v>0</v>
      </c>
      <c r="I43" s="36">
        <f t="shared" si="3"/>
        <v>0</v>
      </c>
      <c r="J43" s="36">
        <f t="shared" si="4"/>
        <v>20000</v>
      </c>
      <c r="K43" s="40">
        <f t="shared" si="5"/>
        <v>0.07</v>
      </c>
      <c r="L43" s="36">
        <f t="shared" si="6"/>
        <v>1400</v>
      </c>
      <c r="M43" s="36">
        <f t="shared" si="7"/>
        <v>18600</v>
      </c>
      <c r="N43" s="42"/>
      <c r="O43" s="38" t="s">
        <v>135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38" t="s">
        <v>647</v>
      </c>
      <c r="B44" s="38" t="s">
        <v>244</v>
      </c>
      <c r="C44" s="38" t="s">
        <v>51</v>
      </c>
      <c r="D44" s="38" t="s">
        <v>50</v>
      </c>
      <c r="E44" s="39">
        <v>20000.0</v>
      </c>
      <c r="F44" s="38" t="s">
        <v>136</v>
      </c>
      <c r="G44" s="36">
        <f t="shared" si="1"/>
        <v>0</v>
      </c>
      <c r="H44" s="40">
        <f t="shared" si="2"/>
        <v>0</v>
      </c>
      <c r="I44" s="36">
        <f t="shared" si="3"/>
        <v>0</v>
      </c>
      <c r="J44" s="36">
        <f t="shared" si="4"/>
        <v>20000</v>
      </c>
      <c r="K44" s="40">
        <f t="shared" si="5"/>
        <v>0.07</v>
      </c>
      <c r="L44" s="36">
        <f t="shared" si="6"/>
        <v>1400</v>
      </c>
      <c r="M44" s="36">
        <f t="shared" si="7"/>
        <v>18600</v>
      </c>
      <c r="N44" s="42"/>
      <c r="O44" s="38" t="s">
        <v>135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38" t="s">
        <v>219</v>
      </c>
      <c r="B45" s="38" t="s">
        <v>244</v>
      </c>
      <c r="C45" s="38" t="s">
        <v>53</v>
      </c>
      <c r="D45" s="38" t="s">
        <v>50</v>
      </c>
      <c r="E45" s="39">
        <v>35000.0</v>
      </c>
      <c r="F45" s="38" t="s">
        <v>136</v>
      </c>
      <c r="G45" s="36">
        <f t="shared" si="1"/>
        <v>0</v>
      </c>
      <c r="H45" s="40">
        <f t="shared" si="2"/>
        <v>0</v>
      </c>
      <c r="I45" s="36">
        <f t="shared" si="3"/>
        <v>0</v>
      </c>
      <c r="J45" s="36">
        <f t="shared" si="4"/>
        <v>35000</v>
      </c>
      <c r="K45" s="40">
        <f t="shared" si="5"/>
        <v>0.07</v>
      </c>
      <c r="L45" s="36">
        <f t="shared" si="6"/>
        <v>2450</v>
      </c>
      <c r="M45" s="36">
        <f t="shared" si="7"/>
        <v>32550</v>
      </c>
      <c r="N45" s="42"/>
      <c r="O45" s="38" t="s">
        <v>135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38" t="s">
        <v>648</v>
      </c>
      <c r="B46" s="38" t="s">
        <v>244</v>
      </c>
      <c r="C46" s="38" t="s">
        <v>50</v>
      </c>
      <c r="D46" s="38" t="s">
        <v>50</v>
      </c>
      <c r="E46" s="39">
        <v>35000.0</v>
      </c>
      <c r="F46" s="38" t="s">
        <v>136</v>
      </c>
      <c r="G46" s="36">
        <f t="shared" si="1"/>
        <v>0</v>
      </c>
      <c r="H46" s="40">
        <f t="shared" si="2"/>
        <v>0</v>
      </c>
      <c r="I46" s="36">
        <f t="shared" si="3"/>
        <v>0</v>
      </c>
      <c r="J46" s="36">
        <f t="shared" si="4"/>
        <v>35000</v>
      </c>
      <c r="K46" s="40">
        <f t="shared" si="5"/>
        <v>0.07</v>
      </c>
      <c r="L46" s="36">
        <f t="shared" si="6"/>
        <v>2450</v>
      </c>
      <c r="M46" s="36">
        <f t="shared" si="7"/>
        <v>32550</v>
      </c>
      <c r="N46" s="42"/>
      <c r="O46" s="38" t="s">
        <v>135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38" t="s">
        <v>649</v>
      </c>
      <c r="B47" s="38" t="s">
        <v>244</v>
      </c>
      <c r="C47" s="38" t="s">
        <v>52</v>
      </c>
      <c r="D47" s="38" t="s">
        <v>50</v>
      </c>
      <c r="E47" s="39">
        <v>60000.0</v>
      </c>
      <c r="F47" s="38" t="s">
        <v>136</v>
      </c>
      <c r="G47" s="36">
        <f t="shared" si="1"/>
        <v>0</v>
      </c>
      <c r="H47" s="40">
        <f t="shared" si="2"/>
        <v>0</v>
      </c>
      <c r="I47" s="36">
        <f t="shared" si="3"/>
        <v>0</v>
      </c>
      <c r="J47" s="36">
        <f t="shared" si="4"/>
        <v>60000</v>
      </c>
      <c r="K47" s="40">
        <f t="shared" si="5"/>
        <v>0.07</v>
      </c>
      <c r="L47" s="36">
        <f t="shared" si="6"/>
        <v>4200</v>
      </c>
      <c r="M47" s="36">
        <f t="shared" si="7"/>
        <v>55800</v>
      </c>
      <c r="N47" s="42"/>
      <c r="O47" s="38" t="s">
        <v>135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38" t="s">
        <v>650</v>
      </c>
      <c r="B48" s="38" t="s">
        <v>244</v>
      </c>
      <c r="C48" s="38" t="s">
        <v>135</v>
      </c>
      <c r="D48" s="38" t="s">
        <v>50</v>
      </c>
      <c r="E48" s="39">
        <v>20000.0</v>
      </c>
      <c r="F48" s="38" t="s">
        <v>136</v>
      </c>
      <c r="G48" s="36">
        <f t="shared" si="1"/>
        <v>0</v>
      </c>
      <c r="H48" s="40">
        <f t="shared" si="2"/>
        <v>0</v>
      </c>
      <c r="I48" s="36">
        <f t="shared" si="3"/>
        <v>0</v>
      </c>
      <c r="J48" s="36">
        <f t="shared" si="4"/>
        <v>20000</v>
      </c>
      <c r="K48" s="40">
        <f t="shared" si="5"/>
        <v>0.07</v>
      </c>
      <c r="L48" s="36">
        <f t="shared" si="6"/>
        <v>1400</v>
      </c>
      <c r="M48" s="36">
        <f t="shared" si="7"/>
        <v>18600</v>
      </c>
      <c r="N48" s="42"/>
      <c r="O48" s="38" t="s">
        <v>135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38" t="s">
        <v>331</v>
      </c>
      <c r="B49" s="38" t="s">
        <v>244</v>
      </c>
      <c r="C49" s="38" t="s">
        <v>135</v>
      </c>
      <c r="D49" s="38" t="s">
        <v>50</v>
      </c>
      <c r="E49" s="39">
        <v>25000.0</v>
      </c>
      <c r="F49" s="38" t="s">
        <v>136</v>
      </c>
      <c r="G49" s="36">
        <f t="shared" si="1"/>
        <v>0</v>
      </c>
      <c r="H49" s="40">
        <f t="shared" si="2"/>
        <v>0</v>
      </c>
      <c r="I49" s="36">
        <f t="shared" si="3"/>
        <v>0</v>
      </c>
      <c r="J49" s="36">
        <f t="shared" si="4"/>
        <v>25000</v>
      </c>
      <c r="K49" s="40">
        <f t="shared" si="5"/>
        <v>0.07</v>
      </c>
      <c r="L49" s="36">
        <f t="shared" si="6"/>
        <v>1750</v>
      </c>
      <c r="M49" s="36">
        <f t="shared" si="7"/>
        <v>23250</v>
      </c>
      <c r="N49" s="42"/>
      <c r="O49" s="38" t="s">
        <v>135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38" t="s">
        <v>651</v>
      </c>
      <c r="B50" s="38" t="s">
        <v>244</v>
      </c>
      <c r="C50" s="38" t="s">
        <v>50</v>
      </c>
      <c r="D50" s="38" t="s">
        <v>50</v>
      </c>
      <c r="E50" s="39">
        <v>45000.0</v>
      </c>
      <c r="F50" s="38" t="s">
        <v>136</v>
      </c>
      <c r="G50" s="36">
        <f t="shared" si="1"/>
        <v>0</v>
      </c>
      <c r="H50" s="40">
        <f t="shared" si="2"/>
        <v>0</v>
      </c>
      <c r="I50" s="36">
        <f t="shared" si="3"/>
        <v>0</v>
      </c>
      <c r="J50" s="36">
        <f t="shared" si="4"/>
        <v>45000</v>
      </c>
      <c r="K50" s="40">
        <f t="shared" si="5"/>
        <v>0.07</v>
      </c>
      <c r="L50" s="36">
        <f t="shared" si="6"/>
        <v>3150</v>
      </c>
      <c r="M50" s="36">
        <f t="shared" si="7"/>
        <v>41850</v>
      </c>
      <c r="N50" s="42"/>
      <c r="O50" s="38" t="s">
        <v>135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38" t="s">
        <v>652</v>
      </c>
      <c r="B51" s="38" t="s">
        <v>244</v>
      </c>
      <c r="C51" s="38" t="s">
        <v>51</v>
      </c>
      <c r="D51" s="38" t="s">
        <v>50</v>
      </c>
      <c r="E51" s="39">
        <v>35000.0</v>
      </c>
      <c r="F51" s="38" t="s">
        <v>136</v>
      </c>
      <c r="G51" s="36">
        <f t="shared" si="1"/>
        <v>0</v>
      </c>
      <c r="H51" s="40">
        <f t="shared" si="2"/>
        <v>0</v>
      </c>
      <c r="I51" s="36">
        <f t="shared" si="3"/>
        <v>0</v>
      </c>
      <c r="J51" s="36">
        <f t="shared" si="4"/>
        <v>35000</v>
      </c>
      <c r="K51" s="40">
        <f t="shared" si="5"/>
        <v>0.07</v>
      </c>
      <c r="L51" s="36">
        <f t="shared" si="6"/>
        <v>2450</v>
      </c>
      <c r="M51" s="36">
        <f t="shared" si="7"/>
        <v>32550</v>
      </c>
      <c r="N51" s="42"/>
      <c r="O51" s="38" t="s">
        <v>135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38" t="s">
        <v>331</v>
      </c>
      <c r="B52" s="38" t="s">
        <v>244</v>
      </c>
      <c r="C52" s="38" t="s">
        <v>135</v>
      </c>
      <c r="D52" s="38" t="s">
        <v>50</v>
      </c>
      <c r="E52" s="39">
        <v>25000.0</v>
      </c>
      <c r="F52" s="38" t="s">
        <v>292</v>
      </c>
      <c r="G52" s="36">
        <f t="shared" si="1"/>
        <v>0</v>
      </c>
      <c r="H52" s="40">
        <f t="shared" si="2"/>
        <v>0</v>
      </c>
      <c r="I52" s="36">
        <f t="shared" si="3"/>
        <v>0</v>
      </c>
      <c r="J52" s="36">
        <f t="shared" si="4"/>
        <v>25000</v>
      </c>
      <c r="K52" s="40">
        <f t="shared" si="5"/>
        <v>0.07</v>
      </c>
      <c r="L52" s="36">
        <f t="shared" si="6"/>
        <v>1750</v>
      </c>
      <c r="M52" s="36">
        <f t="shared" si="7"/>
        <v>23250</v>
      </c>
      <c r="N52" s="42"/>
      <c r="O52" s="38" t="s">
        <v>135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38" t="s">
        <v>653</v>
      </c>
      <c r="B53" s="38" t="s">
        <v>244</v>
      </c>
      <c r="C53" s="38" t="s">
        <v>50</v>
      </c>
      <c r="D53" s="38" t="s">
        <v>50</v>
      </c>
      <c r="E53" s="39">
        <v>95000.0</v>
      </c>
      <c r="F53" s="38" t="s">
        <v>136</v>
      </c>
      <c r="G53" s="36">
        <f t="shared" si="1"/>
        <v>0</v>
      </c>
      <c r="H53" s="40">
        <f t="shared" si="2"/>
        <v>0</v>
      </c>
      <c r="I53" s="36">
        <f t="shared" si="3"/>
        <v>0</v>
      </c>
      <c r="J53" s="36">
        <f t="shared" si="4"/>
        <v>95000</v>
      </c>
      <c r="K53" s="40">
        <f t="shared" si="5"/>
        <v>0.07</v>
      </c>
      <c r="L53" s="36">
        <f t="shared" si="6"/>
        <v>6650</v>
      </c>
      <c r="M53" s="36">
        <f t="shared" si="7"/>
        <v>88350</v>
      </c>
      <c r="N53" s="38" t="s">
        <v>654</v>
      </c>
      <c r="O53" s="38" t="s">
        <v>135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38" t="s">
        <v>655</v>
      </c>
      <c r="B54" s="38" t="s">
        <v>244</v>
      </c>
      <c r="C54" s="38" t="s">
        <v>52</v>
      </c>
      <c r="D54" s="38" t="s">
        <v>50</v>
      </c>
      <c r="E54" s="39">
        <v>18000.0</v>
      </c>
      <c r="F54" s="38" t="s">
        <v>136</v>
      </c>
      <c r="G54" s="36">
        <f t="shared" si="1"/>
        <v>0</v>
      </c>
      <c r="H54" s="40">
        <f t="shared" si="2"/>
        <v>0</v>
      </c>
      <c r="I54" s="36">
        <f t="shared" si="3"/>
        <v>0</v>
      </c>
      <c r="J54" s="36">
        <f t="shared" si="4"/>
        <v>18000</v>
      </c>
      <c r="K54" s="40">
        <f t="shared" si="5"/>
        <v>0.07</v>
      </c>
      <c r="L54" s="36">
        <f t="shared" si="6"/>
        <v>1260</v>
      </c>
      <c r="M54" s="36">
        <f t="shared" si="7"/>
        <v>16740</v>
      </c>
      <c r="N54" s="42"/>
      <c r="O54" s="38" t="s">
        <v>135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38" t="s">
        <v>656</v>
      </c>
      <c r="B55" s="38" t="s">
        <v>244</v>
      </c>
      <c r="C55" s="38" t="s">
        <v>52</v>
      </c>
      <c r="D55" s="38" t="s">
        <v>50</v>
      </c>
      <c r="E55" s="39">
        <v>10000.0</v>
      </c>
      <c r="F55" s="38" t="s">
        <v>136</v>
      </c>
      <c r="G55" s="36">
        <f t="shared" si="1"/>
        <v>0</v>
      </c>
      <c r="H55" s="40">
        <f t="shared" si="2"/>
        <v>0</v>
      </c>
      <c r="I55" s="36">
        <f t="shared" si="3"/>
        <v>0</v>
      </c>
      <c r="J55" s="36">
        <f t="shared" si="4"/>
        <v>10000</v>
      </c>
      <c r="K55" s="40">
        <f t="shared" si="5"/>
        <v>0.07</v>
      </c>
      <c r="L55" s="36">
        <f t="shared" si="6"/>
        <v>700</v>
      </c>
      <c r="M55" s="36">
        <f t="shared" si="7"/>
        <v>9300</v>
      </c>
      <c r="N55" s="42"/>
      <c r="O55" s="38" t="s">
        <v>135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38" t="s">
        <v>657</v>
      </c>
      <c r="B56" s="42"/>
      <c r="C56" s="38" t="s">
        <v>49</v>
      </c>
      <c r="D56" s="38" t="s">
        <v>109</v>
      </c>
      <c r="E56" s="39">
        <v>25000.0</v>
      </c>
      <c r="F56" s="38" t="s">
        <v>136</v>
      </c>
      <c r="G56" s="36">
        <f t="shared" si="1"/>
        <v>0</v>
      </c>
      <c r="H56" s="40">
        <f t="shared" si="2"/>
        <v>0</v>
      </c>
      <c r="I56" s="36">
        <f t="shared" si="3"/>
        <v>0</v>
      </c>
      <c r="J56" s="36">
        <f t="shared" si="4"/>
        <v>25000</v>
      </c>
      <c r="K56" s="40">
        <f t="shared" si="5"/>
        <v>0.07</v>
      </c>
      <c r="L56" s="36">
        <f t="shared" si="6"/>
        <v>1750</v>
      </c>
      <c r="M56" s="36">
        <f t="shared" si="7"/>
        <v>23250</v>
      </c>
      <c r="N56" s="42"/>
      <c r="O56" s="38" t="s">
        <v>135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38" t="s">
        <v>658</v>
      </c>
      <c r="B57" s="38" t="s">
        <v>179</v>
      </c>
      <c r="C57" s="38" t="s">
        <v>52</v>
      </c>
      <c r="D57" s="38" t="s">
        <v>109</v>
      </c>
      <c r="E57" s="39">
        <v>50000.0</v>
      </c>
      <c r="F57" s="38" t="s">
        <v>136</v>
      </c>
      <c r="G57" s="36">
        <f t="shared" si="1"/>
        <v>0</v>
      </c>
      <c r="H57" s="40">
        <f t="shared" si="2"/>
        <v>0</v>
      </c>
      <c r="I57" s="36">
        <f t="shared" si="3"/>
        <v>0</v>
      </c>
      <c r="J57" s="36">
        <f t="shared" si="4"/>
        <v>50000</v>
      </c>
      <c r="K57" s="40">
        <f t="shared" si="5"/>
        <v>0.07</v>
      </c>
      <c r="L57" s="36">
        <f t="shared" si="6"/>
        <v>3500</v>
      </c>
      <c r="M57" s="36">
        <f t="shared" si="7"/>
        <v>46500</v>
      </c>
      <c r="N57" s="42"/>
      <c r="O57" s="38" t="s">
        <v>135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38" t="s">
        <v>659</v>
      </c>
      <c r="B58" s="38" t="s">
        <v>244</v>
      </c>
      <c r="C58" s="38" t="s">
        <v>53</v>
      </c>
      <c r="D58" s="38" t="s">
        <v>50</v>
      </c>
      <c r="E58" s="39">
        <v>20000.0</v>
      </c>
      <c r="F58" s="38" t="s">
        <v>136</v>
      </c>
      <c r="G58" s="36">
        <f t="shared" si="1"/>
        <v>0</v>
      </c>
      <c r="H58" s="40">
        <f t="shared" si="2"/>
        <v>0</v>
      </c>
      <c r="I58" s="36">
        <f t="shared" si="3"/>
        <v>0</v>
      </c>
      <c r="J58" s="36">
        <f t="shared" si="4"/>
        <v>20000</v>
      </c>
      <c r="K58" s="40">
        <f t="shared" si="5"/>
        <v>0.07</v>
      </c>
      <c r="L58" s="36">
        <f t="shared" si="6"/>
        <v>1400</v>
      </c>
      <c r="M58" s="36">
        <f t="shared" si="7"/>
        <v>18600</v>
      </c>
      <c r="N58" s="42"/>
      <c r="O58" s="38" t="s">
        <v>135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38" t="s">
        <v>660</v>
      </c>
      <c r="B59" s="38" t="s">
        <v>244</v>
      </c>
      <c r="C59" s="38" t="s">
        <v>49</v>
      </c>
      <c r="D59" s="38" t="s">
        <v>50</v>
      </c>
      <c r="E59" s="39">
        <v>30000.0</v>
      </c>
      <c r="F59" s="38" t="s">
        <v>136</v>
      </c>
      <c r="G59" s="36">
        <f t="shared" si="1"/>
        <v>0</v>
      </c>
      <c r="H59" s="40">
        <f t="shared" si="2"/>
        <v>0</v>
      </c>
      <c r="I59" s="36">
        <f t="shared" si="3"/>
        <v>0</v>
      </c>
      <c r="J59" s="36">
        <f t="shared" si="4"/>
        <v>30000</v>
      </c>
      <c r="K59" s="40">
        <f t="shared" si="5"/>
        <v>0.07</v>
      </c>
      <c r="L59" s="36">
        <f t="shared" si="6"/>
        <v>2100</v>
      </c>
      <c r="M59" s="36">
        <f t="shared" si="7"/>
        <v>27900</v>
      </c>
      <c r="N59" s="42"/>
      <c r="O59" s="38" t="s">
        <v>135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42"/>
      <c r="B60" s="42"/>
      <c r="C60" s="42"/>
      <c r="D60" s="42"/>
      <c r="E60" s="49"/>
      <c r="F60" s="42"/>
      <c r="G60" s="36">
        <f t="shared" si="1"/>
        <v>0</v>
      </c>
      <c r="H60" s="40">
        <f t="shared" si="2"/>
        <v>0</v>
      </c>
      <c r="I60" s="36">
        <f t="shared" si="3"/>
        <v>0</v>
      </c>
      <c r="J60" s="36">
        <f t="shared" si="4"/>
        <v>0</v>
      </c>
      <c r="K60" s="40">
        <f t="shared" si="5"/>
        <v>0</v>
      </c>
      <c r="L60" s="36">
        <f t="shared" si="6"/>
        <v>0</v>
      </c>
      <c r="M60" s="36">
        <f t="shared" si="7"/>
        <v>0</v>
      </c>
      <c r="N60" s="42"/>
      <c r="O60" s="4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42"/>
      <c r="B61" s="42"/>
      <c r="C61" s="42"/>
      <c r="D61" s="42"/>
      <c r="E61" s="49"/>
      <c r="F61" s="42"/>
      <c r="G61" s="36">
        <f t="shared" si="1"/>
        <v>0</v>
      </c>
      <c r="H61" s="40">
        <f t="shared" si="2"/>
        <v>0</v>
      </c>
      <c r="I61" s="36">
        <f t="shared" si="3"/>
        <v>0</v>
      </c>
      <c r="J61" s="36">
        <f t="shared" si="4"/>
        <v>0</v>
      </c>
      <c r="K61" s="40">
        <f t="shared" si="5"/>
        <v>0</v>
      </c>
      <c r="L61" s="36">
        <f t="shared" si="6"/>
        <v>0</v>
      </c>
      <c r="M61" s="36">
        <f t="shared" si="7"/>
        <v>0</v>
      </c>
      <c r="N61" s="42"/>
      <c r="O61" s="4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42"/>
      <c r="B62" s="42"/>
      <c r="C62" s="42"/>
      <c r="D62" s="42"/>
      <c r="E62" s="49"/>
      <c r="F62" s="42"/>
      <c r="G62" s="36">
        <f t="shared" si="1"/>
        <v>0</v>
      </c>
      <c r="H62" s="40">
        <f t="shared" si="2"/>
        <v>0</v>
      </c>
      <c r="I62" s="36">
        <f t="shared" si="3"/>
        <v>0</v>
      </c>
      <c r="J62" s="36">
        <f t="shared" si="4"/>
        <v>0</v>
      </c>
      <c r="K62" s="40">
        <f t="shared" si="5"/>
        <v>0</v>
      </c>
      <c r="L62" s="36">
        <f t="shared" si="6"/>
        <v>0</v>
      </c>
      <c r="M62" s="36">
        <f t="shared" si="7"/>
        <v>0</v>
      </c>
      <c r="N62" s="42"/>
      <c r="O62" s="4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42"/>
      <c r="B63" s="42"/>
      <c r="C63" s="42"/>
      <c r="D63" s="42"/>
      <c r="E63" s="49"/>
      <c r="F63" s="42"/>
      <c r="G63" s="36">
        <f t="shared" si="1"/>
        <v>0</v>
      </c>
      <c r="H63" s="40">
        <f t="shared" si="2"/>
        <v>0</v>
      </c>
      <c r="I63" s="36">
        <f t="shared" si="3"/>
        <v>0</v>
      </c>
      <c r="J63" s="36">
        <f t="shared" si="4"/>
        <v>0</v>
      </c>
      <c r="K63" s="40">
        <f t="shared" si="5"/>
        <v>0</v>
      </c>
      <c r="L63" s="36">
        <f t="shared" si="6"/>
        <v>0</v>
      </c>
      <c r="M63" s="36">
        <f t="shared" si="7"/>
        <v>0</v>
      </c>
      <c r="N63" s="42"/>
      <c r="O63" s="4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42"/>
      <c r="B64" s="42"/>
      <c r="C64" s="42"/>
      <c r="D64" s="42"/>
      <c r="E64" s="49"/>
      <c r="F64" s="42"/>
      <c r="G64" s="36">
        <f t="shared" si="1"/>
        <v>0</v>
      </c>
      <c r="H64" s="40">
        <f t="shared" si="2"/>
        <v>0</v>
      </c>
      <c r="I64" s="36">
        <f t="shared" si="3"/>
        <v>0</v>
      </c>
      <c r="J64" s="36">
        <f t="shared" si="4"/>
        <v>0</v>
      </c>
      <c r="K64" s="40">
        <f t="shared" si="5"/>
        <v>0</v>
      </c>
      <c r="L64" s="36">
        <f t="shared" si="6"/>
        <v>0</v>
      </c>
      <c r="M64" s="36">
        <f t="shared" si="7"/>
        <v>0</v>
      </c>
      <c r="N64" s="42"/>
      <c r="O64" s="4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42"/>
      <c r="B65" s="42"/>
      <c r="C65" s="42"/>
      <c r="D65" s="42"/>
      <c r="E65" s="49"/>
      <c r="F65" s="42"/>
      <c r="G65" s="36">
        <f t="shared" si="1"/>
        <v>0</v>
      </c>
      <c r="H65" s="40">
        <f t="shared" si="2"/>
        <v>0</v>
      </c>
      <c r="I65" s="36">
        <f t="shared" si="3"/>
        <v>0</v>
      </c>
      <c r="J65" s="36">
        <f t="shared" si="4"/>
        <v>0</v>
      </c>
      <c r="K65" s="40">
        <f t="shared" si="5"/>
        <v>0</v>
      </c>
      <c r="L65" s="36">
        <f t="shared" si="6"/>
        <v>0</v>
      </c>
      <c r="M65" s="36">
        <f t="shared" si="7"/>
        <v>0</v>
      </c>
      <c r="N65" s="42"/>
      <c r="O65" s="4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42"/>
      <c r="B66" s="42"/>
      <c r="C66" s="42"/>
      <c r="D66" s="42"/>
      <c r="E66" s="49"/>
      <c r="F66" s="42"/>
      <c r="G66" s="36">
        <f t="shared" si="1"/>
        <v>0</v>
      </c>
      <c r="H66" s="40">
        <f t="shared" si="2"/>
        <v>0</v>
      </c>
      <c r="I66" s="36">
        <f t="shared" si="3"/>
        <v>0</v>
      </c>
      <c r="J66" s="36">
        <f t="shared" si="4"/>
        <v>0</v>
      </c>
      <c r="K66" s="40">
        <f t="shared" si="5"/>
        <v>0</v>
      </c>
      <c r="L66" s="36">
        <f t="shared" si="6"/>
        <v>0</v>
      </c>
      <c r="M66" s="36">
        <f t="shared" si="7"/>
        <v>0</v>
      </c>
      <c r="N66" s="42"/>
      <c r="O66" s="4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42"/>
      <c r="B67" s="42"/>
      <c r="C67" s="42"/>
      <c r="D67" s="42"/>
      <c r="E67" s="49"/>
      <c r="F67" s="42"/>
      <c r="G67" s="36">
        <f t="shared" si="1"/>
        <v>0</v>
      </c>
      <c r="H67" s="40">
        <f t="shared" si="2"/>
        <v>0</v>
      </c>
      <c r="I67" s="36">
        <f t="shared" si="3"/>
        <v>0</v>
      </c>
      <c r="J67" s="36">
        <f t="shared" si="4"/>
        <v>0</v>
      </c>
      <c r="K67" s="40">
        <f t="shared" si="5"/>
        <v>0</v>
      </c>
      <c r="L67" s="36">
        <f t="shared" si="6"/>
        <v>0</v>
      </c>
      <c r="M67" s="36">
        <f t="shared" si="7"/>
        <v>0</v>
      </c>
      <c r="N67" s="42"/>
      <c r="O67" s="4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42"/>
      <c r="B68" s="42"/>
      <c r="C68" s="42"/>
      <c r="D68" s="42"/>
      <c r="E68" s="49"/>
      <c r="F68" s="42"/>
      <c r="G68" s="36">
        <f t="shared" si="1"/>
        <v>0</v>
      </c>
      <c r="H68" s="40">
        <f t="shared" si="2"/>
        <v>0</v>
      </c>
      <c r="I68" s="36">
        <f t="shared" si="3"/>
        <v>0</v>
      </c>
      <c r="J68" s="36">
        <f t="shared" si="4"/>
        <v>0</v>
      </c>
      <c r="K68" s="40">
        <f t="shared" si="5"/>
        <v>0</v>
      </c>
      <c r="L68" s="36">
        <f t="shared" si="6"/>
        <v>0</v>
      </c>
      <c r="M68" s="36">
        <f t="shared" si="7"/>
        <v>0</v>
      </c>
      <c r="N68" s="42"/>
      <c r="O68" s="4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42"/>
      <c r="B69" s="42"/>
      <c r="C69" s="42"/>
      <c r="D69" s="42"/>
      <c r="E69" s="49"/>
      <c r="F69" s="42"/>
      <c r="G69" s="36">
        <f t="shared" si="1"/>
        <v>0</v>
      </c>
      <c r="H69" s="40">
        <f t="shared" si="2"/>
        <v>0</v>
      </c>
      <c r="I69" s="36">
        <f t="shared" si="3"/>
        <v>0</v>
      </c>
      <c r="J69" s="36">
        <f t="shared" si="4"/>
        <v>0</v>
      </c>
      <c r="K69" s="40">
        <f t="shared" si="5"/>
        <v>0</v>
      </c>
      <c r="L69" s="36">
        <f t="shared" si="6"/>
        <v>0</v>
      </c>
      <c r="M69" s="36">
        <f t="shared" si="7"/>
        <v>0</v>
      </c>
      <c r="N69" s="42"/>
      <c r="O69" s="4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42"/>
      <c r="B70" s="42"/>
      <c r="C70" s="42"/>
      <c r="D70" s="42"/>
      <c r="E70" s="49"/>
      <c r="F70" s="42"/>
      <c r="G70" s="36">
        <f t="shared" si="1"/>
        <v>0</v>
      </c>
      <c r="H70" s="40">
        <f t="shared" si="2"/>
        <v>0</v>
      </c>
      <c r="I70" s="36">
        <f t="shared" si="3"/>
        <v>0</v>
      </c>
      <c r="J70" s="36">
        <f t="shared" si="4"/>
        <v>0</v>
      </c>
      <c r="K70" s="40">
        <f t="shared" si="5"/>
        <v>0</v>
      </c>
      <c r="L70" s="36">
        <f t="shared" si="6"/>
        <v>0</v>
      </c>
      <c r="M70" s="36">
        <f t="shared" si="7"/>
        <v>0</v>
      </c>
      <c r="N70" s="42"/>
      <c r="O70" s="4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42"/>
      <c r="B71" s="42"/>
      <c r="C71" s="42"/>
      <c r="D71" s="42"/>
      <c r="E71" s="49"/>
      <c r="F71" s="42"/>
      <c r="G71" s="36">
        <f t="shared" si="1"/>
        <v>0</v>
      </c>
      <c r="H71" s="40">
        <f t="shared" si="2"/>
        <v>0</v>
      </c>
      <c r="I71" s="36">
        <f t="shared" si="3"/>
        <v>0</v>
      </c>
      <c r="J71" s="36">
        <f t="shared" si="4"/>
        <v>0</v>
      </c>
      <c r="K71" s="40">
        <f t="shared" si="5"/>
        <v>0</v>
      </c>
      <c r="L71" s="36">
        <f t="shared" si="6"/>
        <v>0</v>
      </c>
      <c r="M71" s="36">
        <f t="shared" si="7"/>
        <v>0</v>
      </c>
      <c r="N71" s="42"/>
      <c r="O71" s="4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42"/>
      <c r="B72" s="42"/>
      <c r="C72" s="42"/>
      <c r="D72" s="42"/>
      <c r="E72" s="49"/>
      <c r="F72" s="42"/>
      <c r="G72" s="36">
        <f t="shared" si="1"/>
        <v>0</v>
      </c>
      <c r="H72" s="40">
        <f t="shared" si="2"/>
        <v>0</v>
      </c>
      <c r="I72" s="36">
        <f t="shared" si="3"/>
        <v>0</v>
      </c>
      <c r="J72" s="36">
        <f t="shared" si="4"/>
        <v>0</v>
      </c>
      <c r="K72" s="40">
        <f t="shared" si="5"/>
        <v>0</v>
      </c>
      <c r="L72" s="36">
        <f t="shared" si="6"/>
        <v>0</v>
      </c>
      <c r="M72" s="36">
        <f t="shared" si="7"/>
        <v>0</v>
      </c>
      <c r="N72" s="42"/>
      <c r="O72" s="4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42"/>
      <c r="B73" s="42"/>
      <c r="C73" s="42"/>
      <c r="D73" s="42"/>
      <c r="E73" s="49"/>
      <c r="F73" s="42"/>
      <c r="G73" s="36">
        <f t="shared" si="1"/>
        <v>0</v>
      </c>
      <c r="H73" s="40">
        <f t="shared" si="2"/>
        <v>0</v>
      </c>
      <c r="I73" s="36">
        <f t="shared" si="3"/>
        <v>0</v>
      </c>
      <c r="J73" s="36">
        <f t="shared" si="4"/>
        <v>0</v>
      </c>
      <c r="K73" s="40">
        <f t="shared" si="5"/>
        <v>0</v>
      </c>
      <c r="L73" s="36">
        <f t="shared" si="6"/>
        <v>0</v>
      </c>
      <c r="M73" s="36">
        <f t="shared" si="7"/>
        <v>0</v>
      </c>
      <c r="N73" s="42"/>
      <c r="O73" s="4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42"/>
      <c r="B74" s="42"/>
      <c r="C74" s="42"/>
      <c r="D74" s="42"/>
      <c r="E74" s="49"/>
      <c r="F74" s="42"/>
      <c r="G74" s="36">
        <f t="shared" si="1"/>
        <v>0</v>
      </c>
      <c r="H74" s="40">
        <f t="shared" si="2"/>
        <v>0</v>
      </c>
      <c r="I74" s="36">
        <f t="shared" si="3"/>
        <v>0</v>
      </c>
      <c r="J74" s="36">
        <f t="shared" si="4"/>
        <v>0</v>
      </c>
      <c r="K74" s="40">
        <f t="shared" si="5"/>
        <v>0</v>
      </c>
      <c r="L74" s="36">
        <f t="shared" si="6"/>
        <v>0</v>
      </c>
      <c r="M74" s="36">
        <f t="shared" si="7"/>
        <v>0</v>
      </c>
      <c r="N74" s="42"/>
      <c r="O74" s="4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42"/>
      <c r="B75" s="42"/>
      <c r="C75" s="42"/>
      <c r="D75" s="42"/>
      <c r="E75" s="49"/>
      <c r="F75" s="42"/>
      <c r="G75" s="36">
        <f t="shared" si="1"/>
        <v>0</v>
      </c>
      <c r="H75" s="40">
        <f t="shared" si="2"/>
        <v>0</v>
      </c>
      <c r="I75" s="36">
        <f t="shared" si="3"/>
        <v>0</v>
      </c>
      <c r="J75" s="36">
        <f t="shared" si="4"/>
        <v>0</v>
      </c>
      <c r="K75" s="40">
        <f t="shared" si="5"/>
        <v>0</v>
      </c>
      <c r="L75" s="36">
        <f t="shared" si="6"/>
        <v>0</v>
      </c>
      <c r="M75" s="36">
        <f t="shared" si="7"/>
        <v>0</v>
      </c>
      <c r="N75" s="42"/>
      <c r="O75" s="4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42"/>
      <c r="B76" s="42"/>
      <c r="C76" s="42"/>
      <c r="D76" s="42"/>
      <c r="E76" s="49"/>
      <c r="F76" s="42"/>
      <c r="G76" s="36">
        <f t="shared" si="1"/>
        <v>0</v>
      </c>
      <c r="H76" s="40">
        <f t="shared" si="2"/>
        <v>0</v>
      </c>
      <c r="I76" s="36">
        <f t="shared" si="3"/>
        <v>0</v>
      </c>
      <c r="J76" s="36">
        <f t="shared" si="4"/>
        <v>0</v>
      </c>
      <c r="K76" s="40">
        <f t="shared" si="5"/>
        <v>0</v>
      </c>
      <c r="L76" s="36">
        <f t="shared" si="6"/>
        <v>0</v>
      </c>
      <c r="M76" s="36">
        <f t="shared" si="7"/>
        <v>0</v>
      </c>
      <c r="N76" s="42"/>
      <c r="O76" s="4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42"/>
      <c r="B77" s="42"/>
      <c r="C77" s="42"/>
      <c r="D77" s="42"/>
      <c r="E77" s="49"/>
      <c r="F77" s="42"/>
      <c r="G77" s="36">
        <f t="shared" si="1"/>
        <v>0</v>
      </c>
      <c r="H77" s="40">
        <f t="shared" si="2"/>
        <v>0</v>
      </c>
      <c r="I77" s="36">
        <f t="shared" si="3"/>
        <v>0</v>
      </c>
      <c r="J77" s="36">
        <f t="shared" si="4"/>
        <v>0</v>
      </c>
      <c r="K77" s="40">
        <f t="shared" si="5"/>
        <v>0</v>
      </c>
      <c r="L77" s="36">
        <f t="shared" si="6"/>
        <v>0</v>
      </c>
      <c r="M77" s="36">
        <f t="shared" si="7"/>
        <v>0</v>
      </c>
      <c r="N77" s="42"/>
      <c r="O77" s="4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42"/>
      <c r="B78" s="42"/>
      <c r="C78" s="42"/>
      <c r="D78" s="42"/>
      <c r="E78" s="49"/>
      <c r="F78" s="42"/>
      <c r="G78" s="36">
        <f t="shared" si="1"/>
        <v>0</v>
      </c>
      <c r="H78" s="40">
        <f t="shared" si="2"/>
        <v>0</v>
      </c>
      <c r="I78" s="36">
        <f t="shared" si="3"/>
        <v>0</v>
      </c>
      <c r="J78" s="36">
        <f t="shared" si="4"/>
        <v>0</v>
      </c>
      <c r="K78" s="40">
        <f t="shared" si="5"/>
        <v>0</v>
      </c>
      <c r="L78" s="36">
        <f t="shared" si="6"/>
        <v>0</v>
      </c>
      <c r="M78" s="36">
        <f t="shared" si="7"/>
        <v>0</v>
      </c>
      <c r="N78" s="42"/>
      <c r="O78" s="4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42"/>
      <c r="B79" s="42"/>
      <c r="C79" s="42"/>
      <c r="D79" s="42"/>
      <c r="E79" s="49"/>
      <c r="F79" s="42"/>
      <c r="G79" s="36">
        <f t="shared" si="1"/>
        <v>0</v>
      </c>
      <c r="H79" s="40">
        <f t="shared" si="2"/>
        <v>0</v>
      </c>
      <c r="I79" s="36">
        <f t="shared" si="3"/>
        <v>0</v>
      </c>
      <c r="J79" s="36">
        <f t="shared" si="4"/>
        <v>0</v>
      </c>
      <c r="K79" s="40">
        <f t="shared" si="5"/>
        <v>0</v>
      </c>
      <c r="L79" s="36">
        <f t="shared" si="6"/>
        <v>0</v>
      </c>
      <c r="M79" s="36">
        <f t="shared" si="7"/>
        <v>0</v>
      </c>
      <c r="N79" s="42"/>
      <c r="O79" s="4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42"/>
      <c r="B80" s="42"/>
      <c r="C80" s="42"/>
      <c r="D80" s="42"/>
      <c r="E80" s="49"/>
      <c r="F80" s="42"/>
      <c r="G80" s="36">
        <f t="shared" si="1"/>
        <v>0</v>
      </c>
      <c r="H80" s="40">
        <f t="shared" si="2"/>
        <v>0</v>
      </c>
      <c r="I80" s="36">
        <f t="shared" si="3"/>
        <v>0</v>
      </c>
      <c r="J80" s="36">
        <f t="shared" si="4"/>
        <v>0</v>
      </c>
      <c r="K80" s="40">
        <f t="shared" si="5"/>
        <v>0</v>
      </c>
      <c r="L80" s="36">
        <f t="shared" si="6"/>
        <v>0</v>
      </c>
      <c r="M80" s="36">
        <f t="shared" si="7"/>
        <v>0</v>
      </c>
      <c r="N80" s="42"/>
      <c r="O80" s="4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42"/>
      <c r="B81" s="42"/>
      <c r="C81" s="42"/>
      <c r="D81" s="42"/>
      <c r="E81" s="49"/>
      <c r="F81" s="42"/>
      <c r="G81" s="36">
        <f t="shared" si="1"/>
        <v>0</v>
      </c>
      <c r="H81" s="40">
        <f t="shared" si="2"/>
        <v>0</v>
      </c>
      <c r="I81" s="36">
        <f t="shared" si="3"/>
        <v>0</v>
      </c>
      <c r="J81" s="36">
        <f t="shared" si="4"/>
        <v>0</v>
      </c>
      <c r="K81" s="40">
        <f t="shared" si="5"/>
        <v>0</v>
      </c>
      <c r="L81" s="36">
        <f t="shared" si="6"/>
        <v>0</v>
      </c>
      <c r="M81" s="36">
        <f t="shared" si="7"/>
        <v>0</v>
      </c>
      <c r="N81" s="42"/>
      <c r="O81" s="4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42"/>
      <c r="B82" s="42"/>
      <c r="C82" s="42"/>
      <c r="D82" s="42"/>
      <c r="E82" s="49"/>
      <c r="F82" s="42"/>
      <c r="G82" s="36">
        <f t="shared" si="1"/>
        <v>0</v>
      </c>
      <c r="H82" s="40">
        <f t="shared" si="2"/>
        <v>0</v>
      </c>
      <c r="I82" s="36">
        <f t="shared" si="3"/>
        <v>0</v>
      </c>
      <c r="J82" s="36">
        <f t="shared" si="4"/>
        <v>0</v>
      </c>
      <c r="K82" s="40">
        <f t="shared" si="5"/>
        <v>0</v>
      </c>
      <c r="L82" s="36">
        <f t="shared" si="6"/>
        <v>0</v>
      </c>
      <c r="M82" s="36">
        <f t="shared" si="7"/>
        <v>0</v>
      </c>
      <c r="N82" s="42"/>
      <c r="O82" s="4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42"/>
      <c r="B83" s="42"/>
      <c r="C83" s="42"/>
      <c r="D83" s="42"/>
      <c r="E83" s="49"/>
      <c r="F83" s="42"/>
      <c r="G83" s="36">
        <f t="shared" si="1"/>
        <v>0</v>
      </c>
      <c r="H83" s="40">
        <f t="shared" si="2"/>
        <v>0</v>
      </c>
      <c r="I83" s="36">
        <f t="shared" si="3"/>
        <v>0</v>
      </c>
      <c r="J83" s="36">
        <f t="shared" si="4"/>
        <v>0</v>
      </c>
      <c r="K83" s="40">
        <f t="shared" si="5"/>
        <v>0</v>
      </c>
      <c r="L83" s="36">
        <f t="shared" si="6"/>
        <v>0</v>
      </c>
      <c r="M83" s="36">
        <f t="shared" si="7"/>
        <v>0</v>
      </c>
      <c r="N83" s="42"/>
      <c r="O83" s="4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42"/>
      <c r="B84" s="42"/>
      <c r="C84" s="42"/>
      <c r="D84" s="42"/>
      <c r="E84" s="49"/>
      <c r="F84" s="42"/>
      <c r="G84" s="36">
        <f t="shared" si="1"/>
        <v>0</v>
      </c>
      <c r="H84" s="40">
        <f t="shared" si="2"/>
        <v>0</v>
      </c>
      <c r="I84" s="36">
        <f t="shared" si="3"/>
        <v>0</v>
      </c>
      <c r="J84" s="36">
        <f t="shared" si="4"/>
        <v>0</v>
      </c>
      <c r="K84" s="40">
        <f t="shared" si="5"/>
        <v>0</v>
      </c>
      <c r="L84" s="36">
        <f t="shared" si="6"/>
        <v>0</v>
      </c>
      <c r="M84" s="36">
        <f t="shared" si="7"/>
        <v>0</v>
      </c>
      <c r="N84" s="42"/>
      <c r="O84" s="4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42"/>
      <c r="B85" s="42"/>
      <c r="C85" s="42"/>
      <c r="D85" s="42"/>
      <c r="E85" s="49"/>
      <c r="F85" s="42"/>
      <c r="G85" s="36">
        <f t="shared" si="1"/>
        <v>0</v>
      </c>
      <c r="H85" s="40">
        <f t="shared" si="2"/>
        <v>0</v>
      </c>
      <c r="I85" s="36">
        <f t="shared" si="3"/>
        <v>0</v>
      </c>
      <c r="J85" s="36">
        <f t="shared" si="4"/>
        <v>0</v>
      </c>
      <c r="K85" s="40">
        <f t="shared" si="5"/>
        <v>0</v>
      </c>
      <c r="L85" s="36">
        <f t="shared" si="6"/>
        <v>0</v>
      </c>
      <c r="M85" s="36">
        <f t="shared" si="7"/>
        <v>0</v>
      </c>
      <c r="N85" s="42"/>
      <c r="O85" s="4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42"/>
      <c r="B86" s="42"/>
      <c r="C86" s="42"/>
      <c r="D86" s="42"/>
      <c r="E86" s="49"/>
      <c r="F86" s="42"/>
      <c r="G86" s="36">
        <f t="shared" si="1"/>
        <v>0</v>
      </c>
      <c r="H86" s="40">
        <f t="shared" si="2"/>
        <v>0</v>
      </c>
      <c r="I86" s="36">
        <f t="shared" si="3"/>
        <v>0</v>
      </c>
      <c r="J86" s="36">
        <f t="shared" si="4"/>
        <v>0</v>
      </c>
      <c r="K86" s="40">
        <f t="shared" si="5"/>
        <v>0</v>
      </c>
      <c r="L86" s="36">
        <f t="shared" si="6"/>
        <v>0</v>
      </c>
      <c r="M86" s="36">
        <f t="shared" si="7"/>
        <v>0</v>
      </c>
      <c r="N86" s="42"/>
      <c r="O86" s="4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42"/>
      <c r="B87" s="42"/>
      <c r="C87" s="42"/>
      <c r="D87" s="42"/>
      <c r="E87" s="49"/>
      <c r="F87" s="42"/>
      <c r="G87" s="36">
        <f t="shared" si="1"/>
        <v>0</v>
      </c>
      <c r="H87" s="40">
        <f t="shared" si="2"/>
        <v>0</v>
      </c>
      <c r="I87" s="36">
        <f t="shared" si="3"/>
        <v>0</v>
      </c>
      <c r="J87" s="36">
        <f t="shared" si="4"/>
        <v>0</v>
      </c>
      <c r="K87" s="40">
        <f t="shared" si="5"/>
        <v>0</v>
      </c>
      <c r="L87" s="36">
        <f t="shared" si="6"/>
        <v>0</v>
      </c>
      <c r="M87" s="36">
        <f t="shared" si="7"/>
        <v>0</v>
      </c>
      <c r="N87" s="42"/>
      <c r="O87" s="4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42"/>
      <c r="B88" s="42"/>
      <c r="C88" s="42"/>
      <c r="D88" s="42"/>
      <c r="E88" s="49"/>
      <c r="F88" s="42"/>
      <c r="G88" s="36">
        <f t="shared" si="1"/>
        <v>0</v>
      </c>
      <c r="H88" s="40">
        <f t="shared" si="2"/>
        <v>0</v>
      </c>
      <c r="I88" s="36">
        <f t="shared" si="3"/>
        <v>0</v>
      </c>
      <c r="J88" s="36">
        <f t="shared" si="4"/>
        <v>0</v>
      </c>
      <c r="K88" s="40">
        <f t="shared" si="5"/>
        <v>0</v>
      </c>
      <c r="L88" s="36">
        <f t="shared" si="6"/>
        <v>0</v>
      </c>
      <c r="M88" s="36">
        <f t="shared" si="7"/>
        <v>0</v>
      </c>
      <c r="N88" s="42"/>
      <c r="O88" s="4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42"/>
      <c r="B89" s="42"/>
      <c r="C89" s="42"/>
      <c r="D89" s="42"/>
      <c r="E89" s="49"/>
      <c r="F89" s="42"/>
      <c r="G89" s="36">
        <f t="shared" si="1"/>
        <v>0</v>
      </c>
      <c r="H89" s="40">
        <f t="shared" si="2"/>
        <v>0</v>
      </c>
      <c r="I89" s="36">
        <f t="shared" si="3"/>
        <v>0</v>
      </c>
      <c r="J89" s="36">
        <f t="shared" si="4"/>
        <v>0</v>
      </c>
      <c r="K89" s="40">
        <f t="shared" si="5"/>
        <v>0</v>
      </c>
      <c r="L89" s="36">
        <f t="shared" si="6"/>
        <v>0</v>
      </c>
      <c r="M89" s="36">
        <f t="shared" si="7"/>
        <v>0</v>
      </c>
      <c r="N89" s="42"/>
      <c r="O89" s="4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42"/>
      <c r="B90" s="42"/>
      <c r="C90" s="42"/>
      <c r="D90" s="42"/>
      <c r="E90" s="49"/>
      <c r="F90" s="42"/>
      <c r="G90" s="36">
        <f t="shared" si="1"/>
        <v>0</v>
      </c>
      <c r="H90" s="40">
        <f t="shared" si="2"/>
        <v>0</v>
      </c>
      <c r="I90" s="36">
        <f t="shared" si="3"/>
        <v>0</v>
      </c>
      <c r="J90" s="36">
        <f t="shared" si="4"/>
        <v>0</v>
      </c>
      <c r="K90" s="40">
        <f t="shared" si="5"/>
        <v>0</v>
      </c>
      <c r="L90" s="36">
        <f t="shared" si="6"/>
        <v>0</v>
      </c>
      <c r="M90" s="36">
        <f t="shared" si="7"/>
        <v>0</v>
      </c>
      <c r="N90" s="42"/>
      <c r="O90" s="4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42"/>
      <c r="B91" s="42"/>
      <c r="C91" s="42"/>
      <c r="D91" s="42"/>
      <c r="E91" s="49"/>
      <c r="F91" s="42"/>
      <c r="G91" s="36">
        <f t="shared" si="1"/>
        <v>0</v>
      </c>
      <c r="H91" s="40">
        <f t="shared" si="2"/>
        <v>0</v>
      </c>
      <c r="I91" s="36">
        <f t="shared" si="3"/>
        <v>0</v>
      </c>
      <c r="J91" s="36">
        <f t="shared" si="4"/>
        <v>0</v>
      </c>
      <c r="K91" s="40">
        <f t="shared" si="5"/>
        <v>0</v>
      </c>
      <c r="L91" s="36">
        <f t="shared" si="6"/>
        <v>0</v>
      </c>
      <c r="M91" s="36">
        <f t="shared" si="7"/>
        <v>0</v>
      </c>
      <c r="N91" s="42"/>
      <c r="O91" s="4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42"/>
      <c r="B92" s="42"/>
      <c r="C92" s="42"/>
      <c r="D92" s="42"/>
      <c r="E92" s="49"/>
      <c r="F92" s="42"/>
      <c r="G92" s="36">
        <f t="shared" si="1"/>
        <v>0</v>
      </c>
      <c r="H92" s="40">
        <f t="shared" si="2"/>
        <v>0</v>
      </c>
      <c r="I92" s="36">
        <f t="shared" si="3"/>
        <v>0</v>
      </c>
      <c r="J92" s="36">
        <f t="shared" si="4"/>
        <v>0</v>
      </c>
      <c r="K92" s="40">
        <f t="shared" si="5"/>
        <v>0</v>
      </c>
      <c r="L92" s="36">
        <f t="shared" si="6"/>
        <v>0</v>
      </c>
      <c r="M92" s="36">
        <f t="shared" si="7"/>
        <v>0</v>
      </c>
      <c r="N92" s="42"/>
      <c r="O92" s="4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42"/>
      <c r="B93" s="42"/>
      <c r="C93" s="42"/>
      <c r="D93" s="42"/>
      <c r="E93" s="49"/>
      <c r="F93" s="42"/>
      <c r="G93" s="36">
        <f t="shared" si="1"/>
        <v>0</v>
      </c>
      <c r="H93" s="40">
        <f t="shared" si="2"/>
        <v>0</v>
      </c>
      <c r="I93" s="36">
        <f t="shared" si="3"/>
        <v>0</v>
      </c>
      <c r="J93" s="36">
        <f t="shared" si="4"/>
        <v>0</v>
      </c>
      <c r="K93" s="40">
        <f t="shared" si="5"/>
        <v>0</v>
      </c>
      <c r="L93" s="36">
        <f t="shared" si="6"/>
        <v>0</v>
      </c>
      <c r="M93" s="36">
        <f t="shared" si="7"/>
        <v>0</v>
      </c>
      <c r="N93" s="42"/>
      <c r="O93" s="4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42"/>
      <c r="B94" s="42"/>
      <c r="C94" s="42"/>
      <c r="D94" s="42"/>
      <c r="E94" s="49"/>
      <c r="F94" s="42"/>
      <c r="G94" s="36">
        <f t="shared" si="1"/>
        <v>0</v>
      </c>
      <c r="H94" s="40">
        <f t="shared" si="2"/>
        <v>0</v>
      </c>
      <c r="I94" s="36">
        <f t="shared" si="3"/>
        <v>0</v>
      </c>
      <c r="J94" s="36">
        <f t="shared" si="4"/>
        <v>0</v>
      </c>
      <c r="K94" s="40">
        <f t="shared" si="5"/>
        <v>0</v>
      </c>
      <c r="L94" s="36">
        <f t="shared" si="6"/>
        <v>0</v>
      </c>
      <c r="M94" s="36">
        <f t="shared" si="7"/>
        <v>0</v>
      </c>
      <c r="N94" s="42"/>
      <c r="O94" s="4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42"/>
      <c r="B95" s="42"/>
      <c r="C95" s="42"/>
      <c r="D95" s="42"/>
      <c r="E95" s="49"/>
      <c r="F95" s="42"/>
      <c r="G95" s="36">
        <f t="shared" si="1"/>
        <v>0</v>
      </c>
      <c r="H95" s="40">
        <f t="shared" si="2"/>
        <v>0</v>
      </c>
      <c r="I95" s="36">
        <f t="shared" si="3"/>
        <v>0</v>
      </c>
      <c r="J95" s="36">
        <f t="shared" si="4"/>
        <v>0</v>
      </c>
      <c r="K95" s="40">
        <f t="shared" si="5"/>
        <v>0</v>
      </c>
      <c r="L95" s="36">
        <f t="shared" si="6"/>
        <v>0</v>
      </c>
      <c r="M95" s="36">
        <f t="shared" si="7"/>
        <v>0</v>
      </c>
      <c r="N95" s="42"/>
      <c r="O95" s="4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42"/>
      <c r="B96" s="42"/>
      <c r="C96" s="42"/>
      <c r="D96" s="42"/>
      <c r="E96" s="49"/>
      <c r="F96" s="42"/>
      <c r="G96" s="36">
        <f t="shared" si="1"/>
        <v>0</v>
      </c>
      <c r="H96" s="40">
        <f t="shared" si="2"/>
        <v>0</v>
      </c>
      <c r="I96" s="36">
        <f t="shared" si="3"/>
        <v>0</v>
      </c>
      <c r="J96" s="36">
        <f t="shared" si="4"/>
        <v>0</v>
      </c>
      <c r="K96" s="40">
        <f t="shared" si="5"/>
        <v>0</v>
      </c>
      <c r="L96" s="36">
        <f t="shared" si="6"/>
        <v>0</v>
      </c>
      <c r="M96" s="36">
        <f t="shared" si="7"/>
        <v>0</v>
      </c>
      <c r="N96" s="42"/>
      <c r="O96" s="4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42"/>
      <c r="B97" s="42"/>
      <c r="C97" s="42"/>
      <c r="D97" s="42"/>
      <c r="E97" s="49"/>
      <c r="F97" s="42"/>
      <c r="G97" s="36">
        <f t="shared" si="1"/>
        <v>0</v>
      </c>
      <c r="H97" s="40">
        <f t="shared" si="2"/>
        <v>0</v>
      </c>
      <c r="I97" s="36">
        <f t="shared" si="3"/>
        <v>0</v>
      </c>
      <c r="J97" s="36">
        <f t="shared" si="4"/>
        <v>0</v>
      </c>
      <c r="K97" s="40">
        <f t="shared" si="5"/>
        <v>0</v>
      </c>
      <c r="L97" s="36">
        <f t="shared" si="6"/>
        <v>0</v>
      </c>
      <c r="M97" s="36">
        <f t="shared" si="7"/>
        <v>0</v>
      </c>
      <c r="N97" s="42"/>
      <c r="O97" s="4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42"/>
      <c r="B98" s="42"/>
      <c r="C98" s="42"/>
      <c r="D98" s="42"/>
      <c r="E98" s="49"/>
      <c r="F98" s="42"/>
      <c r="G98" s="36">
        <f t="shared" si="1"/>
        <v>0</v>
      </c>
      <c r="H98" s="40">
        <f t="shared" si="2"/>
        <v>0</v>
      </c>
      <c r="I98" s="36">
        <f t="shared" si="3"/>
        <v>0</v>
      </c>
      <c r="J98" s="36">
        <f t="shared" si="4"/>
        <v>0</v>
      </c>
      <c r="K98" s="40">
        <f t="shared" si="5"/>
        <v>0</v>
      </c>
      <c r="L98" s="36">
        <f t="shared" si="6"/>
        <v>0</v>
      </c>
      <c r="M98" s="36">
        <f t="shared" si="7"/>
        <v>0</v>
      </c>
      <c r="N98" s="42"/>
      <c r="O98" s="4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42"/>
      <c r="B99" s="42"/>
      <c r="C99" s="42"/>
      <c r="D99" s="42"/>
      <c r="E99" s="49"/>
      <c r="F99" s="42"/>
      <c r="G99" s="36">
        <f t="shared" si="1"/>
        <v>0</v>
      </c>
      <c r="H99" s="40">
        <f t="shared" si="2"/>
        <v>0</v>
      </c>
      <c r="I99" s="36">
        <f t="shared" si="3"/>
        <v>0</v>
      </c>
      <c r="J99" s="36">
        <f t="shared" si="4"/>
        <v>0</v>
      </c>
      <c r="K99" s="40">
        <f t="shared" si="5"/>
        <v>0</v>
      </c>
      <c r="L99" s="36">
        <f t="shared" si="6"/>
        <v>0</v>
      </c>
      <c r="M99" s="36">
        <f t="shared" si="7"/>
        <v>0</v>
      </c>
      <c r="N99" s="42"/>
      <c r="O99" s="4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42"/>
      <c r="B100" s="42"/>
      <c r="C100" s="42"/>
      <c r="D100" s="42"/>
      <c r="E100" s="49"/>
      <c r="F100" s="42"/>
      <c r="G100" s="36">
        <f t="shared" si="1"/>
        <v>0</v>
      </c>
      <c r="H100" s="40">
        <f t="shared" si="2"/>
        <v>0</v>
      </c>
      <c r="I100" s="36">
        <f t="shared" si="3"/>
        <v>0</v>
      </c>
      <c r="J100" s="36">
        <f t="shared" si="4"/>
        <v>0</v>
      </c>
      <c r="K100" s="40">
        <f t="shared" si="5"/>
        <v>0</v>
      </c>
      <c r="L100" s="36">
        <f t="shared" si="6"/>
        <v>0</v>
      </c>
      <c r="M100" s="36">
        <f t="shared" si="7"/>
        <v>0</v>
      </c>
      <c r="N100" s="42"/>
      <c r="O100" s="4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42"/>
      <c r="B101" s="42"/>
      <c r="C101" s="42"/>
      <c r="D101" s="42"/>
      <c r="E101" s="49"/>
      <c r="F101" s="42"/>
      <c r="G101" s="36">
        <f t="shared" si="1"/>
        <v>0</v>
      </c>
      <c r="H101" s="40">
        <f t="shared" si="2"/>
        <v>0</v>
      </c>
      <c r="I101" s="36">
        <f t="shared" si="3"/>
        <v>0</v>
      </c>
      <c r="J101" s="36">
        <f t="shared" si="4"/>
        <v>0</v>
      </c>
      <c r="K101" s="40">
        <f t="shared" si="5"/>
        <v>0</v>
      </c>
      <c r="L101" s="36">
        <f t="shared" si="6"/>
        <v>0</v>
      </c>
      <c r="M101" s="36">
        <f t="shared" si="7"/>
        <v>0</v>
      </c>
      <c r="N101" s="42"/>
      <c r="O101" s="4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42"/>
      <c r="B102" s="42"/>
      <c r="C102" s="42"/>
      <c r="D102" s="42"/>
      <c r="E102" s="49"/>
      <c r="F102" s="42"/>
      <c r="G102" s="36">
        <f t="shared" si="1"/>
        <v>0</v>
      </c>
      <c r="H102" s="40">
        <f t="shared" si="2"/>
        <v>0</v>
      </c>
      <c r="I102" s="36">
        <f t="shared" si="3"/>
        <v>0</v>
      </c>
      <c r="J102" s="36">
        <f t="shared" si="4"/>
        <v>0</v>
      </c>
      <c r="K102" s="40">
        <f t="shared" si="5"/>
        <v>0</v>
      </c>
      <c r="L102" s="36">
        <f t="shared" si="6"/>
        <v>0</v>
      </c>
      <c r="M102" s="36">
        <f t="shared" si="7"/>
        <v>0</v>
      </c>
      <c r="N102" s="42"/>
      <c r="O102" s="4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42"/>
      <c r="B103" s="42"/>
      <c r="C103" s="42"/>
      <c r="D103" s="42"/>
      <c r="E103" s="49"/>
      <c r="F103" s="42"/>
      <c r="G103" s="36">
        <f t="shared" si="1"/>
        <v>0</v>
      </c>
      <c r="H103" s="40">
        <f t="shared" si="2"/>
        <v>0</v>
      </c>
      <c r="I103" s="36">
        <f t="shared" si="3"/>
        <v>0</v>
      </c>
      <c r="J103" s="36">
        <f t="shared" si="4"/>
        <v>0</v>
      </c>
      <c r="K103" s="40">
        <f t="shared" si="5"/>
        <v>0</v>
      </c>
      <c r="L103" s="36">
        <f t="shared" si="6"/>
        <v>0</v>
      </c>
      <c r="M103" s="36">
        <f t="shared" si="7"/>
        <v>0</v>
      </c>
      <c r="N103" s="42"/>
      <c r="O103" s="4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0.0" customHeight="1">
      <c r="A108" s="50" t="s">
        <v>661</v>
      </c>
      <c r="B108" s="22"/>
      <c r="C108" s="22"/>
      <c r="D108" s="23"/>
      <c r="E108" s="1"/>
      <c r="F108" s="1"/>
      <c r="G108" s="51" t="s">
        <v>662</v>
      </c>
      <c r="H108" s="22"/>
      <c r="I108" s="22"/>
      <c r="J108" s="22"/>
      <c r="K108" s="2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52" t="s">
        <v>199</v>
      </c>
      <c r="B109" s="52" t="s">
        <v>200</v>
      </c>
      <c r="C109" s="52" t="s">
        <v>201</v>
      </c>
      <c r="D109" s="1"/>
      <c r="E109" s="1"/>
      <c r="F109" s="1"/>
      <c r="G109" s="53" t="s">
        <v>199</v>
      </c>
      <c r="H109" s="53" t="s">
        <v>200</v>
      </c>
      <c r="I109" s="53" t="s">
        <v>94</v>
      </c>
      <c r="J109" s="53" t="s">
        <v>201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54" t="s">
        <v>202</v>
      </c>
      <c r="B110" s="55">
        <f>Parametros!$B$1*Parametros!$B$2</f>
        <v>1463000</v>
      </c>
      <c r="C110" s="54"/>
      <c r="D110" s="1"/>
      <c r="E110" s="1"/>
      <c r="F110" s="1"/>
      <c r="G110" s="56"/>
      <c r="H110" s="56"/>
      <c r="I110" s="56"/>
      <c r="J110" s="5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54" t="s">
        <v>203</v>
      </c>
      <c r="B111" s="55">
        <v>70000.0</v>
      </c>
      <c r="C111" s="54"/>
      <c r="D111" s="1"/>
      <c r="E111" s="1"/>
      <c r="F111" s="1"/>
      <c r="G111" s="56"/>
      <c r="H111" s="56"/>
      <c r="I111" s="56"/>
      <c r="J111" s="5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54" t="s">
        <v>204</v>
      </c>
      <c r="B112" s="55">
        <v>69000.0</v>
      </c>
      <c r="C112" s="54"/>
      <c r="D112" s="1"/>
      <c r="E112" s="1"/>
      <c r="F112" s="1"/>
      <c r="G112" s="56"/>
      <c r="H112" s="56"/>
      <c r="I112" s="56"/>
      <c r="J112" s="5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54" t="s">
        <v>205</v>
      </c>
      <c r="B113" s="55">
        <v>39960.0</v>
      </c>
      <c r="C113" s="54"/>
      <c r="D113" s="1"/>
      <c r="E113" s="1"/>
      <c r="F113" s="1"/>
      <c r="G113" s="56"/>
      <c r="H113" s="56"/>
      <c r="I113" s="56"/>
      <c r="J113" s="5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54" t="s">
        <v>206</v>
      </c>
      <c r="B114" s="55">
        <v>35000.0</v>
      </c>
      <c r="C114" s="54"/>
      <c r="D114" s="1"/>
      <c r="E114" s="1"/>
      <c r="F114" s="1"/>
      <c r="G114" s="56"/>
      <c r="H114" s="56"/>
      <c r="I114" s="56"/>
      <c r="J114" s="5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54" t="s">
        <v>207</v>
      </c>
      <c r="B115" s="55">
        <v>25000.0</v>
      </c>
      <c r="C115" s="54"/>
      <c r="D115" s="1"/>
      <c r="E115" s="1"/>
      <c r="F115" s="1"/>
      <c r="G115" s="56"/>
      <c r="H115" s="56"/>
      <c r="I115" s="56"/>
      <c r="J115" s="5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54" t="s">
        <v>208</v>
      </c>
      <c r="B116" s="55">
        <v>50000.0</v>
      </c>
      <c r="C116" s="54"/>
      <c r="D116" s="1"/>
      <c r="E116" s="1"/>
      <c r="F116" s="1"/>
      <c r="G116" s="56"/>
      <c r="H116" s="56"/>
      <c r="I116" s="56"/>
      <c r="J116" s="5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54"/>
      <c r="B117" s="54"/>
      <c r="C117" s="54"/>
      <c r="D117" s="1"/>
      <c r="E117" s="1"/>
      <c r="F117" s="1"/>
      <c r="G117" s="56"/>
      <c r="H117" s="56"/>
      <c r="I117" s="56"/>
      <c r="J117" s="5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54"/>
      <c r="B118" s="54"/>
      <c r="C118" s="54"/>
      <c r="D118" s="1"/>
      <c r="E118" s="1"/>
      <c r="F118" s="1"/>
      <c r="G118" s="56"/>
      <c r="H118" s="56"/>
      <c r="I118" s="56"/>
      <c r="J118" s="5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54"/>
      <c r="B119" s="54"/>
      <c r="C119" s="54"/>
      <c r="D119" s="1"/>
      <c r="E119" s="1"/>
      <c r="F119" s="1"/>
      <c r="G119" s="56"/>
      <c r="H119" s="56"/>
      <c r="I119" s="56"/>
      <c r="J119" s="5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54"/>
      <c r="B120" s="54"/>
      <c r="C120" s="54"/>
      <c r="D120" s="1"/>
      <c r="E120" s="1"/>
      <c r="F120" s="1"/>
      <c r="G120" s="56"/>
      <c r="H120" s="56"/>
      <c r="I120" s="56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54"/>
      <c r="B121" s="54"/>
      <c r="C121" s="54"/>
      <c r="D121" s="1"/>
      <c r="E121" s="1"/>
      <c r="F121" s="1"/>
      <c r="G121" s="56"/>
      <c r="H121" s="56"/>
      <c r="I121" s="56"/>
      <c r="J121" s="5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54"/>
      <c r="B122" s="54"/>
      <c r="C122" s="54"/>
      <c r="D122" s="1"/>
      <c r="E122" s="1"/>
      <c r="F122" s="1"/>
      <c r="G122" s="56"/>
      <c r="H122" s="56"/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54"/>
      <c r="B123" s="54"/>
      <c r="C123" s="54"/>
      <c r="D123" s="1"/>
      <c r="E123" s="1"/>
      <c r="F123" s="1"/>
      <c r="G123" s="56"/>
      <c r="H123" s="56"/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54"/>
      <c r="B124" s="54"/>
      <c r="C124" s="54"/>
      <c r="D124" s="1"/>
      <c r="E124" s="1"/>
      <c r="F124" s="1"/>
      <c r="G124" s="56"/>
      <c r="H124" s="56"/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54"/>
      <c r="B125" s="54"/>
      <c r="C125" s="54"/>
      <c r="D125" s="1"/>
      <c r="E125" s="1"/>
      <c r="F125" s="1"/>
      <c r="G125" s="56"/>
      <c r="H125" s="56"/>
      <c r="I125" s="56"/>
      <c r="J125" s="5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54"/>
      <c r="B126" s="54"/>
      <c r="C126" s="54"/>
      <c r="D126" s="1"/>
      <c r="E126" s="1"/>
      <c r="F126" s="1"/>
      <c r="G126" s="56"/>
      <c r="H126" s="56"/>
      <c r="I126" s="56"/>
      <c r="J126" s="5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54"/>
      <c r="B127" s="54"/>
      <c r="C127" s="54"/>
      <c r="D127" s="1"/>
      <c r="E127" s="1"/>
      <c r="F127" s="1"/>
      <c r="G127" s="56"/>
      <c r="H127" s="56"/>
      <c r="I127" s="56"/>
      <c r="J127" s="5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54"/>
      <c r="B128" s="54"/>
      <c r="C128" s="54"/>
      <c r="D128" s="1"/>
      <c r="E128" s="1"/>
      <c r="F128" s="1"/>
      <c r="G128" s="56"/>
      <c r="H128" s="56"/>
      <c r="I128" s="56"/>
      <c r="J128" s="5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54"/>
      <c r="B129" s="54"/>
      <c r="C129" s="54"/>
      <c r="D129" s="1"/>
      <c r="E129" s="1"/>
      <c r="F129" s="1"/>
      <c r="G129" s="56"/>
      <c r="H129" s="56"/>
      <c r="I129" s="56"/>
      <c r="J129" s="5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7" t="s">
        <v>41</v>
      </c>
      <c r="B130" s="55">
        <f>SUM(B110:B129)</f>
        <v>1751960</v>
      </c>
      <c r="C130" s="1"/>
      <c r="D130" s="1"/>
      <c r="E130" s="1"/>
      <c r="F130" s="1"/>
      <c r="G130" s="58" t="s">
        <v>209</v>
      </c>
      <c r="H130" s="59">
        <f>SUM(H110:H129)</f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7" t="s">
        <v>42</v>
      </c>
      <c r="B131" s="55">
        <f>B130/5</f>
        <v>350392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O1"/>
    <mergeCell ref="A108:D108"/>
    <mergeCell ref="G108:K108"/>
  </mergeCells>
  <dataValidations>
    <dataValidation type="list" allowBlank="1" showErrorMessage="1" sqref="O4:O103">
      <formula1>Marcas!$A$2:$A$50</formula1>
    </dataValidation>
    <dataValidation type="list" allowBlank="1" showErrorMessage="1" sqref="D4:D103">
      <formula1>Lists!$B$2:$B$8</formula1>
    </dataValidation>
    <dataValidation type="list" allowBlank="1" showErrorMessage="1" sqref="F4:F103">
      <formula1>Lists!$A$2:$A$6</formula1>
    </dataValidation>
    <dataValidation type="list" allowBlank="1" showErrorMessage="1" sqref="C4:C103">
      <formula1>Lists!$C$2:$C$8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0"/>
    <col customWidth="1" min="3" max="3" width="18.0"/>
    <col customWidth="1" min="4" max="6" width="8.71"/>
  </cols>
  <sheetData>
    <row r="1">
      <c r="A1" s="24" t="s">
        <v>55</v>
      </c>
      <c r="B1" s="24" t="s">
        <v>663</v>
      </c>
      <c r="C1" s="24" t="s">
        <v>664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66" t="s">
        <v>500</v>
      </c>
      <c r="B2" s="67">
        <v>0.25</v>
      </c>
      <c r="C2" s="66" t="s">
        <v>665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66" t="s">
        <v>192</v>
      </c>
      <c r="B3" s="68">
        <v>0.25</v>
      </c>
      <c r="C3" s="66" t="s">
        <v>666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69" t="s">
        <v>234</v>
      </c>
      <c r="B4" s="67">
        <v>0.25</v>
      </c>
      <c r="C4" s="69" t="s">
        <v>666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66" t="s">
        <v>135</v>
      </c>
      <c r="B5" s="70">
        <v>0.0</v>
      </c>
      <c r="C5" s="66" t="s">
        <v>666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69" t="s">
        <v>163</v>
      </c>
      <c r="B6" s="68">
        <v>0.25</v>
      </c>
      <c r="C6" s="69" t="s">
        <v>666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69" t="s">
        <v>183</v>
      </c>
      <c r="B7" s="68">
        <v>0.25</v>
      </c>
      <c r="C7" s="69" t="s">
        <v>666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66"/>
      <c r="B8" s="66"/>
      <c r="C8" s="6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66"/>
      <c r="B9" s="66"/>
      <c r="C9" s="6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66"/>
      <c r="B10" s="66"/>
      <c r="C10" s="6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66"/>
      <c r="B11" s="66"/>
      <c r="C11" s="6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66"/>
      <c r="B12" s="66"/>
      <c r="C12" s="6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66"/>
      <c r="B13" s="66"/>
      <c r="C13" s="6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66"/>
      <c r="B14" s="66"/>
      <c r="C14" s="6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66"/>
      <c r="B15" s="66"/>
      <c r="C15" s="6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66"/>
      <c r="B16" s="66"/>
      <c r="C16" s="6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66"/>
      <c r="B17" s="66"/>
      <c r="C17" s="6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66"/>
      <c r="B18" s="66"/>
      <c r="C18" s="6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66"/>
      <c r="B19" s="66"/>
      <c r="C19" s="6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66"/>
      <c r="B20" s="66"/>
      <c r="C20" s="6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66"/>
      <c r="B21" s="66"/>
      <c r="C21" s="6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66"/>
      <c r="B22" s="66"/>
      <c r="C22" s="6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66"/>
      <c r="B23" s="66"/>
      <c r="C23" s="6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66"/>
      <c r="B24" s="66"/>
      <c r="C24" s="6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71" t="s">
        <v>667</v>
      </c>
      <c r="B1" s="72">
        <v>38000.0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1" t="s">
        <v>668</v>
      </c>
      <c r="B2" s="71">
        <v>38.5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6" width="8.71"/>
  </cols>
  <sheetData>
    <row r="1">
      <c r="A1" s="73" t="s">
        <v>669</v>
      </c>
      <c r="B1" s="73" t="s">
        <v>670</v>
      </c>
      <c r="C1" s="73" t="s">
        <v>671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3" t="s">
        <v>176</v>
      </c>
      <c r="B2" s="73" t="s">
        <v>49</v>
      </c>
      <c r="C2" s="73" t="s">
        <v>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3" t="s">
        <v>213</v>
      </c>
      <c r="B3" s="73" t="s">
        <v>50</v>
      </c>
      <c r="C3" s="73" t="s">
        <v>50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3" t="s">
        <v>292</v>
      </c>
      <c r="B4" s="73"/>
      <c r="C4" s="7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3" t="s">
        <v>136</v>
      </c>
      <c r="B5" s="73"/>
      <c r="C5" s="7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3" t="s">
        <v>150</v>
      </c>
      <c r="B6" s="73" t="s">
        <v>53</v>
      </c>
      <c r="C6" s="73" t="s">
        <v>53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3" t="s">
        <v>109</v>
      </c>
      <c r="C7" s="73" t="s">
        <v>135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3" t="s">
        <v>110</v>
      </c>
      <c r="C8" s="73" t="s">
        <v>166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186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