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brolf\Downloads\"/>
    </mc:Choice>
  </mc:AlternateContent>
  <xr:revisionPtr revIDLastSave="0" documentId="8_{86D4B88C-049F-4C0D-A3CA-2C5925C096DE}" xr6:coauthVersionLast="36" xr6:coauthVersionMax="36" xr10:uidLastSave="{00000000-0000-0000-0000-000000000000}"/>
  <bookViews>
    <workbookView xWindow="0" yWindow="0" windowWidth="28800" windowHeight="12210"/>
  </bookViews>
  <sheets>
    <sheet name="savedrecs" sheetId="1" r:id="rId1"/>
  </sheets>
  <calcPr calcId="191029"/>
</workbook>
</file>

<file path=xl/calcChain.xml><?xml version="1.0" encoding="utf-8"?>
<calcChain xmlns="http://schemas.openxmlformats.org/spreadsheetml/2006/main">
  <c r="BT1010" i="1" l="1"/>
  <c r="BF1010" i="1"/>
  <c r="BT1009" i="1"/>
  <c r="BF1009" i="1"/>
  <c r="BT1008" i="1"/>
  <c r="BF1008" i="1"/>
  <c r="BT1007" i="1"/>
  <c r="BF1007" i="1"/>
  <c r="BT1006" i="1"/>
  <c r="BF1006" i="1"/>
  <c r="BT1005" i="1"/>
  <c r="BF1005" i="1"/>
  <c r="BT1004" i="1"/>
  <c r="BF1004" i="1"/>
  <c r="BT1003" i="1"/>
  <c r="BF1003" i="1"/>
  <c r="BT1002" i="1"/>
  <c r="BF1002" i="1"/>
  <c r="BF2" i="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T108" i="1"/>
  <c r="BF109" i="1"/>
  <c r="BT109" i="1"/>
  <c r="BF110" i="1"/>
  <c r="BT110" i="1"/>
  <c r="BF111" i="1"/>
  <c r="BT111"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T159" i="1"/>
  <c r="BF160" i="1"/>
  <c r="BT160"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T177" i="1"/>
  <c r="BF178" i="1"/>
  <c r="BT178" i="1"/>
  <c r="BF179" i="1"/>
  <c r="BT179" i="1"/>
  <c r="BT180"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T495" i="1"/>
  <c r="BF496" i="1"/>
  <c r="BT496"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T597" i="1"/>
  <c r="BF598" i="1"/>
  <c r="BT598" i="1"/>
  <c r="BF599" i="1"/>
  <c r="BT599" i="1"/>
  <c r="BF600" i="1"/>
  <c r="BT600" i="1"/>
  <c r="BF601" i="1"/>
  <c r="BT601" i="1"/>
  <c r="BF602" i="1"/>
  <c r="BT602" i="1"/>
  <c r="BF603" i="1"/>
  <c r="BT603" i="1"/>
  <c r="BF604" i="1"/>
  <c r="BT604" i="1"/>
  <c r="BF605" i="1"/>
  <c r="BT605" i="1"/>
  <c r="BF606" i="1"/>
  <c r="BT606" i="1"/>
  <c r="BT607" i="1"/>
  <c r="BF608" i="1"/>
  <c r="BT608" i="1"/>
  <c r="BF609" i="1"/>
  <c r="BT609" i="1"/>
  <c r="BF610" i="1"/>
  <c r="BT610" i="1"/>
  <c r="BF611" i="1"/>
  <c r="BT611" i="1"/>
  <c r="BF612" i="1"/>
  <c r="BT612" i="1"/>
  <c r="BF613" i="1"/>
  <c r="BT613"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T635" i="1"/>
  <c r="BF636" i="1"/>
  <c r="BT636" i="1"/>
  <c r="BF637" i="1"/>
  <c r="BT637" i="1"/>
  <c r="BF638" i="1"/>
  <c r="BT638" i="1"/>
  <c r="BF639" i="1"/>
  <c r="BT639" i="1"/>
  <c r="BF640" i="1"/>
  <c r="BT640" i="1"/>
  <c r="BF641" i="1"/>
  <c r="BT641" i="1"/>
  <c r="BF642" i="1"/>
  <c r="BT642" i="1"/>
  <c r="BF643" i="1"/>
  <c r="BT643"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<sst xmlns="http://schemas.openxmlformats.org/spreadsheetml/2006/main" count="60445" uniqueCount="18781">
  <si>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</si>
  <si>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</si>
  <si>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</si>
  <si>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</si>
  <si>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</si>
  <si>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</si>
  <si>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</si>
  <si>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</si>
  <si>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</si>
  <si>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</si>
  <si>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</si>
  <si>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</si>
  <si>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</si>
  <si>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</si>
  <si>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</si>
  <si>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</si>
  <si>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</si>
  <si>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</si>
  <si>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</si>
  <si>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</si>
  <si>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</si>
  <si>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</si>
  <si>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</si>
  <si>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</si>
  <si>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</si>
  <si>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</si>
  <si>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</si>
  <si>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</si>
  <si>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</si>
  <si>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</si>
  <si>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</si>
  <si>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</si>
  <si>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</si>
  <si>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</si>
  <si>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</si>
  <si>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</si>
  <si>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</si>
  <si>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</si>
  <si>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</si>
  <si>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</si>
  <si>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</si>
  <si>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</si>
  <si>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</si>
  <si>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</si>
  <si>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</si>
  <si>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</si>
  <si>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</si>
  <si>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</si>
  <si>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</si>
  <si>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</si>
  <si>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</si>
  <si>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</si>
  <si>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</si>
  <si>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</si>
  <si>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</si>
  <si>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</si>
  <si>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</si>
  <si>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</si>
  <si>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</si>
  <si>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</si>
  <si>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</si>
  <si>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</si>
  <si>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</si>
  <si>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</si>
  <si>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</si>
  <si>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</si>
  <si>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</si>
  <si>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</si>
  <si>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</si>
  <si>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</si>
  <si>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</si>
  <si>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</si>
  <si>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</si>
  <si>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Asmussen, CB; Moller, C</t>
  </si>
  <si>
    <t/>
  </si>
  <si>
    <t>Asmussen, Claus Boye; Moller, Charles</t>
  </si>
  <si>
    <t>Smart literature review: a practical topic modelling approach to exploratory literature review</t>
  </si>
  <si>
    <t>JOURNAL OF BIG DATA</t>
  </si>
  <si>
    <t>English</t>
  </si>
  <si>
    <t>Review</t>
  </si>
  <si>
    <t>Supply chain management; Latent Dirichlet Allocation; Topic modelling; Automatic literature review</t>
  </si>
  <si>
    <t>COMMUNICATION; EVENTS; TEXT</t>
  </si>
  <si>
    <t>Manual exploratory literature reviews should be a thing of the past, as technology and development of machine learning methods have matured. The learning curve for using machine learning methods is rapidly declining, enabling new possibilities for all researchers. A framework is presented on how to use topic modelling on a large collection of papers for an exploratory literature review and how that can be used for a full literature review. The aim of the paper is to enable the use of topic modelling for researchers by presenting a step-by-step framework on a case and sharing a code template. The framework consists of three steps; pre-processing, topic modelling, and post-processing, where the topic model Latent Dirichlet Allocation is used. The framework enables huge amounts of papers to be reviewed in a transparent, reliable, faster, and reproducible way.</t>
  </si>
  <si>
    <t>[Asmussen, Claus Boye; Moller, Charles] Aalborg Univ, Ctr Ind Prod, Dept Mat &amp; Prod, Fibigerstr 16, DK-9220 Aalborg OST, Denmark</t>
  </si>
  <si>
    <t>Aalborg University</t>
  </si>
  <si>
    <t>Asmussen, CB (corresponding author), Aalborg Univ, Ctr Ind Prod, Dept Mat &amp; Prod, Fibigerstr 16, DK-9220 Aalborg OST, Denmark.</t>
  </si>
  <si>
    <t>cba@mp.aau.dk</t>
  </si>
  <si>
    <t>Møller, Charles/AAB-1237-2021</t>
  </si>
  <si>
    <t>Møller, Charles/0000-0003-0251-3419; Asmussen, Claus Boye/0000-0002-2998-2293</t>
  </si>
  <si>
    <t>SPRINGERNATURE</t>
  </si>
  <si>
    <t>LONDON</t>
  </si>
  <si>
    <t>CAMPUS, 4 CRINAN ST, LONDON, N1 9XW, ENGLAND</t>
  </si>
  <si>
    <t>2196-1115</t>
  </si>
  <si>
    <t>J BIG DATA-GER</t>
  </si>
  <si>
    <t>J. Big Data</t>
  </si>
  <si>
    <t>OCT 19</t>
  </si>
  <si>
    <t>10.1186/s40537-019-0255-7</t>
  </si>
  <si>
    <t>Computer Science, Theory &amp; Methods</t>
  </si>
  <si>
    <t>Science Citation Index Expanded (SCI-EXPANDED)</t>
  </si>
  <si>
    <t>Computer Science</t>
  </si>
  <si>
    <t>PF6DP</t>
  </si>
  <si>
    <t>Green Published, gold</t>
  </si>
  <si>
    <t>2023-10-06</t>
  </si>
  <si>
    <t>WOS:000599142800002</t>
  </si>
  <si>
    <t>Olson, D; Chae, B</t>
  </si>
  <si>
    <t>Olson, David; Chae, Bongsug (Kevin)</t>
  </si>
  <si>
    <t>Incorporating an Unsupervised Text Mining Approach into Studying Logistics Risk Management: Insights from Corporate Annual Reports and Topic Modeling</t>
  </si>
  <si>
    <t>INFORMATION</t>
  </si>
  <si>
    <t>Article</t>
  </si>
  <si>
    <t>unsupervised text mining; topic modeling; supply chains; risk management; logistics</t>
  </si>
  <si>
    <t>SUPPLY CHAIN; DEMAND</t>
  </si>
  <si>
    <t>This study examined the Security and Exchange Commission (SEC) annual reports of selected logistics firms over the period from 2006 through 2021 for risk management terms. The purpose was to identify which risks are considered most important in supply chain logistics operations. Section 1A of the SEC reports includes risk factors. The COVID-19 pandemic has had a heavy impact on global supply chains. We also know that trucking firms have long had difficulties recruiting drivers. Fuel price has always been a major risk for airlines but also can impact shipping, trucking, and railroads. We were especially interested in pandemic, personnel, and fuel risks. We applied topic modeling, enabling us to identify some of the capabilities of unsupervised text mining as applied to SEC reports. We demonstrate the identification of terms, the time dimension, and correlation across topics by the topic model. Our analysis confirmed expectations about COVID-19's impact, personnel shortages, and fuel. It also revealed common themes regarding the risks involved in international trade and perceived regulatory risks. We conclude with the supply chain management risks identified and discuss means of mitigation.</t>
  </si>
  <si>
    <t>[Olson, David] Univ Nebraska, Dept Supply Chain Management &amp; Analyt, Lincoln, NE 68588 USA; [Chae, Bongsug (Kevin)] Kansas State Univ, Dept Management, Manhattan, KS 66506 USA</t>
  </si>
  <si>
    <t>University of Nebraska System; University of Nebraska Lincoln; Kansas State University</t>
  </si>
  <si>
    <t>Chae, B (corresponding author), Kansas State Univ, Dept Management, Manhattan, KS 66506 USA.</t>
  </si>
  <si>
    <t>david.olson@unl.edu; bchae@ksu.edu</t>
  </si>
  <si>
    <t>MDPI</t>
  </si>
  <si>
    <t>BASEL</t>
  </si>
  <si>
    <t>ST ALBAN-ANLAGE 66, CH-4052 BASEL, SWITZERLAND</t>
  </si>
  <si>
    <t>2078-2489</t>
  </si>
  <si>
    <t>Information</t>
  </si>
  <si>
    <t>JUL</t>
  </si>
  <si>
    <t>10.3390/info14070395</t>
  </si>
  <si>
    <t>Computer Science, Information Systems</t>
  </si>
  <si>
    <t>Emerging Sources Citation Index (ESCI)</t>
  </si>
  <si>
    <t>N3GA1</t>
  </si>
  <si>
    <t>gold</t>
  </si>
  <si>
    <t>WOS:001035925900001</t>
  </si>
  <si>
    <t>Chae, B; Park, E</t>
  </si>
  <si>
    <t>Chae, Bongsug (Kevin); Park, Eunhye (Olivia)</t>
  </si>
  <si>
    <t>Corporate Social Responsibility (CSR): A Survey of Topics and Trends Using Twitter Data and Topic Modeling</t>
  </si>
  <si>
    <t>SUSTAINABILITY</t>
  </si>
  <si>
    <t>corporate social responsibility; topic modeling; Twitter; sustainability</t>
  </si>
  <si>
    <t>ORGANIZATIONAL LEGITIMACY; PUBLIC-RELATIONS; SUPPLY CHAIN; MEDIA; TEXT; COMPANIES; FIRMS; CITIZENSHIP; STRATEGIES; EMERGENCE</t>
  </si>
  <si>
    <t>Corporate social responsibility (CSR) is an essential business practice in industry and a popular topic in academic research. Several studies have attempted to understand topics or categories in CSR contexts and some have used qualitative techniques to analyze data from traditional communication channels such as corporate reports, newspapers, and websites. This study adopts computational content analysis for understanding themes or topics from CSR-related conversations in the Twitter-sphere, the largest microblogging social media platform. Specifically, a probabilistic topic modeling-based computational text analysis framework is introduced to answer three questions: (1) What CSR-related topics are being communicated in the Twitter-sphere and what are the prevalent topics or themes in CSR conversation? (topic prevalence); (2) How are those topics interrelated? (topic correlation); (3) How have those topics changed over time? (topic evolution). The topic modeling results are discussed, and the direction for future research is presented.</t>
  </si>
  <si>
    <t>[Chae, Bongsug (Kevin)] Kansas State Univ, Dept Management, Manhattan, KS 66506 USA; [Park, Eunhye (Olivia)] Kansas State Univ, Dept Hospitality Management, Manhattan, KS 66506 USA</t>
  </si>
  <si>
    <t>Kansas State University; Kansas State University</t>
  </si>
  <si>
    <t>bchae@ksu.edu; eunhyepark@ksu.edu</t>
  </si>
  <si>
    <t>Park, Eunhye/ABG-8589-2020</t>
  </si>
  <si>
    <t>Park, Eunhye/0000-0002-5470-3065</t>
  </si>
  <si>
    <t>College of Business at Kansas State University</t>
  </si>
  <si>
    <t>Bongsug (Kevin) Chae acknowledges the summer research support from the College of Business at Kansas State University.</t>
  </si>
  <si>
    <t>2071-1050</t>
  </si>
  <si>
    <t>SUSTAINABILITY-BASEL</t>
  </si>
  <si>
    <t>Sustainability</t>
  </si>
  <si>
    <t>10.3390/su10072231</t>
  </si>
  <si>
    <t>Green &amp; Sustainable Science &amp; Technology; Environmental Sciences; Environmental Studies</t>
  </si>
  <si>
    <t>Science Citation Index Expanded (SCI-EXPANDED); Social Science Citation Index (SSCI)</t>
  </si>
  <si>
    <t>Science &amp; Technology - Other Topics; Environmental Sciences &amp; Ecology</t>
  </si>
  <si>
    <t>GP5WQ</t>
  </si>
  <si>
    <t>Green Submitted, gold</t>
  </si>
  <si>
    <t>WOS:000440947600122</t>
  </si>
  <si>
    <t>Wang, XF; Qiao, YL; Hou, YJ; Zhang, S; Han, XT</t>
  </si>
  <si>
    <t>Wang, Xuefeng; Qiao, Yali; Hou, Yujia; Zhang, Shuo; Han, Xiaotong</t>
  </si>
  <si>
    <t>Measuring Technology Complementarity Between Enterprises With an hLDA Topic Model</t>
  </si>
  <si>
    <t>IEEE TRANSACTIONS ON ENGINEERING MANAGEMENT</t>
  </si>
  <si>
    <t>Hierarchical latent Dirichlet allocation (hLDA) topic model; quantitative; technology complementarity; text mining; three-dimensional (3-D) printing technology</t>
  </si>
  <si>
    <t>RESEARCH-AND-DEVELOPMENT; INTERNATIONAL JOINT VENTURES; KNOWLEDGE COMPLEMENTARITY; TECHNICAL INTELLIGENCE; PARTNER SELECTION; SUPPLY CHAIN; PERFORMANCE; EVOLUTION; SIMILARITIES</t>
  </si>
  <si>
    <t>When considering a joint venture or merger, it is essential for firms to explore innovators with complementary technology to compensate for any internal limitations in R&amp;D resources. In this article, we provide a framework for exploring the technology complementarity between enterprises in a quantitative manner based on text-mining patent data. A hierarchical latent Dirichlet allocation topic model identifies the technology topics hidden in patent documents along with the hierarchical structure of those topics. The technology complementarity between broad classes of technology and their subclassifications across enterprises is then measured with an improved formulation. An empirical study on three-dimensional printing illustrates the validity, reliability, and practicality of this method and the measurement formula used, endorsed by technical experts. This method can be used to identify R&amp;D opportunities, to find appropriate acquisition targets and potential collaborators, and to support managerial decision-making with quantified information on technology complementarity.</t>
  </si>
  <si>
    <t>[Wang, Xuefeng; Qiao, Yali; Hou, Yujia; Zhang, Shuo; Han, Xiaotong] Beijing Inst Technol, Sch Management &amp; Econ, Beijing 100081, Peoples R China</t>
  </si>
  <si>
    <t>Beijing Institute of Technology</t>
  </si>
  <si>
    <t>Wang, XF (corresponding author), Beijing Inst Technol, Sch Management &amp; Econ, Beijing 100081, Peoples R China.</t>
  </si>
  <si>
    <t>wxf5122@bit.edu.cn; qiaoyali_work@163.com; 841348978@qq.com; zhangshuo_cueb@sina.com; 767013270@qq.com</t>
  </si>
  <si>
    <t>Qiao, Yali/0000-0003-3632-5061; Wang, xuefeng/0000-0002-4857-6944</t>
  </si>
  <si>
    <t>General Program of the National Natural Science Foundation of China [71774012]; Development Planning Bureau of the Chinese Academy of Science [GHJ-ZLZX-2019-42]</t>
  </si>
  <si>
    <t>General Program of the National Natural Science Foundation of China(National Natural Science Foundation of China (NSFC)); Development Planning Bureau of the Chinese Academy of Science</t>
  </si>
  <si>
    <t>This work was supported in part by the General Program of the National Natural Science Foundation of China under Grant 71774012 and in part by the Development Planning Bureau of the Chinese Academy of Science through the Strategic Research Project under Grant GHJ-ZLZX-2019-42.</t>
  </si>
  <si>
    <t>IEEE-INST ELECTRICAL ELECTRONICS ENGINEERS INC</t>
  </si>
  <si>
    <t>PISCATAWAY</t>
  </si>
  <si>
    <t>445 HOES LANE, PISCATAWAY, NJ 08855-4141 USA</t>
  </si>
  <si>
    <t>0018-9391</t>
  </si>
  <si>
    <t>1558-0040</t>
  </si>
  <si>
    <t>IEEE T ENG MANAGE</t>
  </si>
  <si>
    <t>IEEE Trans. Eng. Manage.</t>
  </si>
  <si>
    <t>OCT</t>
  </si>
  <si>
    <t>10.1109/TEM.2019.2958113</t>
  </si>
  <si>
    <t>Business; Engineering, Industrial; Management</t>
  </si>
  <si>
    <t>Business &amp; Economics; Engineering</t>
  </si>
  <si>
    <t>TK4EZ</t>
  </si>
  <si>
    <t>WOS:000674114900009</t>
  </si>
  <si>
    <t>Queiroz, GA; Alves, PN; Melo, IC</t>
  </si>
  <si>
    <t>Queiroz, Geandra Alves; Alves Junior, Paulo Nocera; Melo, Isotilia Costa</t>
  </si>
  <si>
    <t>Digitalization as an Enabler to SMEs Implementing Lean-Green? A Systematic Review through the Topic Modelling Approach</t>
  </si>
  <si>
    <t>lean; lean-green; systematic literature review; topic modelling; industry 4; 0; small and medium enterprise (SME); machine learning; artificial intelligence; digitization; digitalization; digital transformation; latent dirichlet allocation (LDA)</t>
  </si>
  <si>
    <t>SUPPLY CHAIN MANAGEMENT; INDUSTRY 4.0; SUSTAINABILITY; FRAMEWORK; BUSINESS; PERFORMANCE</t>
  </si>
  <si>
    <t>Small- and medium-sized enterprises (SMEs) play a fundamental role in the global economy. However, SMEs usually have different characteristics from larger enterprises, e.g., essential resource restrictions, lower performance, and higher environmental impacts. This requires them to search for strategies to be more competitive and sustainable. A possible solution relies on introducing Lean-Green practices. Previous research indicated that digitalization could be an enabler of Lean. Lean can also help to achieve increased environmental performance using the Lean-Green approach. In this study, this important yet under-studied area is investigated as we consider digitalization as an enabler for implementing lean in SMEs, with a focus on Lean-Green practices. A systematic literature review is executed, following a new framework based on topic modelling for extracting the papers. The topic modelling is executed through latent dirichlet allocation (LDA) which is a machine learning technique. In methodological means, this paper represents an example of the frontier of digitalization for research activities. Regarding the investigated focus, the main findings revealed that digitalization is an enabler to Lean and to Lean-Green. As digitalization supports information sharing, it consequently fosters performance measurement systems, improvements, and value chain integration.</t>
  </si>
  <si>
    <t>[Queiroz, Geandra Alves] Univ Estado Minas Gerais, Engn Dept, Prod Engn, BR-37900106 Passos, MG, Brazil; [Alves Junior, Paulo Nocera; Melo, Isotilia Costa] Univ Catolica Norte UCN, Escuela Ingn Coquimbo EIC, Coquimbo 1781421, Chile</t>
  </si>
  <si>
    <t>Universidade do Estado de Minas Gerais</t>
  </si>
  <si>
    <t>Queiroz, GA (corresponding author), Univ Estado Minas Gerais, Engn Dept, Prod Engn, BR-37900106 Passos, MG, Brazil.</t>
  </si>
  <si>
    <t>geandraqueiroz@gmail.com</t>
  </si>
  <si>
    <t>Melo, Isotilia Costa/E-8047-2018; Nocera Alves Junior, Paulo/HKV-6344-2023</t>
  </si>
  <si>
    <t>Melo, Isotilia Costa/0000-0002-4210-9325; Nocera Alves Junior, Paulo/0000-0002-8906-788X; Alves Queiroz, Geandra/0000-0001-5440-9109</t>
  </si>
  <si>
    <t>Universidad Catolica del Norte (UCN)</t>
  </si>
  <si>
    <t>The Universidad Catolica del Norte (UCN) partially supported the payment of the Article Processing Charge.</t>
  </si>
  <si>
    <t>NOV</t>
  </si>
  <si>
    <t>10.3390/su142114089</t>
  </si>
  <si>
    <t>6B6RZ</t>
  </si>
  <si>
    <t>WOS:000881459200001</t>
  </si>
  <si>
    <t>Kim, JJ; Jang, H; Roh, S</t>
  </si>
  <si>
    <t>Kim, Jin Ju; Jang, Hyunmi; Roh, Saeyeon</t>
  </si>
  <si>
    <t>A systematic literature review on humanitarian logistics using network analysis and topic modeling</t>
  </si>
  <si>
    <t>ASIAN JOURNAL OF SHIPPING AND LOGISTICS</t>
  </si>
  <si>
    <t>Humanitarian logistics; Systematic literature review; Keyword network analysis; Topic modeling</t>
  </si>
  <si>
    <t>SUPPLY CHAIN MANAGEMENT; OR/MS RESEARCH; OPERATIONS; EMERGENCY; FRAMEWORK; TRENDS</t>
  </si>
  <si>
    <t>The aim of this paper is to conduct a systematic literature review to understand the research trends, identify area of improvements and recommend the future research direction in humanitarian relief logistics (HRL). Using Netminer 4.0, keyword network analysis, keyword frequency analysis, and topic modeling analysis were undertaken. As a result, it has been identified that the number of studies on HRL continuously in-creased since it mounted in the mid-2010s, with the main issues changing by period. Keyword network analysis and keyword frequency analysis discovered that establishment of the HRL identity and disaster response, preparation and recovery were the main issues from 2005 to 2009. Whereas followed by edu-cation and practical logistics flow (2010 - 2014) and provision and coordination (2015 - 2019) to be the main focused area of research. Through topic modeling analysis, nine topics (preparation, coordination, stakeholders, sustainable development, facilities location, recovery, supplying and sourcing, emergent response, transportation, supplying and sourcing) were extracted. Facilities location was the most frequent topic that studied in the number of papers. Meanwhile, recovery, preparation, stakeholders, and emergent response showed downward trends but facilities location, coordination, and supplying and sourcing showing upward. This study is significant in the sense that it suggests research trends in different approach using keyword network analysis, keyword frequency analysis, network analysis and topic modeling which are one of the first attempts in research trend analysis in HRL field. This study will support HRL studies by understanding macroscopic and comprehensive way and set as a steppingstone for future research direction.(c) 2022 The Authors. Production and hosting by Elsevier B.V. on behalf of The Korean Association of Shipping and Logistics, Inc. This is an open access article under the CC BY-NC-ND license (http://creative-commons.org/licenses/by-nc-nd/4.0/).</t>
  </si>
  <si>
    <t>[Kim, Jin Ju; Jang, Hyunmi] Pusan Natl Univ, Grad Sch Int Studies, Int logist &amp; Port Management, Busan, South Korea; [Roh, Saeyeon] Plymouth Univ, Plymouth Business Sch, Int Logist, Plymouth, England; [Jang, Hyunmi] 2 Busandaehak-ro, 63beon-gil, Busan 46241, South Korea</t>
  </si>
  <si>
    <t>Pusan National University; University of Plymouth</t>
  </si>
  <si>
    <t>Jang, H (corresponding author), 2 Busandaehak-ro, 63beon-gil, Busan 46241, South Korea.</t>
  </si>
  <si>
    <t>jangh01@pusan.ac.kr</t>
  </si>
  <si>
    <t>ELSEVIER</t>
  </si>
  <si>
    <t>AMSTERDAM</t>
  </si>
  <si>
    <t>RADARWEG 29, 1043 NX AMSTERDAM, NETHERLANDS</t>
  </si>
  <si>
    <t>2092-5212</t>
  </si>
  <si>
    <t>2352-4871</t>
  </si>
  <si>
    <t>ASIAN J SHIPPING LOG</t>
  </si>
  <si>
    <t>Asian J. Shipping Logist.</t>
  </si>
  <si>
    <t>DEC</t>
  </si>
  <si>
    <t>10.1016/j.ajsl.2022.10.003</t>
  </si>
  <si>
    <t>NOV 2022</t>
  </si>
  <si>
    <t>Transportation</t>
  </si>
  <si>
    <t>6Q7IS</t>
  </si>
  <si>
    <t>WOS:000891785100006</t>
  </si>
  <si>
    <t>Oh, M; Ahn, C; Nam, H; Choi, S</t>
  </si>
  <si>
    <t>Oh, Minjeong; Ahn, Chulok; Nam, Hyundong; Choi, Sungyong</t>
  </si>
  <si>
    <t>New Trends in Smart Cities: The Evolutionary Directions Using Topic Modeling and Network Analysis</t>
  </si>
  <si>
    <t>SYSTEMS</t>
  </si>
  <si>
    <t>smart cities; COVID-19; sustainability; text mining; topic modeling; network analysis</t>
  </si>
  <si>
    <t>SUSTAINABLE CITY; URBAN; EUROPE</t>
  </si>
  <si>
    <t>The COVID-19 pandemic has affected smart city operations and planning. Smart cities, where digital technologies are concentrated and implemented, face new challenges in becoming sustainable from social, ecological, and economic perspectives. Using text mining methodologies of topic modeling and network analysis, this study aims to identify keywords in the field of smart cities after the pandemic and provide a future-oriented perspective on the direction of smart cities. A corpus of 1882 papers was collected from the Web of Science and Scopus databases from December 2019 to November 2022. We identified six categories of potential issues in smart cities using topic modeling: supply chain, resilience, culture and tourism, population density, mobility, and zero carbon emission. This study differs from previous research because it is a quantitative study based on text mining analysis and deals with smart cities, given the prevalence of COVID-19. This study also provides insights into the development of smart city policies and strategies to improve urban resilience during the pandemic by anticipating and addressing related issues. The findings of this study will assist researchers, policymakers, and planners in developing smart city strategies and decision-making in socioeconomic, environmental, and technological areas.</t>
  </si>
  <si>
    <t>[Oh, Minjeong] Yonsei Univ, Div Global Elite Charge Business Adm Major, Wonju 26493, South Korea; [Ahn, Chulok] Kunsan Natl Univ, Dept Convergence Technol Entrepreneurship, Gunsan 54150, South Korea; [Nam, Hyundong] Sungkyunkwan Univ, Grad Sch Governance, Seoul 03063, South Korea; [Choi, Sungyong] Hanyang Univ, Sch Business, Seoul 04763, South Korea</t>
  </si>
  <si>
    <t>Yonsei University; Kunsan National University; Sungkyunkwan University (SKKU); Hanyang University</t>
  </si>
  <si>
    <t>Choi, S (corresponding author), Hanyang Univ, Sch Business, Seoul 04763, South Korea.</t>
  </si>
  <si>
    <t>sungyongchoi@hanyang.ac.kr</t>
  </si>
  <si>
    <t>research fund of Hanyang University [HY-202200000001570]</t>
  </si>
  <si>
    <t>research fund of Hanyang University</t>
  </si>
  <si>
    <t>This work was supported by the research fund of Hanyang University (HY-202200000001570)</t>
  </si>
  <si>
    <t>2079-8954</t>
  </si>
  <si>
    <t>SYSTEMS-BASEL</t>
  </si>
  <si>
    <t>Systems-Basel</t>
  </si>
  <si>
    <t>AUG</t>
  </si>
  <si>
    <t>10.3390/systems11080410</t>
  </si>
  <si>
    <t>Social Sciences, Interdisciplinary</t>
  </si>
  <si>
    <t>Social Science Citation Index (SSCI)</t>
  </si>
  <si>
    <t>Social Sciences - Other Topics</t>
  </si>
  <si>
    <t>Q3RH5</t>
  </si>
  <si>
    <t>WOS:001056718300001</t>
  </si>
  <si>
    <t>Lee, CH; Liu, CL; Trappey, AJC; Mo, JPT; Desouza, KC</t>
  </si>
  <si>
    <t>Lee, Ching-Hung; Liu, Chien-Liang; Trappey, Amy J. C.; Mo, John P. T.; Desouza, Kevin C.</t>
  </si>
  <si>
    <t>Understanding digital transformation in advanced manufacturing and engineering: A bibliometric analysis, topic modeling and research trend discovery</t>
  </si>
  <si>
    <t>ADVANCED ENGINEERING INFORMATICS</t>
  </si>
  <si>
    <t>Digital transformation; Advanced manufacturing and engineering; Bibliometric analysis; Topic modeling; Systematic review</t>
  </si>
  <si>
    <t>INDUSTRY 4.0; BIG DATA; SUPPLY CHAIN; INNOVATION; SERVICE; CONSTRUCTION; TECHNOLOGIES; ARCHITECTURE; LOGISTICS; KNOWLEDGE</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</si>
  <si>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t>
  </si>
  <si>
    <t>[Lee, Ching-Hung] Xi An Jiao Tong Univ, Sch Publ Policy &amp; Adm, Xian 710049, Peoples R China; [Liu, Chien-Liang] Natl Yang Ming Chiao Tung Univ, Dept Ind Engn &amp; Management, Hsinchu 300093, Taiwan; [Trappey, Amy J. C.] Natl Tsing Hua Univ, Dept Ind Engn &amp; Engn Management, Hsinchu 300044, Taiwan; [Mo, John P. T.] RMIT Univ, Sch Engn, Melbourne, Vic 3000, Australia; [Desouza, Kevin C.] Queensland Univ Technol, QUT Business Sch, Brisbane, Qld 4001, Australia</t>
  </si>
  <si>
    <t>Xi'an Jiaotong University; National Yang Ming Chiao Tung University; National Tsing Hua University; Royal Melbourne Institute of Technology (RMIT); Queensland University of Technology (QUT)</t>
  </si>
  <si>
    <t>Liu, CL (corresponding author), Natl Yang Ming Chiao Tung Univ, Dept Ind Engn &amp; Management, Hsinchu 300093, Taiwan.</t>
  </si>
  <si>
    <t>leechinghung@xjtu.edu.cn; clliu@nycu.edu.tw; trappey@ie.nthu.edu.tw; john.mo@rmit.edu.au; kevin.desouza@qut.edu.au</t>
  </si>
  <si>
    <t>Lee, Ching-Hung/IQV-9761-2023</t>
  </si>
  <si>
    <t>Desouza, Kevin/0000-0002-4734-3081; Lee, Ching-Hung/0000-0002-4093-556X; Liu, Chien-Liang/0000-0002-2724-7199</t>
  </si>
  <si>
    <t>ELSEVIER SCI LTD</t>
  </si>
  <si>
    <t>OXFORD</t>
  </si>
  <si>
    <t>THE BOULEVARD, LANGFORD LANE, KIDLINGTON, OXFORD OX5 1GB, OXON, ENGLAND</t>
  </si>
  <si>
    <t>1474-0346</t>
  </si>
  <si>
    <t>1873-5320</t>
  </si>
  <si>
    <t>ADV ENG INFORM</t>
  </si>
  <si>
    <t>Adv. Eng. Inform.</t>
  </si>
  <si>
    <t>10.1016/j.aei.2021.101428</t>
  </si>
  <si>
    <t>OCT 2021</t>
  </si>
  <si>
    <t>Computer Science, Artificial Intelligence; Engineering, Multidisciplinary</t>
  </si>
  <si>
    <t>Computer Science; Engineering</t>
  </si>
  <si>
    <t>WN2YT</t>
  </si>
  <si>
    <t>WOS:000711640000003</t>
  </si>
  <si>
    <t>Enabling supply chain analytics for enterprise information systems: a topic modelling literature review and future research agenda</t>
  </si>
  <si>
    <t>ENTERPRISE INFORMATION SYSTEMS</t>
  </si>
  <si>
    <t>Analytics; EIS; SCM; topic Modelling; literature Review; research Agenda</t>
  </si>
  <si>
    <t>MANUFACTURING EXECUTION SYSTEM; RESOURCE PLANNING SYSTEMS; CRITICAL SUCCESS FACTORS; BIG DATA ANALYTICS; ERP SYSTEMS; BUSINESS INTELLIGENCE; PREDICTIVE ANALYTICS; LIFE-CYCLE; IMPLEMENTATION; MANAGEMENT</t>
  </si>
  <si>
    <t>This paper provides a literature review of the research within the framework of 1) analytics,2) supply chain management, and 3) enterprise information systems, and relate the findings to competitive enablers. The findings are used to construct a future research agenda. The methodology is a systematic two-stage approach, based on a Smart Literature review framework using topic modelling. The research agenda proposes future research within the themes of 1) context, 2) cross-functional analytics, 3) cross-planning level analytics, 4) implementation and assimilation of analytics in EIS, 5) analytics and big data for SCM, 6) managerial aspects of analytics, and 7) data and system heterogeneity.</t>
  </si>
  <si>
    <t>[Asmussen, Claus Boye; Moller, Charles] Aalborg Univ, Ctr Ind Prod, Dept Mat &amp; Prod, DK-9220 Aalborg, Denmark</t>
  </si>
  <si>
    <t>Asmussen, CB (corresponding author), Aalborg Univ, Ctr Ind Prod, Dept Mat &amp; Prod, DK-9220 Aalborg, Denmark.</t>
  </si>
  <si>
    <t>TAYLOR &amp; FRANCIS LTD</t>
  </si>
  <si>
    <t>ABINGDON</t>
  </si>
  <si>
    <t>2-4 PARK SQUARE, MILTON PARK, ABINGDON OR14 4RN, OXON, ENGLAND</t>
  </si>
  <si>
    <t>1751-7575</t>
  </si>
  <si>
    <t>1751-7583</t>
  </si>
  <si>
    <t>ENTERP INF SYST-UK</t>
  </si>
  <si>
    <t>Enterp. Inf. Syst.</t>
  </si>
  <si>
    <t>MAY 27</t>
  </si>
  <si>
    <t>10.1080/17517575.2020.1734240</t>
  </si>
  <si>
    <t>MAR 2020</t>
  </si>
  <si>
    <t>LK7RY</t>
  </si>
  <si>
    <t>WOS:000520580300001</t>
  </si>
  <si>
    <t>Choi, D; Song, B</t>
  </si>
  <si>
    <t>Choi, Donghyun; Song, Bomi</t>
  </si>
  <si>
    <t>Exploring Technological Trends in Logistics: Topic Modeling-Based Patent Analysis</t>
  </si>
  <si>
    <t>technological trends in logistics; technology trend exploration; patent analysis; topic modeling; latent dirichlet allocation</t>
  </si>
  <si>
    <t>SUPPLY-CHAIN MANAGEMENT; INFORMATION-TECHNOLOGY; EMERGING TECHNOLOGIES; OPPORTUNITIES; INNOVATION; ADOPTION; IMPACT; COMMUNICATION; CAPABILITIES; PERFORMANCE</t>
  </si>
  <si>
    <t>With the strategic importance of discerning opportunities and threats from technological development to achieve sustainable competitiveness, exploring technological trends becomes critical for a successful technology strategy in logistics. Given the rapid pace of development and varying technological options, logistics also increasingly requires methodological support and appropriate data to reduce the complexity and burden of exploring technology trends. While previous research has largely relied on experts' insights, the value of patent-based approaches for exploring technological trends has been underestimated in logistics. To address this gap, this study proposes a topic modeling-based approach using logistics-related patents registered at the United States Patents and Trademark Office (USPTO). The core of the suggested approach is latent Dirichlet allocation (LDA), allowing the identification of logistics-related technological topics behind patents. The topics identified by LDA are further investigated regarding both filed-level and firm-level trends. The suggested approach is expected to offer implications of the use of patents for the purpose of exploring the trends of technology development outside the organization in logistics. In addition, we believe that the information on the technological topics and their trends generated by the suggested approach can offer an enhanced understanding of the technological landscape in logistics.</t>
  </si>
  <si>
    <t>[Choi, Donghyun; Song, Bomi] Korea Aerosp Univ, Sch Air Transportat &amp; Logist, Goyang Si 10540, Gyeonggi Do, South Korea</t>
  </si>
  <si>
    <t>Korea Aerospace University</t>
  </si>
  <si>
    <t>Song, B (corresponding author), Korea Aerosp Univ, Sch Air Transportat &amp; Logist, Goyang Si 10540, Gyeonggi Do, South Korea.</t>
  </si>
  <si>
    <t>dchoi@kau.ac.kr; bmsong@kau.ac.kr</t>
  </si>
  <si>
    <t>Choi, Donghyun/0000-0003-1976-6754</t>
  </si>
  <si>
    <t>2017 Korea Aerospace University Faculty Research Grant</t>
  </si>
  <si>
    <t>This work was supported by the 2017 Korea Aerospace University Faculty Research Grant.</t>
  </si>
  <si>
    <t>10.3390/su10082810</t>
  </si>
  <si>
    <t>GW3CI</t>
  </si>
  <si>
    <t>gold, Green Submitted</t>
  </si>
  <si>
    <t>WOS:000446767700226</t>
  </si>
  <si>
    <t>Ali, I; Kannan, D</t>
  </si>
  <si>
    <t>Ali, Imran; Kannan, Devika</t>
  </si>
  <si>
    <t>Mapping research on healthcare operations and supply chain management: a topic modelling-based literature review</t>
  </si>
  <si>
    <t>ANNALS OF OPERATIONS RESEARCH</t>
  </si>
  <si>
    <t>Healthcare; Supply chain; Operations; Topic modelling; Literature review</t>
  </si>
  <si>
    <t>BIG DATA; DRUG SHORTAGES; PERFORMANCE; FRAMEWORK; INDUSTRY; IMPACT; OPPORTUNITIES; ANALYTICS; LOGISTICS; ADOPTION</t>
  </si>
  <si>
    <t>The literature on healthcare operations and supply chain management has seen unprecedented growth over the past two decades. This paper seeks to advance the body of knowledge on this topic by utilising a topic modelling-based literature review to identify the core topics, examine their dynamic changes, and identify opportunities for further research in the area. Based on an analysis of 571 articles published until 25 January 2022, we identify numerous popular topics of research in the area, including patient waiting time, COVID-19 pandemic, Industry 4.0 technologies, sustainability, risk and resilience, climate change, circular economy, humanitarian logistics, behavioural operations, service-ecosystem, and knowledge management. We reviewed current literature around each topic and offered insights into what aspects of each topic have been studied and what are the recent developments and opportunities for more impactful future research. Doing so, this review help advance the contemporary scholarship on healthcare operations and supply chain management and offers resonant insights for researchers, research students, journal editors, and policymakers in the field.</t>
  </si>
  <si>
    <t>[Ali, Imran] CQ Univ, Sch Business &amp; Law, Rockhampton North Campus, Sydney, NSW, Australia; [Kannan, Devika] Univ Southern Denmark, SDU Ctr Sustainable Supply Chain Engn, Dept Technol &amp; Innovat, Campusvej 55, Odense, Denmark</t>
  </si>
  <si>
    <t>Central Queensland University; University of Southern Denmark</t>
  </si>
  <si>
    <t>Kannan, D (corresponding author), Univ Southern Denmark, SDU Ctr Sustainable Supply Chain Engn, Dept Technol &amp; Innovat, Campusvej 55, Odense, Denmark.</t>
  </si>
  <si>
    <t>deka@iti.sdu.dk</t>
  </si>
  <si>
    <t>Kannan, Devika/Q-6233-2018; Ali, Imran/O-5404-2019</t>
  </si>
  <si>
    <t>Kannan, Devika/0000-0003-4365-0313; Ali, Imran/0000-0002-8912-5760</t>
  </si>
  <si>
    <t>SPRINGER</t>
  </si>
  <si>
    <t>DORDRECHT</t>
  </si>
  <si>
    <t>VAN GODEWIJCKSTRAAT 30, 3311 GZ DORDRECHT, NETHERLANDS</t>
  </si>
  <si>
    <t>0254-5330</t>
  </si>
  <si>
    <t>1572-9338</t>
  </si>
  <si>
    <t>ANN OPER RES</t>
  </si>
  <si>
    <t>Ann. Oper. Res.</t>
  </si>
  <si>
    <t>10.1007/s10479-022-04596-5</t>
  </si>
  <si>
    <t>MAR 2022</t>
  </si>
  <si>
    <t>Operations Research &amp; Management Science</t>
  </si>
  <si>
    <t>3I6NO</t>
  </si>
  <si>
    <t>Green Published, Bronze</t>
  </si>
  <si>
    <t>WOS:000777247700001</t>
  </si>
  <si>
    <t>Dwivedi, YK; Sharma, A; Rana, NP; Giannakis, M; Goel, P; Dutot, V</t>
  </si>
  <si>
    <t>Dwivedi, Yogesh K.; Sharma, Anuj; Rana, Nripendra P.; Giannakis, Mihalis; Goel, Pooja; Dutot, Vincent</t>
  </si>
  <si>
    <t>Evolution of artificial intelligence research in Technological Forecasting and Social Change: Research topics, trends, and future directions</t>
  </si>
  <si>
    <t>TECHNOLOGICAL FORECASTING AND SOCIAL CHANGE</t>
  </si>
  <si>
    <t>Artificial intelligence; AI; Big data analytics; Machine learning; Topic modeling; Structural topic modeling; Research agenda</t>
  </si>
  <si>
    <t>INDUSTRIAL ROBOTS; BIG DATA; MODEL; ROBOTIZATION; DISCOVERY; DIFFUSION; EMPLOYMENT; IMPACTS; ECONOMY; TEXT</t>
  </si>
  <si>
    <t>Artificial intelligence (AI) is a set of rapidly expanding disruptive technologies that are radically transforming various aspects related to people, business, society, and the environment. With the proliferation of digital computing devices and the emergence of big data, AI is increasingly offering significant opportunities for society and business organizations. The growing interest of scholars and practitioners in AI has resulted in the diversity of research topics explored in bulks of scholarly literature published in leading research outlets. This study aims to map the intellectual structure and evolution of the conceptual structure of overall AI research published in Technological Forecasting and Social Change (TF&amp;SC). This study uses machine learning-based structural topic modeling (STM) to extract, report, and visualize the latent topics from the AI research literature. Further, the disciplinary patterns in the intellectual structure of AI research are examined with the additional objective of assessing the disciplinary impact of AI. The results of the topic modeling reveal eight key topics, out of which the topics concerning healthcare, circular economy and sustainable supply chain, adoption of AI by consumers, and AI for decision-making are showing a rising trend over the years. AI research has a significant influence on disciplines such as business, management, and accounting, social science, engineering, computer science, and mathematics. The study provides an insightful agenda for the future based on evidence-based research directions that would benefit future AI scholars to identify contemporary research issues and develop impactful research to solve complex societal problems.</t>
  </si>
  <si>
    <t>[Dwivedi, Yogesh K.] Swansea Univ, Sch Management, Digital Futures Sustainable Business &amp; Soc Res Grp, Bay Campus, Swansea, Wales; [Dwivedi, Yogesh K.] Pune &amp; Symbiosis Int Deemed Univ, Symbiosis Inst Business Management, Dept Management, Pune, Maharashtra, India; [Sharma, Anuj] OP Jindal Global Univ, Jindal Global Business Sch, Sonipat, Haryana, India; [Rana, Nripendra P.] Qatar Univ, Coll Business &amp; Econ, Doha 2713, Qatar; [Giannakis, Mihalis] Audencia Nantes Business Sch, 8 Route La Joneliere,BP 31222, F-44312 Nantes 3, France; [Goel, Pooja] Univ Delhi, Shaheed Bhagat Singh Coll, Dept Commerce, Delhi, India; [Dutot, Vincent] EM Normandie Business Sch, Metis Lab, 30-32 Rue Henri Barbusse, F-92110 Clichy, France</t>
  </si>
  <si>
    <t>Swansea University; Symbiosis International University; Symbiosis Institute of Business Management (SIBM) Pune; O.P. Jindal Global University; Qatar University; Audencia; University of Delhi</t>
  </si>
  <si>
    <t>Dwivedi, YK (corresponding author), Swansea Univ, Sch Management, Digital Futures Sustainable Business &amp; Soc Res Grp, Bay Campus, Swansea, Wales.</t>
  </si>
  <si>
    <t>y.k.dwivedi@swansea.ac.uk; f09anujs@iimidr.ac.in; mgiannakis@audencia.com; vdutot@em-normandie.fr</t>
  </si>
  <si>
    <t>Dwivedi, Yogesh Kumar/A-5362-2008</t>
  </si>
  <si>
    <t>Dwivedi, Yogesh Kumar/0000-0002-5547-9990; Sharma, Anuj/0000-0001-6602-9285</t>
  </si>
  <si>
    <t>ELSEVIER SCIENCE INC</t>
  </si>
  <si>
    <t>NEW YORK</t>
  </si>
  <si>
    <t>STE 800, 230 PARK AVE, NEW YORK, NY 10169 USA</t>
  </si>
  <si>
    <t>0040-1625</t>
  </si>
  <si>
    <t>1873-5509</t>
  </si>
  <si>
    <t>TECHNOL FORECAST SOC</t>
  </si>
  <si>
    <t>Technol. Forecast. Soc. Chang.</t>
  </si>
  <si>
    <t>10.1016/j.techfore.2023.122579</t>
  </si>
  <si>
    <t>APR 2023</t>
  </si>
  <si>
    <t>Business; Regional &amp; Urban Planning</t>
  </si>
  <si>
    <t>Business &amp; Economics; Public Administration</t>
  </si>
  <si>
    <t>G1LV4</t>
  </si>
  <si>
    <t>Green Published, hybrid</t>
  </si>
  <si>
    <t>WOS:000986864800001</t>
  </si>
  <si>
    <t>Montobbio, F; Staccioli, J; Virgillito, ME; Vivarelli, M</t>
  </si>
  <si>
    <t>Montobbio, Fabio; Staccioli, Jacopo; Virgillito, Maria Enrica; Vivarelli, Marco</t>
  </si>
  <si>
    <t>Robots and the origin of their labour-saving impact</t>
  </si>
  <si>
    <t>Robotic patents; Labour-saving technology; Search heuristics; Probabilistic topic models</t>
  </si>
  <si>
    <t>EMBODIED TECHNOLOGICAL-CHANGE; RESEARCH-AND-DEVELOPMENT; EMPLOYMENT; JOBS; PATTERNS; INDUSTRY; FUTURE; GROWTH; SKILLS; FIRMS</t>
  </si>
  <si>
    <t>This paper investigates the presence of explicit labour-saving heuristics within robotic patents. It analyses innovative actors engaged in robotic technology and their economic environment (identity, location, industry), and identifies the technological fields more exposed to labour-saving innovations. It exploits advanced natural language processing and probabilistic topic modelling techniques applied to the universe of USPTO patent applications between 2009 and 2018, matched with the ORBIS (Bureau van Dijk) firm-level dataset. The results show that labour-saving patent holders comprise not only robot producers, but mainly adopters. Consequently, labour-saving robotic patents appear along the entire supply chain. Additionally, labour-saving innovations are directed towards manual activities in services (e.g. in the logistics sector), activities entailing social intelligence (e.g. in the healthcare sector) and cognitive skills (e.g. learning and predicting).</t>
  </si>
  <si>
    <t>[Montobbio, Fabio; Staccioli, Jacopo; Virgillito, Maria Enrica; Vivarelli, Marco] Univ Cattolica Sacro Cuore, Dept Econ Policy, Via Necchi 5, I-20123 Milan, Italy; [Montobbio, Fabio] Coll Carlo Alberto, BRICK, Piazza Arbarello 8, I-10122 Turin, Italy; [Montobbio, Fabio] Bocconi Univ, ICRIOS, Via Rontgen 1, I-20136 Milan, Italy; [Staccioli, Jacopo; Virgillito, Maria Enrica] Scuola Super Sant Anna, Inst Econ, Piazza Martiri della Liberta 33, I-56127 Pisa, Italy; [Vivarelli, Marco] UNU Merit, Maastricht Econ &amp; Social Res Inst Innovat &amp; Techn, Boschstr 24, NL-6211 AX Maastricht, Netherlands; [Vivarelli, Marco] Forschungsinst Zukunft Arbeit GmbH IZA, Schaumburg Lippe Str 5-9, D-53113 Bonn, Germany</t>
  </si>
  <si>
    <t>Catholic University of the Sacred Heart; Collegio Carlo Alberto; Bocconi University; Scuola Superiore Sant'Anna; Maastricht University; IZA Institute Labor Economics</t>
  </si>
  <si>
    <t>Vivarelli, M (corresponding author), Univ Cattolica Sacro Cuore, Dept Econ Policy, Via Necchi 5, I-20123 Milan, Italy.</t>
  </si>
  <si>
    <t>marco.vivarelli@unicatt.it</t>
  </si>
  <si>
    <t>VIRGILLITO, Maria Enrica/0000-0001-5958-9647; Staccioli, Jacopo/0000-0002-9068-2927</t>
  </si>
  <si>
    <t>JAN</t>
  </si>
  <si>
    <t>10.1016/j.techfore.2021.121122</t>
  </si>
  <si>
    <t>WM9EV</t>
  </si>
  <si>
    <t>Green Published, Green Submitted</t>
  </si>
  <si>
    <t>WOS:000711381400018</t>
  </si>
  <si>
    <t>Sahay, S; Kaushik, HK; Singh, S</t>
  </si>
  <si>
    <t>Sahay, Sumeet; Kaushik, Hemant Kumar; Singh, Shikha</t>
  </si>
  <si>
    <t>Discovering themes and trends in electricity supply chain area research</t>
  </si>
  <si>
    <t>OPSEARCH</t>
  </si>
  <si>
    <t>Electricity supply chain; Research trends; Bibliometric analysis; Thematic analysis; Structure topic modelling; Text mining</t>
  </si>
  <si>
    <t>LIFE-CYCLE ASSESSMENT; R PACKAGE; POWER; MANAGEMENT; GENERATION; FRAMEWORK; SYSTEMS; WIND; FUEL; BIOMASS</t>
  </si>
  <si>
    <t>Electricity Supply Chain Management has become one of the foremost vital areas of research, as energy firms are extensively concerned about their supply chains in order to maximize profitability, reduce expenses, and gain market share. Thus, numerous research evaluations and implementation methodologies are observed in this area. However, only a few exceptional attempts have been undertaken in the past to summarize sporadic elements of knowledge obtained from these scientific endeavors. As a result, aiming to present a particular viewpoint of this topic, the paper utilizes three analyses-bibliometric analysis through Bibliomatrix R and VOSviewer, thematic analysis through Biblioshiny and text mining technique-topic modelling to give a summary of ESCM scientific investigation accomplished from 1975 to 2021. This study analyzes trends in publication, authorship patterns, and keyword usage. The study utilizes a probabilistic procreative model through structural topic modeling to decipher and extricate esoteric themes from ESCM-related research papers. According to this research, the most popular topics in the ESCM area are carbon emission, energy saving, risk and uncertainties, price regulations, smart grid, IoT, and game theory analysis. Other significant components include life cycle assessment, ICT system, static and dynamic transportation network equilibrium, and network modelling for evaluation and selection of suppliers. The article also identifies knowledge gaps that may guide future research.</t>
  </si>
  <si>
    <t>[Sahay, Sumeet] Indian Inst Technol ISM, Dept Elect Engn, Dhanbad, India; [Kaushik, Hemant Kumar] IIFT, Dept Operat &amp; Supply Chain Management, New Delhi, India; [Singh, Shikha] Indian Inst Technol ISM, Dept Management Studies &amp; Ind Engn, Dhanbad, India</t>
  </si>
  <si>
    <t>Indian Institute of Technology System (IIT System); Indian Institute of Technology (Indian School of Mines) Dhanbad; Indian Institute of Technology System (IIT System); Indian Institute of Technology (Indian School of Mines) Dhanbad</t>
  </si>
  <si>
    <t>Singh, S (corresponding author), Indian Inst Technol ISM, Dept Management Studies &amp; Ind Engn, Dhanbad, India.</t>
  </si>
  <si>
    <t>ssahay.bhel@gmail.com; kaushikkhemant@gmail.com; shikhas@iitism.ac.in</t>
  </si>
  <si>
    <t>SPRINGER INDIA</t>
  </si>
  <si>
    <t>NEW DELHI</t>
  </si>
  <si>
    <t>7TH FLOOR, VIJAYA BUILDING, 17, BARAKHAMBA ROAD, NEW DELHI, 110 001, INDIA</t>
  </si>
  <si>
    <t>0030-3887</t>
  </si>
  <si>
    <t>0975-0320</t>
  </si>
  <si>
    <t>Opsearch</t>
  </si>
  <si>
    <t>SEP</t>
  </si>
  <si>
    <t>10.1007/s12597-023-00648-x</t>
  </si>
  <si>
    <t>JUN 2023</t>
  </si>
  <si>
    <t>R4JO0</t>
  </si>
  <si>
    <t>WOS:001002859100001</t>
  </si>
  <si>
    <t>Chae, B; Olson, D</t>
  </si>
  <si>
    <t>Chae, Bongsug (Kevin); Olson, David</t>
  </si>
  <si>
    <t>A Topical Exploration of the Intellectual Development of Decision Sciences 1975-2016</t>
  </si>
  <si>
    <t>DECISION SCIENCES</t>
  </si>
  <si>
    <t>Topic Modeling; Text Analytics; Decision Sciences; Data Analytics</t>
  </si>
  <si>
    <t>SOCIAL MEDIA; MANAGEMENT; INNOVATION; PERSPECTIVE; SENTIMENT; NETWORKS; MODELS</t>
  </si>
  <si>
    <t>This article reviews Decision Sciences journal articles and metadata to analyze its intellectual tradition. Text analytics is used with probabilistic topic modeling. The topical structure of the journal is reviewed by topic definition and popularity, with correlations. Fifty research topics or themes involving a wide range of quantitative methods and decision-making practice were selected. Functional areas were also examined. The evolution of topics since 1975 is noted. There is clear indication that journal coverage has evolved. In early years, emphasis was on quantitative modeling methods and relevant methodologies. More recently new research areas to include supply chain management, marketing, service management, and health care are more noted. Some topics are highly correlated. We find that this evolution reflects the changes occurring in business and decision-making environment. The article discusses external and internal factors important in shaping the journal's topical trajectory. Unique challenges in analyzing text data are discussed. Latent Dirichlet Allocation, an unsupervised Bayesian approach for statistical topic modeling, is applied to 1,698 research articles from Decision Sciences over the period from 1975 to 2016. This approach is found to be useful to discover journal topical trends. Potential for other applications in decision sciences is discussed.</t>
  </si>
  <si>
    <t>[Chae, Bongsug (Kevin)] Kansas State Univ, Dept Management, Manhattan, KS 66506 USA; [Olson, David] Univ Nebraska, Dept Supply Chain Management &amp; Analyt, Lincoln, NE USA</t>
  </si>
  <si>
    <t>Kansas State University; University of Nebraska System; University of Nebraska Lincoln</t>
  </si>
  <si>
    <t>bchae@ksu.edu; david.olson@unl.edu</t>
  </si>
  <si>
    <t>WILEY</t>
  </si>
  <si>
    <t>HOBOKEN</t>
  </si>
  <si>
    <t>111 RIVER ST, HOBOKEN 07030-5774, NJ USA</t>
  </si>
  <si>
    <t>0011-7315</t>
  </si>
  <si>
    <t>1540-5915</t>
  </si>
  <si>
    <t>DECISION SCI</t>
  </si>
  <si>
    <t>Decis. Sci.</t>
  </si>
  <si>
    <t>JUN</t>
  </si>
  <si>
    <t>10.1111/deci.12326</t>
  </si>
  <si>
    <t>Management</t>
  </si>
  <si>
    <t>Business &amp; Economics</t>
  </si>
  <si>
    <t>SQ1XB</t>
  </si>
  <si>
    <t>WOS:000660151500001</t>
  </si>
  <si>
    <t>Liu, GW; Nzige, JH; Li, KJ</t>
  </si>
  <si>
    <t>Liu, Guiwen; Nzige, Juma Hamisi; Li, Kaijian</t>
  </si>
  <si>
    <t>Trending topics and themes in offsite construction(OSC) research The application of topic modelling</t>
  </si>
  <si>
    <t>CONSTRUCTION INNOVATION-ENGLAND</t>
  </si>
  <si>
    <t>Literature review; Open manufacturing; offsite construction; Latent Dirichlet allocation; MALLET; Publication data; Topic-modelling</t>
  </si>
  <si>
    <t>OFF-SITE CONSTRUCTION; BIM RESEARCH; PREFABRICATION; BUILDINGS; DESIGN; CONFIGURATION; PERFORMANCE; AUTOMATION; MANAGEMENT; BARRIERS</t>
  </si>
  <si>
    <t>Purpose The purpose of this study is to discover the distribution and trends of existing Offsite construction (OSC) literature with an intention to highlight research niches and propose the future outline. Design/methodology/approach The paper adopted literature reviews methodology involving 1,057 relevant documents published in 2008-2017 from 15 journals. The selected documents were empirically analyzed through a topic-modeling technique. A latent Dirichlet allocation model was applied to each document to infer 50 key topics. A machine learning for language toolkit was used to get topic posterior word distribution and word composition. Findings This is an exploratory study, which identifies the distribution of topics and themes; the trend of topics and themes; journal distribution trends; and comparative topic, themes and journal distribution trend. The distribution and trends show an increase in researcher's interest and the journal's priority on OSC research. Nevertheless, OSC existing literature is faced with; under-researched topics such as building information modeling, smart construction and marketing. The under-researched themes include organizational management, supply chain and context. The authors also found an overload of similar information in prefabrication and concrete topics. Furthermore, the innovative methods and constraints themes were found to be overloaded with similar information. Practical implications This study is of values to the scholars, as it could stimulate research to under-researched areas. Originality/value This paper justifies a need to have a broad understanding of the nature and structure of existing OSC literature.</t>
  </si>
  <si>
    <t>[Liu, Guiwen; Nzige, Juma Hamisi; Li, Kaijian] Chongqing Univ, Dept Construct Management &amp; Real Estate, Chongqing, Peoples R China</t>
  </si>
  <si>
    <t>Chongqing University</t>
  </si>
  <si>
    <t>Nzige, JH (corresponding author), Chongqing Univ, Dept Construct Management &amp; Real Estate, Chongqing, Peoples R China.</t>
  </si>
  <si>
    <t>l1600325@cqu.edu.cn</t>
  </si>
  <si>
    <t>Nzige/AAO-4056-2021</t>
  </si>
  <si>
    <t>China Postdoctoral Science Foundation [2017M620416]; National Key Research and Development Program [2016YFC0701807]</t>
  </si>
  <si>
    <t>China Postdoctoral Science Foundation(China Postdoctoral Science Foundation); National Key Research and Development Program</t>
  </si>
  <si>
    <t>This study was supported by the China Postdoctoral Science Foundation (Grant No. 2017M620416) and the National Key Research and Development Program (Grant No. 2016YFC0701807).</t>
  </si>
  <si>
    <t>EMERALD GROUP PUBLISHING LTD</t>
  </si>
  <si>
    <t>BINGLEY</t>
  </si>
  <si>
    <t>HOWARD HOUSE, WAGON LANE, BINGLEY BD16 1WA, W YORKSHIRE, ENGLAND</t>
  </si>
  <si>
    <t>1471-4175</t>
  </si>
  <si>
    <t>1477-0857</t>
  </si>
  <si>
    <t>CONSTR INNOV-ENGL</t>
  </si>
  <si>
    <t>Constr. Innov.-Engl.</t>
  </si>
  <si>
    <t>JUL 7</t>
  </si>
  <si>
    <t>10.1108/CI-03-2018-0013</t>
  </si>
  <si>
    <t>Construction &amp; Building Technology</t>
  </si>
  <si>
    <t>IO2UW</t>
  </si>
  <si>
    <t>WOS:000479238300003</t>
  </si>
  <si>
    <t>Tamakloe, R; Park, D; Chang, H</t>
  </si>
  <si>
    <t>Tamakloe, Reuben; Park, Dongjoo; Chang, Hyunho</t>
  </si>
  <si>
    <t>Discovering research topics, trends, and perspectives in COVID-19-related transportation journal articles</t>
  </si>
  <si>
    <t>INTERNATIONAL JOURNAL OF URBAN SCIENCES</t>
  </si>
  <si>
    <t>Machine learning; COVID-19; text mining; transportation; Structural Topic Model; big data</t>
  </si>
  <si>
    <t>OPPORTUNITY; IMPACT; TRAVEL</t>
  </si>
  <si>
    <t>Research interest in COVID-19 in the transportation field has increased sporadically since its outbreak in 2019. This has led to an unprecedented increase in the number of publications in academic journals, rendering it difficult to clearly capture and understand the themes being discussed in the entire literature. This study employs a Structural Topic Model, a robust probabilistic topic model that incorporates document-level metadata to extract hidden topics in unstructured textual big data that focuses on COVID-19 and transportation. To understand the topics identified, the study examined the topical trends over time and compared them to provide insights into authors' perspectives based on their country's economic status. In total, abstracts from 421 research articles published in top transportation/transportation science journals were collected and analysed. The results reveal that the major academic concerns in the area of COVID-19 and transportation are related to the changing travel behaviour, airport financial performance, and supply chain optimisation. Overall, research trends seem to be shifting towards shipping emissions, air transport recovery, travel behaviour, and the performance of airports. In addition, authors from both high-income and middle-and low-income countries were found to have different perspectives regarding the topics identified. The findings from this study contribute to understanding topical trends and perspectives in the literature on COVID-19 and transportation and can be used by researchers, policymakers, and fund providers to recognise current research issues to guide future research direction and for making more informed policy decisions.</t>
  </si>
  <si>
    <t>[Tamakloe, Reuben] Univ Seoul, Dept Transportat Engn, Seoul, South Korea; [Park, Dongjoo] Univ Seoul, Dept Urban Big Data Convergence, Dept Transportat Engn, Seoul, South Korea; [Chang, Hyunho] Incheon Natl Univ, Urban Sci Inst, Incheon, South Korea</t>
  </si>
  <si>
    <t>University of Seoul; University of Seoul; Incheon National University</t>
  </si>
  <si>
    <t>Chang, H (corresponding author), Incheon Natl Univ, Urban Sci Inst, Incheon, South Korea.</t>
  </si>
  <si>
    <t>nettrek@hanmail.net</t>
  </si>
  <si>
    <t>Tamakloe, Reuben/AAI-3911-2020</t>
  </si>
  <si>
    <t>Tamakloe, Reuben/0000-0002-9605-8439; Park, Dongjoo/0000-0002-6330-4437</t>
  </si>
  <si>
    <t>ROUTLEDGE JOURNALS, TAYLOR &amp; FRANCIS LTD</t>
  </si>
  <si>
    <t>2-4 PARK SQUARE, MILTON PARK, ABINGDON OX14 4RN, OXON, ENGLAND</t>
  </si>
  <si>
    <t>1226-5934</t>
  </si>
  <si>
    <t>2161-6779</t>
  </si>
  <si>
    <t>INT J URBAN SCI</t>
  </si>
  <si>
    <t>Int. J. Urban Sci.</t>
  </si>
  <si>
    <t>OCT 2</t>
  </si>
  <si>
    <t>10.1080/12265934.2022.2044891</t>
  </si>
  <si>
    <t>FEB 2022</t>
  </si>
  <si>
    <t>Environmental Studies; Urban Studies</t>
  </si>
  <si>
    <t>Environmental Sciences &amp; Ecology; Urban Studies</t>
  </si>
  <si>
    <t>5W5JN</t>
  </si>
  <si>
    <t>WOS:000760166200001</t>
  </si>
  <si>
    <t>S</t>
  </si>
  <si>
    <t>Lu, XW; Xu, XH; Gong, YM</t>
  </si>
  <si>
    <t>Dolgui, A; Bernard, A; Lemoine, D; VonCieminski, G; Romero, D</t>
  </si>
  <si>
    <t>Lu, Xingwei; Xu, Xianhao; Gong, Yeming</t>
  </si>
  <si>
    <t>A Literature Review on Smart Technologies and Logistics</t>
  </si>
  <si>
    <t>ADVANCES IN PRODUCTION MANAGEMENT SYSTEMS: ARTIFICIAL INTELLIGENCE FOR SUSTAINABLE AND RESILIENT PRODUCTION SYSTEMS, APMS 2021, PT IV</t>
  </si>
  <si>
    <t>IFIP Advances in Information and Communication Technology</t>
  </si>
  <si>
    <t>Article; Proceedings Paper</t>
  </si>
  <si>
    <t>International-Federation-of-Information-Processing-Working-Group-5.7 (IFIP WG 5.7) International Conference on Advances in Production Management Systems (APMS)</t>
  </si>
  <si>
    <t>SEP 05-09, 2021</t>
  </si>
  <si>
    <t>ELECTR NETWORK</t>
  </si>
  <si>
    <t>Int Fed Informat Proc Working Grp 5 7 Advances Prod Management Syst,IMT Atlantique,Univ Nantes, Centrale Nantes,Rennes Business Sch,Audecia Business Sch</t>
  </si>
  <si>
    <t>Literature review; Topic modelling; Logistics; Smart technologies; Multi-level framework</t>
  </si>
  <si>
    <t>SUPPLY CHAIN MANAGEMENT; BIG DATA ANALYTICS; ARTIFICIAL-INTELLIGENCE</t>
  </si>
  <si>
    <t>The emergence of smart technologies has brought substantial changes in logistics. Hence, understanding smart technologies applied in logistics has become critical for practitioners and scholars to make smart technologies better empower logistics activities. Because research on this issue is new and largely fragmented, it will be theoretically essential to evaluate what has been studied and derive meaningful insights through a literature review. In this study, we conduct a mixed-method literature review of smart technologies in logistics. We classify these studies by topic modeling and identify important research domains and methods. More importantly, we draw upon the task-technology fit theory and logistics activities process to propose a multi-level theoretical framework in smart technologies in logistics for understanding the current status in research. We believe that this framework can provide a valuable basis for future logistics research.</t>
  </si>
  <si>
    <t>[Lu, Xingwei; Xu, Xianhao] Huazhong Univ Sci &amp; Technol, Sch Management, Wuhan, Peoples R China; [Gong, Yeming] EMLYON Business Sch, 23 Ave Guy de Collongue, F-69134 Ecully, France</t>
  </si>
  <si>
    <t>Huazhong University of Science &amp; Technology; EMLYON Business School</t>
  </si>
  <si>
    <t>Lu, XW (corresponding author), Huazhong Univ Sci &amp; Technol, Sch Management, Wuhan, Peoples R China.</t>
  </si>
  <si>
    <t>Molina, Nicholle/AAA-7370-2022; GONG, Yeming/I-7148-2012</t>
  </si>
  <si>
    <t>GONG, Yeming/0000-0001-9270-5507</t>
  </si>
  <si>
    <t>SPRINGER INTERNATIONAL PUBLISHING AG</t>
  </si>
  <si>
    <t>CHAM</t>
  </si>
  <si>
    <t>GEWERBESTRASSE 11, CHAM, CH-6330, SWITZERLAND</t>
  </si>
  <si>
    <t>1868-4238</t>
  </si>
  <si>
    <t>1868-422X</t>
  </si>
  <si>
    <t>978-3-030-85910-7; 978-3-030-85909-1</t>
  </si>
  <si>
    <t>IFIP ADV INF COMM TE</t>
  </si>
  <si>
    <t>10.1007/978-3-030-85910-7_59</t>
  </si>
  <si>
    <t>Computer Science, Information Systems; Telecommunications</t>
  </si>
  <si>
    <t>Emerging Sources Citation Index (ESCI); Conference Proceedings Citation Index - Science (CPCI-S)</t>
  </si>
  <si>
    <t>Computer Science; Telecommunications</t>
  </si>
  <si>
    <t>BS4DE</t>
  </si>
  <si>
    <t>WOS:000717519900059</t>
  </si>
  <si>
    <t>Treiblmaier, H; Mair, P</t>
  </si>
  <si>
    <t>Treiblmaier, Horst; Mair, Patrick</t>
  </si>
  <si>
    <t>Textual Data Science for Logistics and Supply Chain Management</t>
  </si>
  <si>
    <t>LOGISTICS-BASEL</t>
  </si>
  <si>
    <t>supply chain forecasting; text mining; text analysis; word clouds; sentiment analysis; topic modeling; correspondence analysis; multidimensional scaling</t>
  </si>
  <si>
    <t>CLASSIFICATION</t>
  </si>
  <si>
    <t>Background: Researchers in logistics and supply chain management apply a multitude of methods. So far, however, the potential of textual data science has not been fully exploited to automatically analyze large chunks of textual data and to extract relevant insights. Methods: In this paper, we use data from 19 qualitative interviews with supply chain experts and illustrate how the following methods can be applied: (1) word clouds, (2) sentiment analysis, (3) topic models, (4) correspondence analysis, and (5) multidimensional scaling. Results: Word clouds show the most frequent words in a body of text. Sentiment analysis can be used to calculate polarity scores based on the sentiments that the respondents had in their interviews. Topic models cluster the texts based on dominating topics. Correspondence analysis shows the associations between the words being used and the respective managers. Multidimensional scaling allows researchers to visualize the similarities between the interviews and yields clusters of managers, which can also be used to highlight differences between companies. Conclusions: Textual data science can be applied to mine qualitative data and to extract novel knowledge. This can yield interesting insights that can supplement existing research approaches in logistics and supply chain research.</t>
  </si>
  <si>
    <t>[Treiblmaier, Horst] Modul Univ Vienna, Dept Int Management, A-1190 Vienna, Austria; [Mair, Patrick] Harvard Univ, Dept Psychol, Cambridge, MA 02138 USA</t>
  </si>
  <si>
    <t>Harvard University</t>
  </si>
  <si>
    <t>Treiblmaier, H (corresponding author), Modul Univ Vienna, Dept Int Management, A-1190 Vienna, Austria.</t>
  </si>
  <si>
    <t>horst.treiblmaier@modul.ac.at; mair@fas.harvard.edu</t>
  </si>
  <si>
    <t>Treiblmaier, Horst/X-1282-2019</t>
  </si>
  <si>
    <t>Treiblmaier, Horst/0000-0002-0755-5223</t>
  </si>
  <si>
    <t>2305-6290</t>
  </si>
  <si>
    <t>Logistics</t>
  </si>
  <si>
    <t>10.3390/logistics5030056</t>
  </si>
  <si>
    <t>Management; Operations Research &amp; Management Science</t>
  </si>
  <si>
    <t>Business &amp; Economics; Operations Research &amp; Management Science</t>
  </si>
  <si>
    <t>WA4EU</t>
  </si>
  <si>
    <t>WOS:000702840800001</t>
  </si>
  <si>
    <t>Xiong, H; Cheng, Y; Zhao, WH; Liu, JH</t>
  </si>
  <si>
    <t>Xiong, Hui; Cheng, Yi; Zhao, Wenhao; Liu, Jianhua</t>
  </si>
  <si>
    <t>Analyzing scientific research topics in manufacturing field using a topic model</t>
  </si>
  <si>
    <t>COMPUTERS &amp; INDUSTRIAL ENGINEERING</t>
  </si>
  <si>
    <t>Topic model; Latent Dirichlet allocation; Manufacturing; Research topic</t>
  </si>
  <si>
    <t>INTEGRATED SUPPLY CHAIN; STOCHASTIC CONSTRAINTS; INVENTORY; OPTIMIZATION; MULTIPRODUCT; SERVICE; DESIGN; IMPACT; POLICY</t>
  </si>
  <si>
    <t>We can gain a thorough understanding of an academic field by surveying related scientific literature. We applied the latent Dirichlet allocation (LDA) method and developed a topic model to analyze changes in research topics over time and identify the temporal dynamics of manufacturing-related research with respect to journals and countries/areas. The data were collected from 82,248 published journal abstracts published in 43 journals between 1990 and 2016. We found that the research scope of manufacturing has become increasingly interdisciplinary; management science and materialogy have become more important. Also, manufacturing research is no longer limited to traditional sub-fields such as manufacturing processes, mechanical transmission, and machining tools but is also concerned with advanced manufacturing techniques (e.g., laser-based manufacturing, semiconductor fabrication, and planning of production processes). By quantifying the temporal trends of topics at the country/area level, we found that researchers in different regions tend to focus on different sub-fields, while adjacent countries/areas commonly share research topics. Our findings could be of great value to researchers, enterprises, journals and publishers who are interested in identifying promising or popular topics.</t>
  </si>
  <si>
    <t>[Xiong, Hui; Cheng, Yi; Zhao, Wenhao; Liu, Jianhua] Beijing Inst Technol, Sch Mech Engn, Dept Mfg Engn, Beijing 100081, Peoples R China</t>
  </si>
  <si>
    <t>Liu, JH (corresponding author), Beijing Inst Technol, Sch Mech Engn, Dept Mfg Engn, Beijing 100081, Peoples R China.</t>
  </si>
  <si>
    <t>xionghui@bit.edu.cn; jeffliu@bit.edu.cn</t>
  </si>
  <si>
    <t>Liu, Jianhua/AAL-8436-2020</t>
  </si>
  <si>
    <t>Liu, Jianhua/0000-0003-0130-9520</t>
  </si>
  <si>
    <t>National Defense Fundamental Research Foundation, China [JCKY2016203B083, JCKY2016204A502, JCKY2016203B106]; Equipment Pre-research Foundation, China [41423010301]</t>
  </si>
  <si>
    <t>National Defense Fundamental Research Foundation, China; Equipment Pre-research Foundation, China</t>
  </si>
  <si>
    <t>This research was partially supported by the National Defense Fundamental Research Foundation, China (Nos. JCKY2016203B083, JCKY2016204A502, JCKY2016203B106), and the Equipment Pre-research Foundation, China (No. 41423010301).</t>
  </si>
  <si>
    <t>PERGAMON-ELSEVIER SCIENCE LTD</t>
  </si>
  <si>
    <t>THE BOULEVARD, LANGFORD LANE, KIDLINGTON, OXFORD OX5 1GB, ENGLAND</t>
  </si>
  <si>
    <t>0360-8352</t>
  </si>
  <si>
    <t>1879-0550</t>
  </si>
  <si>
    <t>COMPUT IND ENG</t>
  </si>
  <si>
    <t>Comput. Ind. Eng.</t>
  </si>
  <si>
    <t>10.1016/j.cie.2019.06.010</t>
  </si>
  <si>
    <t>Computer Science, Interdisciplinary Applications; Engineering, Industrial</t>
  </si>
  <si>
    <t>IS6EC</t>
  </si>
  <si>
    <t>WOS:000482244100026</t>
  </si>
  <si>
    <t>Shrivastav, SK</t>
  </si>
  <si>
    <t>Shrivastav, Santosh Kumar</t>
  </si>
  <si>
    <t>Exploring the application of analytics in supply chain during COVID-19 pandemic: a review and future research agenda</t>
  </si>
  <si>
    <t>JOURNAL OF GLOBAL OPERATIONS AND STRATEGIC SOURCING</t>
  </si>
  <si>
    <t>Analytics; Supply chain; COVID-19; Topic modeling</t>
  </si>
  <si>
    <t>BIG DATA ANALYTICS; MANAGEMENT-PRACTICES; SOCIAL MEDIA; ARTIFICIAL-INTELLIGENCE; BIBLIOMETRIC ANALYSIS; IMPACT; PERFORMANCE; RESILIENCE; INDUSTRY; AGILITY</t>
  </si>
  <si>
    <t>Purpose This study aims to comprehend the application of analytics in the supply chain during the ongoing COVID-19 crisis and identify the emerging themes. Design/methodology/approach The author downloaded a list of research articles on the application of analytics to the supply chain from SCOPUS, conducted a systematic literature review for exploratory analysis and proposed a framework. Notably, the author used the topic modeling technique to identify research themes published during the ongoing COVID-19 crisis and thereby underscore some future research directions. Findings The author found that artificial intelligence, machine learning, internet of thing and blockchain are trending topics. Additionally, the author identified five themes by topic modeling, including the theme Social Media information in Supply chain. Research limitations/implications The results were derived from a data set extracted from SCOPUS. Thus, the author excluded all studies not listed in SCOPUS from the analysis. Future research with articles indexed in other databases should be investigated to get a more holistic perspective of specific themes. Practical implications This study provides a deeper understanding and proposes a framework for applications of analytics in the supply chain that researchers could use for future research and industry practitioners to implement in their organizations to make a more sustainable and resilient supply chain. Originality/value This study provides exploratory information from published articles on the use of analytics in the supply chain during the COVID-19 crisis and generates themes that help understand the emerging and underpinned area of research.</t>
  </si>
  <si>
    <t>[Shrivastav, Santosh Kumar] Inst Management Technol Ghaziabad, Ctr Data Sci, Ghaziabad, India</t>
  </si>
  <si>
    <t>Institute of Management Technology, Ghaziabad</t>
  </si>
  <si>
    <t>Shrivastav, SK (corresponding author), Inst Management Technol Ghaziabad, Ctr Data Sci, Ghaziabad, India.</t>
  </si>
  <si>
    <t>sshrivastava.00147@gmail.com</t>
  </si>
  <si>
    <t>Leeds</t>
  </si>
  <si>
    <t>floor 5, Northspring 21-23 Wellington Street, Leeds, W YORKSHIRE, ENGLAND</t>
  </si>
  <si>
    <t>2398-5364</t>
  </si>
  <si>
    <t>J GLOB OPER STRATEG</t>
  </si>
  <si>
    <t>J. Glob. Oper. Strateg. Sourc.</t>
  </si>
  <si>
    <t>APR 27</t>
  </si>
  <si>
    <t>SI</t>
  </si>
  <si>
    <t>10.1108/JGOSS-06-2022-0053</t>
  </si>
  <si>
    <t>AUG 2022</t>
  </si>
  <si>
    <t>F8BA0</t>
  </si>
  <si>
    <t>WOS:000846887500001</t>
  </si>
  <si>
    <t>Delgosha, MS; Hajiheydari, N; Talafidaryani, M</t>
  </si>
  <si>
    <t>Delgosha, Mohammad Soltani; Hajiheydari, Nastaran; Talafidaryani, Mojtaba</t>
  </si>
  <si>
    <t>Discovering IoT implications in business and management: A computational thematic analysis</t>
  </si>
  <si>
    <t>TECHNOVATION</t>
  </si>
  <si>
    <t>Internet of things; Topic modelling; Business model; Thematic analysis; Business and management; Future research</t>
  </si>
  <si>
    <t>SUPPLY CHAIN; BIG DATA; OPERATIONS MANAGEMENT; DECISION-MAKING; INDUSTRY 4.0; INTERNET; THINGS; SMART; SERVICE; FUTURE</t>
  </si>
  <si>
    <t>IoT as a disruptive technology is contributing toward ground-breaking experiences in contemporary enterprises and in our daily life. Rapidly changing business environment and phenomenally evolving technology enhance-ment necessitate a robust understanding of IoT implications from business and management perspective. The current study benefits from an explanatory sequential mixed-method approach to represent and interpret the inductive topical framework of IoT literature in business and management with emphasis on business model. Bayesian statistical topic model called latent Dirichlet allocation is employed to conduct a comprehensive analysis of 347 related scholarly articles to reveal the topical composition of related research. Further, we fol-lowed a thematic analysis for interpreting the extracted topics and gaining in-depth qualitative insights. Theo-retical implications with emphasizing on research agenda for future study avenues and managerial implications based on influential themes are provided.</t>
  </si>
  <si>
    <t>[Delgosha, Mohammad Soltani] Univ West England, Bristol Business Sch, Coldharbour Ln,Frenchay Campus, Bristol BS16 1QY, England; [Hajiheydari, Nastaran] Univ Tehran, Univ Sheffield, Sheffield Univ Management Sch, Conduit Rd,UKConduit Rd, Sheffield S10 1FL, England; [Talafidaryani, Mojtaba] Univ Tehran, Fac Management, Dept Business Management, Tehran, Iran</t>
  </si>
  <si>
    <t>University of West England; University of Sheffield; University of Tehran</t>
  </si>
  <si>
    <t>Hajiheydari, N (corresponding author), Univ Tehran, Univ Sheffield, Sheffield Univ Management Sch, Conduit Rd,UKConduit Rd, Sheffield S10 1FL, England.</t>
  </si>
  <si>
    <t>Mohammad.soltanidelgosha@uwe.ac.uk; n.hajiheydari@sheffield.ac.uk; mojtabatalafi@ut.ac.ir</t>
  </si>
  <si>
    <t>0166-4972</t>
  </si>
  <si>
    <t>1879-2383</t>
  </si>
  <si>
    <t>Technovation</t>
  </si>
  <si>
    <t>10.1016/j.technovation.2021.102236</t>
  </si>
  <si>
    <t>OCT 2022</t>
  </si>
  <si>
    <t>Engineering, Industrial; Management; Operations Research &amp; Management Science</t>
  </si>
  <si>
    <t>Engineering; Business &amp; Economics; Operations Research &amp; Management Science</t>
  </si>
  <si>
    <t>5X6UK</t>
  </si>
  <si>
    <t>Green Accepted</t>
  </si>
  <si>
    <t>WOS:000878734400010</t>
  </si>
  <si>
    <t>Jung, YJ; Kim, Y</t>
  </si>
  <si>
    <t>Jung, Yeo Jin; Kim, Youngmin</t>
  </si>
  <si>
    <t>Research trends of sustainability and marketing research, 2010-2020: Topic modeling analysis</t>
  </si>
  <si>
    <t>HELIYON</t>
  </si>
  <si>
    <t>Sustainability; Marketing; Topic modeling; Latent dirichlet allocation (LDA); Research trend</t>
  </si>
  <si>
    <t>SUPPLY CHAIN MANAGEMENT; INDUSTRY 4.0; CORPORATE SUSTAINABILITY; TRANSPORTATION SUSTAINABILITY; MANUFACTURING-INDUSTRY; FASHION CONSUMPTION; CIRCULAR ECONOMY; LUXURY FASHION; GREEN; PERFORMANCE</t>
  </si>
  <si>
    <t>In recent decades, rapid growth has been observed in the incorporation of sustainability into marketing. Accordingly, the contrasting relationships between them have been carefully studied to assess the relevance of one idea to the other and vice versa. In response to this change, scholars and practitioners have been tasked with exploring the trends in sustainability and marketing. Therefore, the purpose of this study is to investigate existing literatures on both sustainability and all levels of marketing, determine the research trends and provide implications of applying the trends for future research and practices. This research has investigated only the title, abstract, and keywords of 2147 articles that were published between 2010 and 2020 in SSCI or SCIE indexed journals by applying the topic modeling based on the Latent Dirichlet Allocation (LDA) model. The results show that the research trend has shifted from general sustainable concept to more environmental and industrial technology based on the empirical evidence of 14 latent topics of sustainability and marketing. This article aids in understanding the recent research trend in sustainability and marketing, and the findings will be a valuable resource for future scholars and practitioners. It contributes to both existing and future literatures by providing valuable insights from recent research trend in sustainability and marketing and by providing recommendations for future research avenue. Among other bibliometric review articles, this is the most up-to-date comprehensive and empirical article, providing overview of the research trend.</t>
  </si>
  <si>
    <t>[Jung, Yeo Jin] Dong A Univ, Ctr Entrepreneurship Studies, 225 Gudeok Ro, Busan, South Korea; [Kim, Youngmin] Chung Ang Univ, Da Vinci Coll Gen Educ, 84 Heukseok Ro, Seoul, South Korea</t>
  </si>
  <si>
    <t>Dong A University; Chung Ang University</t>
  </si>
  <si>
    <t>Kim, Y (corresponding author), Chung Ang Univ, Da Vinci Coll Gen Educ, 84 Heukseok Ro, Seoul, South Korea.</t>
  </si>
  <si>
    <t>dr_yeojin-jung@naver.com; e010120302@cau.ac.kr</t>
  </si>
  <si>
    <t>Kim, Youngmin/0000-0002-1295-1837</t>
  </si>
  <si>
    <t>Ministry of Education of the Republic of Korea; National Research Foundation of Korea [NRF-2019S1A5B5A07107323]; National Research Foundation of Korea [2019S1A5B5A07107323] Funding Source: Korea Institute of Science &amp; Technology Information (KISTI), National Science &amp; Technology Information Service (NTIS)</t>
  </si>
  <si>
    <t>Ministry of Education of the Republic of Korea(Ministry of Education (MOE), Republic of Korea); National Research Foundation of Korea(National Research Foundation of Korea); National Research Foundation of Korea(National Research Foundation of Korea)</t>
  </si>
  <si>
    <t>This work was supported by the Ministry of Education of the Republic of Korea and the National Research Foundation of Korea [NRF-2019S1A5B5A07107323] .</t>
  </si>
  <si>
    <t>CELL PRESS</t>
  </si>
  <si>
    <t>CAMBRIDGE</t>
  </si>
  <si>
    <t>50 HAMPSHIRE ST, FLOOR 5, CAMBRIDGE, MA 02139 USA</t>
  </si>
  <si>
    <t>2405-8440</t>
  </si>
  <si>
    <t>Heliyon</t>
  </si>
  <si>
    <t>MAR</t>
  </si>
  <si>
    <t>e14208</t>
  </si>
  <si>
    <t>10.1016/j.heliyon.2023.e14208</t>
  </si>
  <si>
    <t>MAR 2023</t>
  </si>
  <si>
    <t>Multidisciplinary Sciences</t>
  </si>
  <si>
    <t>Science &amp; Technology - Other Topics</t>
  </si>
  <si>
    <t>E4YL0</t>
  </si>
  <si>
    <t>gold, Green Published</t>
  </si>
  <si>
    <t>WOS:000975611700001</t>
  </si>
  <si>
    <t>Li, MZ; Zhao, L</t>
  </si>
  <si>
    <t>Li, Muzhen; Zhao, Li</t>
  </si>
  <si>
    <t>Exploring Global Fashion Sustainability Practices through Dictionary-Based Text Mining</t>
  </si>
  <si>
    <t>CLOTHING AND TEXTILES RESEARCH JOURNAL</t>
  </si>
  <si>
    <t>triple bottom line theory; sustainable practices; moral responsibility of corporate sustainability; dictionary-based approach; topic modeling algorithm</t>
  </si>
  <si>
    <t>SOCIAL-RESPONSIBILITY REPORTS; CORPORATE SUSTAINABILITY; SUPPLY CHAIN; INDICATORS; FRAMEWORK; GOVERNANCE</t>
  </si>
  <si>
    <t>Nowadays, more fashion companies have started to adopt various sustainability practices and communicate these practices through their annual public CSR reports. In this study, we aim to provide a holistic perspective of fashion companies' sustainable development and investigate the sustainability practices of global fashion companies. A total of 181 CSR reports from 29 fashion companies were collected. A Dictionary approach text classification method, combined with Latent Dirichlet Allocation (LDA), a computer-assisted topic modeling algorithm, was implemented to detect and summarize the themes and keywords of detailed practices disclosed in CSR reports. The findings identified 12 main sustainability practices themes based on the triple bottom line theory and the moral responsibility of corporate sustainability theory. In general, waste management and human rights are the most frequently mentioned themes. The findings also suggest that global fashion companies adopted different sustainability strategies based on their product categories and competitive advantages.</t>
  </si>
  <si>
    <t>[Li, Muzhen; Zhao, Li] Univ Missouri, Dept Text &amp; Apparel Management, Columbia, MO USA</t>
  </si>
  <si>
    <t>University of Missouri System; University of Missouri Columbia</t>
  </si>
  <si>
    <t>Li, MZ (corresponding author), Univ Missouri, 137 Stanley Hall, Columbia, MO 65211 USA.</t>
  </si>
  <si>
    <t>ml896@mail.missouri.edu</t>
  </si>
  <si>
    <t>SAGE PUBLICATIONS INC</t>
  </si>
  <si>
    <t>THOUSAND OAKS</t>
  </si>
  <si>
    <t>2455 TELLER RD, THOUSAND OAKS, CA 91320 USA</t>
  </si>
  <si>
    <t>0887-302X</t>
  </si>
  <si>
    <t>1940-2473</t>
  </si>
  <si>
    <t>CLOTH TEXT RES J</t>
  </si>
  <si>
    <t>Cloth. Text. Res. J.</t>
  </si>
  <si>
    <t>0887302X21998268</t>
  </si>
  <si>
    <t>10.1177/0887302X21998268</t>
  </si>
  <si>
    <t>MAR 2021</t>
  </si>
  <si>
    <t>Business; Social Sciences, Interdisciplinary</t>
  </si>
  <si>
    <t>Business &amp; Economics; Social Sciences - Other Topics</t>
  </si>
  <si>
    <t>H3QA3</t>
  </si>
  <si>
    <t>WOS:000626226600001</t>
  </si>
  <si>
    <t>Stanislavská, LK; Pilar, L; Fridrich, M; Kvasnicka, R; Pilarová, L; Afsar, B; Gorton, M</t>
  </si>
  <si>
    <t>Stanislavska, Lucie Kvasnickova; Pilar, Ladislav; Fridrich, Martin; Kvasnicka, Roman; Pilarova, Lucie; Afsar, Bilal; Gorton, Matthew</t>
  </si>
  <si>
    <t>Sustainability reports: Differences between developing and developed countries</t>
  </si>
  <si>
    <t>FRONTIERS IN ENVIRONMENTAL SCIENCE</t>
  </si>
  <si>
    <t>developed countries; structural topic modeling; sustainability report; developing counties; human rights; sustainable production</t>
  </si>
  <si>
    <t>CORPORATE SOCIAL-RESPONSIBILITY; CSR DISCLOSURE; HUMAN-RIGHTS; BOARD DIVERSITY; AGE DIVERSITY; MANAGEMENT; QUALITY; IMPACT; CREDIBILITY; BUSINESS</t>
  </si>
  <si>
    <t>Achieving sustainability is a major challenge faced by many societies. The increasing moral consciousness of stakeholders has put pressure on companies, forcing these companies to include long-term policies that reflect the regionally specific needs of stakeholders. Using a structural topic model, this study identified differences between developing and developed countries with respect to sustainability disclosures. Data were obtained from 2100 sustainability reports published in the United Nations Global Compact database for the year 2020. In global terms, these sustainability reports addressed three main topics: 1) human rights, 2) diversity, equity, and inclusion, and 3) sustainable production. Moreover, the sustainability reports from developing and developed countries incorporated different communication strategies. Based on the prevalence (rate of occurrence) of content, sustainability reports from developed countries predominantly communicated issues related to sustainable production and supply chain emissions, whereas sustainability reports from developing countries more frequently communicated issues related to education and human rights.</t>
  </si>
  <si>
    <t>[Stanislavska, Lucie Kvasnickova; Pilar, Ladislav; Pilarova, Lucie] Czech Univ Life Sci Prague, Fac Econ &amp; Management, Dept Management, Prague, Czech Republic; [Fridrich, Martin] Brno Univ Technol, Fac Business &amp; Management, Dept Informat, Brno, Czech Republic; [Kvasnicka, Roman] Czech Univ Life Sci Prague, Fac Econ &amp; Management, Dept Syst Engn, Prague, Czech Republic; [Afsar, Bilal] Hazara Univ, Dept Management Sci, Mansehra, Pakistan; [Gorton, Matthew] Newcastle Univ, Business Sch, Newcastle Upon Tyne, Tyne &amp; Wear, England</t>
  </si>
  <si>
    <t>Czech University of Life Sciences Prague; Brno University of Technology; Czech University of Life Sciences Prague; Hazara University; Newcastle University - UK</t>
  </si>
  <si>
    <t>Pilar, L (corresponding author), Czech Univ Life Sci Prague, Fac Econ &amp; Management, Dept Management, Prague, Czech Republic.</t>
  </si>
  <si>
    <t>pilarl@pef.czu.cz</t>
  </si>
  <si>
    <t>Kvasničková Stanislavská, Lucie/R-8301-2017; Fridrich, Martin/GWD-1250-2022</t>
  </si>
  <si>
    <t>Kvasničková Stanislavská, Lucie/0000-0001-7360-8509; Fridrich, Martin/0000-0003-3060-0704</t>
  </si>
  <si>
    <t>Internal Grant Agency (IGA) of FEM CULS in Prague; [2022B0009]</t>
  </si>
  <si>
    <t>Internal Grant Agency (IGA) of FEM CULS in Prague;</t>
  </si>
  <si>
    <t>This study was supported by the Internal Grant Agency (IGA) of FEM CULS in Prague, registration 2022B0009-Application of artificial intelligence to regional segmentation using Big Data.</t>
  </si>
  <si>
    <t>FRONTIERS MEDIA SA</t>
  </si>
  <si>
    <t>LAUSANNE</t>
  </si>
  <si>
    <t>AVENUE DU TRIBUNAL FEDERAL 34, LAUSANNE, CH-1015, SWITZERLAND</t>
  </si>
  <si>
    <t>2296-665X</t>
  </si>
  <si>
    <t>FRONT ENV SCI-SWITZ</t>
  </si>
  <si>
    <t>Front. Environ. Sci.</t>
  </si>
  <si>
    <t>MAR 29</t>
  </si>
  <si>
    <t>10.3389/fenvs.2023.1085936</t>
  </si>
  <si>
    <t>Environmental Sciences</t>
  </si>
  <si>
    <t>Environmental Sciences &amp; Ecology</t>
  </si>
  <si>
    <t>D5KF1</t>
  </si>
  <si>
    <t>WOS:000969113600001</t>
  </si>
  <si>
    <t>Park, H; Grundmann, P</t>
  </si>
  <si>
    <t>Park, Hyunjin; Grundmann, Philipp</t>
  </si>
  <si>
    <t>What does an inclusive bioeconomy mean for primary producers? An analysis of European bioeconomy strategies</t>
  </si>
  <si>
    <t>JOURNAL OF ENVIRONMENTAL POLICY &amp; PLANNING</t>
  </si>
  <si>
    <t>bioeconomy; inclusion; primary producers; discourse analysis; topic modeling</t>
  </si>
  <si>
    <t>SUSTAINABLE DEVELOPMENT; CONTESTED VISIONS; EXPECTATIONS; TEXT; INNOVATION; SOCIOLOGY</t>
  </si>
  <si>
    <t>Agriculture, forestry, fisheries, and aquaculture are activities in the primary sectors that are core sectors of the European bioeconomy. However, they have not been considered sufficiently in the bioeconomy policy framework, and neglecting the needs of actors in these sectors could have serious implications for sustainability. Against the background that the updated EU bioeconomy strategy underlines the deployment of inclusive bioeconomies, this paper examines different meanings of inclusive bioeconomies for primary producers by combining a topic modeling of European bioeconomy strategies and a storyline analysis regarding their inclusion in the EU and German bioeconomy strategies. Our analysis reveals four storylines for the inclusion of primary producers, including yield improving technologies, involvement in rural bioeconomy development, support for ecosystem-based practices, and international development. The storylines underscore the distribution of resources, and the inclusion of primary producers is considered a minor goal of the bioeconomy. While the EU strategy seeks to support local value chain development and environment-friendly practices over time, the German strategy gives importance to yield improving technologies. Ensuring consistency between and across strategies at EU and national levels is necessary for reaching the goal of an inclusive bioeconomy with primary producers in consideration.</t>
  </si>
  <si>
    <t>[Park, Hyunjin; Grundmann, Philipp] Leibniz Inst Agr Engn &amp; Bioecon, Dept Technol Assessment &amp; Subst Cycles, Potsdam, Germany; [Park, Hyunjin; Grundmann, Philipp] Humboldt Univ, Dept Agr Econ, Berlin, Germany; [Park, Hyunjin] Humboldt Univ, Integrat Res Inst Transformat Human Environm Syst, Berlin, Germany</t>
  </si>
  <si>
    <t>Leibniz Institut fur Agrartechnik und Biookonomie (ATB); Humboldt University of Berlin; Humboldt University of Berlin</t>
  </si>
  <si>
    <t>Park, H (corresponding author), Leibniz Inst Agr Engn &amp; Bioecon, Dept Technol Assessment &amp; Subst Cycles, Potsdam, Germany.;Park, H (corresponding author), Humboldt Univ, Dept Agr Econ, Berlin, Germany.;Park, H (corresponding author), Humboldt Univ, Integrat Res Inst Transformat Human Environm Syst, Berlin, Germany.</t>
  </si>
  <si>
    <t>hpark@atb-potsdam.de</t>
  </si>
  <si>
    <t>European Commission [862674]</t>
  </si>
  <si>
    <t>European Commission(European Union (EU)European Commission Joint Research Centre)</t>
  </si>
  <si>
    <t>This work was supported by European Commission: [Grant Number No. 862674].</t>
  </si>
  <si>
    <t>1523-908X</t>
  </si>
  <si>
    <t>1522-7200</t>
  </si>
  <si>
    <t>J ENVIRON POL PLAN</t>
  </si>
  <si>
    <t>J. Environ. Pol. Plan.</t>
  </si>
  <si>
    <t>MAY 4</t>
  </si>
  <si>
    <t>10.1080/1523908X.2022.2094353</t>
  </si>
  <si>
    <t>JUL 2022</t>
  </si>
  <si>
    <t>Development Studies; Regional &amp; Urban Planning</t>
  </si>
  <si>
    <t>Development Studies; Public Administration</t>
  </si>
  <si>
    <t>G2XO0</t>
  </si>
  <si>
    <t>hybrid</t>
  </si>
  <si>
    <t>WOS:000821421700001</t>
  </si>
  <si>
    <t>El-Taliawi, OG; Goyal, N; Howlett, M</t>
  </si>
  <si>
    <t>El-Taliawi, Ola G.; Goyal, Nihit; Howlett, Michael</t>
  </si>
  <si>
    <t>Holding out the promise of Lasswell's dream: Big data analytics in public policy research and teaching(sic)(sic)(sic)Palabras Clave</t>
  </si>
  <si>
    <t>REVIEW OF POLICY RESEARCH</t>
  </si>
  <si>
    <t>bibliometric review; big data analytics; machine learning; pedagogy; policy sciences; public policy; topic modeling</t>
  </si>
  <si>
    <t>SUPPLY CHAIN; BIOMEDICAL TEXT; SCIENCE; INFORMATION; PERFORMANCE; COMPLEXITY; ONTOLOGIES; DISCOVERY; STRATEGY; BEHAVIOR</t>
  </si>
  <si>
    <t>While the emergence of big data raises concerns regarding governance and public policy, it also creates opportunities for diversifying the toolkit for analysis for the policy sciences as a whole, i.e., research concerning policy analysis as well as policy studies. Further, it opens avenues for practice, which together with research requires adaptation in teaching curricula if policy education were to remain relevant. However, it is not clear to what extent this opportunity is being realized in public policy research and teaching. In this study, we examine the prevalence of big data analytics in public policy research and pedagogy using bibliometric analysis and topic modeling for the former, and content analysis of course titles and descriptions for the latter. We find that despite significant scope for application of various big data techniques, the use of these analytic techniques in public policy has been largely limited to select institutions in a few countries. Further, data science has received limited attention in policy pedagogy, once again with significant geographic variation in its prevalence. We conclude that, to stay relevant, the policy sciences need to pay more attention to the integration of big data techniques in policy research, pedagogy, and thereby practice.</t>
  </si>
  <si>
    <t>[Goyal, Nihit] Delft Univ Technol, Fac Technol Policy &amp; Management, Delft, Netherlands; [El-Taliawi, Ola G.] Carleton Univ, Fac Publ Affairs, Dept Polit Sci, Ottawa, ON, Canada; [Howlett, Michael] Simon Fraser Univ, Dept Polit Sci, Burnaby, BC, Canada</t>
  </si>
  <si>
    <t>Delft University of Technology; Carleton University; Simon Fraser University</t>
  </si>
  <si>
    <t>Goyal, N (corresponding author), Delft Univ Technol TU Delft, Fac Technol Policy &amp; Management, Jaffalaan 5, NL-2628 BX Delft, Netherlands.</t>
  </si>
  <si>
    <t>nihit.goyal@tudelft.nl</t>
  </si>
  <si>
    <t>Howlett, Michael/W-7544-2019</t>
  </si>
  <si>
    <t>Howlett, Michael/0000-0003-4689-740X; Goyal, Nihit/0000-0002-1025-7585</t>
  </si>
  <si>
    <t>1541-132X</t>
  </si>
  <si>
    <t>1541-1338</t>
  </si>
  <si>
    <t>REV POLICY RES</t>
  </si>
  <si>
    <t>Rev. Policy Res.</t>
  </si>
  <si>
    <t>10.1111/ropr.12448</t>
  </si>
  <si>
    <t>SEP 2021</t>
  </si>
  <si>
    <t>Political Science; Public Administration</t>
  </si>
  <si>
    <t>Government &amp; Law; Public Administration</t>
  </si>
  <si>
    <t>WN8JA</t>
  </si>
  <si>
    <t>hybrid, Green Published</t>
  </si>
  <si>
    <t>WOS:000694642700001</t>
  </si>
  <si>
    <t>Choi, KH; Kwon, GH</t>
  </si>
  <si>
    <t>Choi, Kwang Hun; Kwon, Gyu Hyun</t>
  </si>
  <si>
    <t>Strategies for sensing innovation opportunities in smart grids: In the perspective of interactive relationships between science, technology, and business</t>
  </si>
  <si>
    <t>Innovation opportunities; S-T-B ecosystem; Smart grids; Topic modeling; Cosine similarity</t>
  </si>
  <si>
    <t>DYNAMIC CAPABILITIES; ELECTRICITY SECTOR; DISCOVERY; KNOWLEDGE; ENERGY; INTEGRATION; CHALLENGES; FRONTS</t>
  </si>
  <si>
    <t>In response to the many changes and uncertainties facing the future, sensing opportunities for innovation is an important agenda. Formulating strategies for sensing opportunities in innovation requires an ecosystem perspective that integrates the science, technology, and business (S-T-B) fields that shape the innovation ecosystem. This study was to identify potential in the innovation ecosystem focusing on a text mining technique and similarity-based analysis, which is the fundamental concept of Literature-Based Discovery, an approach to deriving hidden associations between two areas in bibliometric databases. The purpose of this study was sensing innovation opportunities through intelligent trends and interaction analysis in S-T-B fields in the value chain of smart grids, which is the research target area. Topic modeling, and cosine similarity measurements were carried out using scientific papers, patents, business publication data corresponding to the S-T-B ecosystem. Through multi-dimensional data sources corresponding to the S-T-B fields, the evolutionary path of the smart grid value chain and its potential as a strategic tool for future innovative challenges were identified. This study has practical and policy implications in that it identifies a niche in the innovation system and provides meaningful information that could contribute to the revitalization of participation in the private sector and consumers.</t>
  </si>
  <si>
    <t>[Choi, Kwang Hun; Kwon, Gyu Hyun] Hanyang Univ, Grad Sch Technol &amp; Innovat Management, 222 Wangsimni Ro, Seoul 04763, South Korea</t>
  </si>
  <si>
    <t>Hanyang University</t>
  </si>
  <si>
    <t>Kwon, GH (corresponding author), Hanyang Univ, Grad Sch Technol &amp; Innovat Management, 222 Wangsimni Ro, Seoul 04763, South Korea.</t>
  </si>
  <si>
    <t>piro8577@gmail.com; ghkwon@hanyang.ac.kr</t>
  </si>
  <si>
    <t>FEB</t>
  </si>
  <si>
    <t>10.1016/j.techfore.2022.122210</t>
  </si>
  <si>
    <t>DEC 2022</t>
  </si>
  <si>
    <t>D5ZF8</t>
  </si>
  <si>
    <t>WOS:000969505700009</t>
  </si>
  <si>
    <t>Lee, JH; Wood, J; Kim, J</t>
  </si>
  <si>
    <t>Lee, Jee Hoon; Wood, Jacob; Kim, Jungsuk</t>
  </si>
  <si>
    <t>Tracing the Trends in Sustainability and Social Media Research Using Topic Modeling</t>
  </si>
  <si>
    <t>topic modeling; LDA; research trend; sustainability; social media</t>
  </si>
  <si>
    <t>SUPPLY CHAIN MANAGEMENT; STRATEGIC-MANAGEMENT; RESPONSIBILITY; FUTURE; IMPACT; GREEN; COMMUNICATION; OPPORTUNITIES; INTEGRATION; ENGAGEMENT</t>
  </si>
  <si>
    <t>New ideas are often born from connecting the dots. What new ideas have emerged among the two highly trending research topics of sustainability and social media? In this study, we present an empirical analysis of 762 published works that included the terms sustainability and social media in their abstracts. The bibliographic data, including abstracts, were collected from the Scopus database. In order to conduct the analysis, we used the Latent Dirichlet Allocation (LDA), an unsupervised machine learning algorithm to extract the latent topics from the large quantity of research abstracts without any manual adjustment. The 10 main topics identified from our analysis revealed topographical maps of research in the field. By measuring the variation of topic distributions over time, we identified hot topics (research trends that are becoming increasingly popular over time) and cold topics. Sustainable consumer behavior, Sustainable community and Sustainable tourism were identified as being hot topics, while Education for sustainability was identified as the only cold topic. By identifying current trends in social media and sustainability research, our findings lay a platform from which further studies may abound.</t>
  </si>
  <si>
    <t>[Lee, Jee Hoon] Sejong Univ, Dept Business Adm, Seoul 05006, South Korea; [Wood, Jacob] James Cook Univ Singapore, JCU Singapore Business Sch, Singapore 387380, Singapore; [Kim, Jungsuk] Sejong Univ, Dept Econ, Seoul 05006, South Korea</t>
  </si>
  <si>
    <t>Sejong University; James Cook University; Sejong University</t>
  </si>
  <si>
    <t>Kim, J (corresponding author), Sejong Univ, Dept Econ, Seoul 05006, South Korea.</t>
  </si>
  <si>
    <t>petra@sejong.ac.kr; jacob.wood@jcu.edu.au; js_kim@sejong.ac.kr</t>
  </si>
  <si>
    <t>Wood, Jacob/ISV-4680-2023; Kim, Jungsuk/S-8614-2017</t>
  </si>
  <si>
    <t>Lee, Jee Hoon/0000-0001-8874-6867; Kim, Jungsuk/0000-0002-5574-1303</t>
  </si>
  <si>
    <t>10.3390/su13031269</t>
  </si>
  <si>
    <t>QD6YO</t>
  </si>
  <si>
    <t>gold, Green Accepted, Green Published</t>
  </si>
  <si>
    <t>WOS:000615661100001</t>
  </si>
  <si>
    <t>Van Nguyen, T; Pham, HC; Nguyen, MN; Zhou, L; Akbari, M</t>
  </si>
  <si>
    <t>Van Nguyen, Truong; Cong Pham, Hiep; Nhat Nguyen, Minh; Zhou, Li; Akbari, Mohammadreza</t>
  </si>
  <si>
    <t>Data-driven review of blockchain applications in supply chain management: key research themes and future directions</t>
  </si>
  <si>
    <t>INTERNATIONAL JOURNAL OF PRODUCTION RESEARCH</t>
  </si>
  <si>
    <t>Review; Early Access</t>
  </si>
  <si>
    <t>Supply chain; blockchain; text mining; data driven review; topic modelling</t>
  </si>
  <si>
    <t>TECHNOLOGY; LOGISTICS; SYSTEM; INTERNET; AUTHENTICATION; ARCHITECTURE; COLLABORATION; TRACEABILITY; TRACKING; PLATFORM</t>
  </si>
  <si>
    <t>Blockchain (BC) applications in supply chain management (SCM) have recently received extensive attention. It is important to synthesise the extant literature on the field to identify key research themes and navigate potential future directions. This study thus develops an efficient, scalable data-driven review approach that uses text mining and Latent Dirichlet Allocation (LDA)-based topic modelling for automatic content analysis of full-text documents. Our method overcomes the drawbacks of traditional systematic literature reviews using either manual coding or bibliographic analysis for article classifications, which are highly time-consuming and biased when dealing with large amounts of text. 108 papers published between 2017 and 2022 were analysed which identified 10 key research themes, including revenue management, sustainability, traceability, manufacturing system, scheduling in cloud manufacturing, healthcare SCM, anti-counterfeit system, logistics and transportation, system architecture development, and food &amp; agriculture SC. Five future directions are then suggested, including (1) integration of BC and other emerging technologies for global and scalable SCM, (2) crypto-X applications in SCM, (3) BC-enabled closed-loop SCM, (4) the environmental and social impacts of BC-based SCM and (5) decentralised autonomous organisations in SCM.</t>
  </si>
  <si>
    <t>[Van Nguyen, Truong] MJOO Ltd, London, England; [Cong Pham, Hiep; Nhat Nguyen, Minh] RMIT Vietnam, Business Sch, Ho Chi Minh City, Vietnam; [Zhou, Li] Univ Greenwich, Business Sch, London, England; [Akbari, Mohammadreza] James Cook Univ, Douglas, Australia</t>
  </si>
  <si>
    <t>Royal Melbourne Institute of Technology (RMIT); University of Greenwich; James Cook University</t>
  </si>
  <si>
    <t>Pham, HC (corresponding author), RMIT Vietnam, Business Sch, Ho Chi Minh City, Vietnam.</t>
  </si>
  <si>
    <t>hiep.pham@rmit.edu.vn</t>
  </si>
  <si>
    <t>; Akbari, Mohammadreza/G-6197-2012; Zhou, Li/B-3035-2011</t>
  </si>
  <si>
    <t>Nguyen, Nhat Minh/0000-0002-4452-8400; Akbari, Mohammadreza/0000-0002-0051-1199; Pham, Hiep/0000-0002-6423-1188; Zhou, Li/0000-0001-7132-5935</t>
  </si>
  <si>
    <t>0020-7543</t>
  </si>
  <si>
    <t>1366-588X</t>
  </si>
  <si>
    <t>INT J PROD RES</t>
  </si>
  <si>
    <t>Int. J. Prod. Res.</t>
  </si>
  <si>
    <t>2023 JAN 12</t>
  </si>
  <si>
    <t>10.1080/00207543.2023.2165190</t>
  </si>
  <si>
    <t>JAN 2023</t>
  </si>
  <si>
    <t>Engineering, Industrial; Engineering, Manufacturing; Operations Research &amp; Management Science</t>
  </si>
  <si>
    <t>Engineering; Operations Research &amp; Management Science</t>
  </si>
  <si>
    <t>8G1XT</t>
  </si>
  <si>
    <t>WOS:000920143600001</t>
  </si>
  <si>
    <t>Flynn, B; Pagell, M; Fugate, B</t>
  </si>
  <si>
    <t>Flynn, Barbara; Pagell, Mark; Fugate, Brian</t>
  </si>
  <si>
    <t>From the Editors: Introduction to the Emerging Discourse Incubator on the Topic of Emerging Approaches for Developing Supply Chain Management Theory</t>
  </si>
  <si>
    <t>JOURNAL OF SUPPLY CHAIN MANAGEMENT</t>
  </si>
  <si>
    <t>theory building; Qualitative Big Data; critical engaged research; discourse analysis</t>
  </si>
  <si>
    <t>The Journal of Supply Chain Management's 2020 Emerging Discourse Incubator hopes to stimulate the development of supply chain specific theory. Well-executed case-based research will always be an appropriate means for developing supply chain theory. However, this EDI seeks to highlight emerging approaches to theory building that provide alternatives to case-based research or can be used as a source of triangulation with it. To start that discourse, this issue offers three emergent approaches. In Theorizing Supply Chains with Qualitative Big Data and Topic Modeling, Tima Bansal, Jury Gualandris, and Nahyun Kim explore the application of topic modeling to develop supply chain theory from qualitative textual big data evidence. Anne Touboulic, Lucy McCarthy, and Lee Matthews illustrate the use of critical engaged research to develop supply chain theory in Re-Imagining Supply Chain Challenges Through Critical Engaged Research. In A New Methodology for Supply Chain Management: Discourse Analysis and its Potential for Theoretical Advancement, Cynthia Hardy, Vikram Bhakoo, and Steve Maguire describe the potential for discourse analysis for developing supply chain management theory. These are but a few examples of potential approaches to developing supply chain theory. We welcome submissions on additional approaches and sources of data that are used in other disciplines, but have yet to be applied in the context of developing supply chain theory, and submissions on approaches that are emergent in the social sciences, in general. JSCM welcomes submissions for this EDI through the end of 2020.</t>
  </si>
  <si>
    <t>[Flynn, Barbara] Indiana Univ, Bloomington, IN 47405 USA; [Pagell, Mark] Univ Coll Dublin, Dublin, Ireland; [Fugate, Brian] Univ Arkansas, Fayetteville, AR 72701 USA</t>
  </si>
  <si>
    <t>Indiana University System; Indiana University Bloomington; University College Dublin; University of Arkansas System; University of Arkansas Fayetteville</t>
  </si>
  <si>
    <t>Pagell, M (corresponding author), Univ Coll Dublin, Dublin, Ireland.</t>
  </si>
  <si>
    <t>mark.pagell@ucd.ie</t>
  </si>
  <si>
    <t>Pagell, Mark/HJY-5588-2023</t>
  </si>
  <si>
    <t>Pagell, Mark/0000-0001-7053-6917</t>
  </si>
  <si>
    <t>1523-2409</t>
  </si>
  <si>
    <t>1745-493X</t>
  </si>
  <si>
    <t>J SUPPLY CHAIN MANAG</t>
  </si>
  <si>
    <t>J. Supply Chain Manag.</t>
  </si>
  <si>
    <t>APR</t>
  </si>
  <si>
    <t>10.1111/jscm.12227</t>
  </si>
  <si>
    <t>APR 2020</t>
  </si>
  <si>
    <t>LI1FZ</t>
  </si>
  <si>
    <t>Bronze</t>
  </si>
  <si>
    <t>WOS:000524308700001</t>
  </si>
  <si>
    <t>Schmidt, AL; Petzold, N; Lahme-Hütig, N; Tiemann, F</t>
  </si>
  <si>
    <t>Schmidt, Alexander Lennart; Petzold, Neele; Lahme-Huetig, Norman; Tiemann, Florian</t>
  </si>
  <si>
    <t>Growing with others: A longitudinal study of an evolving multi-sided disruptive platform</t>
  </si>
  <si>
    <t>CREATIVITY AND INNOVATION MANAGEMENT</t>
  </si>
  <si>
    <t>business model; disruptive innovation; platform; process; topic modeling</t>
  </si>
  <si>
    <t>INNOVATION; COMPETITION; FUTURE; MODEL; TECHNOLOGY; STRATEGIES; MARKETS</t>
  </si>
  <si>
    <t>Multi-sided platforms are becoming increasingly relevant in understanding industry changes. The literature has focused on the inception and growth of platforms, neglecting how entrants develop and grow disruptive platforms. To address this shortcoming, we study an entrant that was spun off from an established catalog retailer and is steering a multi-sided disruptive platform in the German fashion retail industry. We conduct a longitudinal study on how the entrant leverages the relationships with its multiple platform sides during 2014-2019 by analyzing secondary data using topic modeling and qualitative content analysis. We propose three levers: (1) guarded inception, which is the collaboration with a knowledgeable partner unaffected by disruption to quickly overcome the chicken-and-egg problem; (2) activating force multipliers, which is the strategic orchestration of complementors being contractually tied to the entrant and working to extend the entrant's value network. Enabled by these two levers, the entrant was (3) building on others to develop the platform along a disruptive path while circumventing internal limitations and external resistance. We contribute to the intersection of the literature strands on platform and disruptive innovation by showing how the entrant strategically leveraged its different platform sides over time to develop and grow a disruptive platform.</t>
  </si>
  <si>
    <t>[Schmidt, Alexander Lennart; Petzold, Neele] Munster Univ Appl Sci, Sci To Business Mkt Res Ctr, Johann Krane Weg 23, D-48149 Munster, Germany; [Lahme-Huetig, Norman; Tiemann, Florian] Munster Univ Appl Sci, Munster Sch Business, Corrensstr 25, D-48149 Munster, Germany</t>
  </si>
  <si>
    <t>University of Applied Sciences, Muenster; University of Applied Sciences, Muenster</t>
  </si>
  <si>
    <t>Schmidt, AL (corresponding author), Munster Univ Appl Sci, Sci To Business Mkt Res Ctr, Johann Krane Weg 23, D-48149 Munster, Germany.</t>
  </si>
  <si>
    <t>alexanderlennart.schmidt@fh-muenster.de</t>
  </si>
  <si>
    <t>Tiemann, Florian/0000-0002-2800-0489; Lahme-Hutig, Norman/0000-0002-1794-7095</t>
  </si>
  <si>
    <t>Bundesministerium fur Bildung und Forschung [03FH031PX5]</t>
  </si>
  <si>
    <t>Bundesministerium fur Bildung und Forschung(Federal Ministry of Education &amp; Research (BMBF))</t>
  </si>
  <si>
    <t>Bundesministerium fur Bildung und Forschung, Grant/Award Number: 03FH031PX5</t>
  </si>
  <si>
    <t>0963-1690</t>
  </si>
  <si>
    <t>1467-8691</t>
  </si>
  <si>
    <t>CREAT INNOV MANAG</t>
  </si>
  <si>
    <t>Creat. Innov. Manag.</t>
  </si>
  <si>
    <t>10.1111/caim.12401</t>
  </si>
  <si>
    <t>AUG 2020</t>
  </si>
  <si>
    <t>QF6BZ</t>
  </si>
  <si>
    <t>WOS:000563855000001</t>
  </si>
  <si>
    <t>Rabetino, R; Kohtamäki, M; Brax, SA; Sihvonen, J</t>
  </si>
  <si>
    <t>Rabetino, Rodrigo; Kohtamaki, Marko; Brax, Saara A.; Sihvonen, Jukka</t>
  </si>
  <si>
    <t>The tribes in the field of servitization: Discovering latent streams across 30 years of research</t>
  </si>
  <si>
    <t>INDUSTRIAL MARKETING MANAGEMENT</t>
  </si>
  <si>
    <t>Servitization; Topic modeling; Narratives; Literature review</t>
  </si>
  <si>
    <t>OF-THE-ART; INTEGRATED SOLUTIONS; DIGITAL SERVITIZATION; BUSINESS SERVICES; MANUFACTURING-INDUSTRIES; TOPIC LANDSCAPE; SUPPLY CHAIN; PRODUCT; MANAGEMENT; MODEL</t>
  </si>
  <si>
    <t>The servitization domain consists of over three decades of multi-disciplinary research on service activities in industrial contexts. Servitization literature combines different research streams that share a set of critical concepts. Existing meta-analytical studies have organized information content of sub-streams, homogenized theoretical propositions, and concepts to discover shared patterns, and identified an implicit meta-narrative. This study reverses the meta-analysis direction to deconstruct the servitization body of knowledge using the dynamic topic modeling (DTM) methodology to analyze 550 research articles. DTM enables complex forms of content analysis that combine quantitative and qualitative analysis. The analysis demonstrates how these streams have informed the development of the servitization domain and shaped the collective construction of this body of knowledge. The contributions of this study are threefold. First, the study increases understanding of the conceptual dynamics and thematic trends within the servitization research domain and the nuances between the substreams. The study offers some strategies for the future development of the field, facilitating the renewal of the servitization-related research agenda. Second, it illustrates the role of DTM as an alternative tool for conducting a literature review. Finally, it supports the development of a common language for the servitization field, thereby reducing the entry barriers for new contributors and favoring the knowledge transfer to professionals.</t>
  </si>
  <si>
    <t>[Rabetino, Rodrigo; Kohtamaki, Marko] Univ Vaasa, Sch Management, POB 700, FI-65101 Vaasa, Finland; [Brax, Saara A.] Lappeenranta Univ Technol, Sch Business &amp; Management, Lappeenranta, Finland; [Sihvonen, Jukka] Aalto Univ, Sch Business, Dept Accounting &amp; Business Law, Espoo, Finland; [Kohtamaki, Marko] Univ South Eastern Norway, USN Business Sch, Notodden, Norway; [Kohtamaki, Marko] Lulea Univ Technol Entrepreneurship &amp; Innovat, Lulea, Sweden</t>
  </si>
  <si>
    <t>University of Vaasa; Lappeenranta University of Technology; Aalto University; University College of Southeast Norway; Lulea University of Technology</t>
  </si>
  <si>
    <t>Rabetino, R (corresponding author), Univ Vaasa, Sch Management, POB 700, FI-65101 Vaasa, Finland.</t>
  </si>
  <si>
    <t>rodrigo.rabetino@uva.fi; marko.kohtamaki@uwasa.fi; saara.brax@lut.fi; jukka.sihvonen@aalto.fi</t>
  </si>
  <si>
    <t>Rabetino, Rodrigo/ABG-1574-2021; Kohtamäki, Marko/ABB-4602-2021; Kohtamäki, Marko/J-1618-2015; Brax, Saara A./E-7554-2012</t>
  </si>
  <si>
    <t>Rabetino, Rodrigo/0000-0001-8567-2559; Kohtamäki, Marko/0000-0003-2094-7974; Brax, Saara A./0000-0001-8884-5320; Sihvonen, Jukka/0000-0002-0691-2591</t>
  </si>
  <si>
    <t>0019-8501</t>
  </si>
  <si>
    <t>1873-2062</t>
  </si>
  <si>
    <t>IND MARKET MANAG</t>
  </si>
  <si>
    <t>Ind. Mark. Manage.</t>
  </si>
  <si>
    <t>MAY</t>
  </si>
  <si>
    <t>10.1016/j.indmarman.2021.04.005</t>
  </si>
  <si>
    <t>APR 2021</t>
  </si>
  <si>
    <t>Business; Management</t>
  </si>
  <si>
    <t>SF8RL</t>
  </si>
  <si>
    <t>WOS:000653015800009</t>
  </si>
  <si>
    <t>Kim, S; Lee, K</t>
  </si>
  <si>
    <t>Kim, Songi; Lee, Keeheon</t>
  </si>
  <si>
    <t>The paradigm shift of mass customisation research</t>
  </si>
  <si>
    <t>Mass customisation; paradigm; topic modelling; thematic landscape; change-point detection</t>
  </si>
  <si>
    <t>MANUFACTURING EXECUTION SYSTEM; HUMAN-ROBOT-COOPERATION; SUPPLY CHAIN; HEALTH-CARE; NETWORK ANALYSIS; PRODUCT VARIETY; AUTOMOTIVE PART; INDUSTRY 4.0; DESIGN; FRAMEWORK</t>
  </si>
  <si>
    <t>Industrial manufacturing is a core component of a nation's economic wealth. It is driven by technology, and its paradigm has shifted from craft production to mass production to lean production to mass customisation (MC). We identify how emerging technologies offer a new way to shift MC research focusing on the scientific communities that have been driving MC research, changes in MC throughout the years, and the technological advances that influence future research trends of MC. We then identify MC paradigms. We analyse 1,947 MC papers from 1992 to 2019 and discover the research attention changes from the perspectives of the communities and themes using topic modelling. Our result indicates that MC was explained in terms of the business and marketing strategy (BMS) and the operations management (OM), in accordance with technological development. In BMS, MC topics moved from demand uncertainty to industry transformation. In OM, topics changed from assembly line for product differentiation to additive manufacturing. We discuss the future research agenda according to the technological advances in computer-aided design, additive manufacturing, machine learning, identification technologies, virtual reality, and human-robot collaboration. Not only researchers but practitioners and policymakers can utilise our approach to analyse and formulate MC strategies considering new technologies.</t>
  </si>
  <si>
    <t>[Kim, Songi] Yonsei Univ, Inst Convergence Sci &amp; Technol, Seoul, South Korea; [Lee, Keeheon] Yonsei Univ, Creat Technol Management, 50 Yonsei Ro, Seoul 03722, South Korea</t>
  </si>
  <si>
    <t>Yonsei University; Yonsei University</t>
  </si>
  <si>
    <t>Lee, K (corresponding author), Yonsei Univ, Creat Technol Management, 50 Yonsei Ro, Seoul 03722, South Korea.</t>
  </si>
  <si>
    <t>keeheon@yonsei.ac.kr</t>
  </si>
  <si>
    <t>Korean Ministry of Education [NRF-2017R1C1B1010094, NRF-2018R1A6A3A01013445]; Yonsei University [2017-22-0067]</t>
  </si>
  <si>
    <t>Korean Ministry of Education(Ministry of Education (MOE), Republic of Korea); Yonsei University</t>
  </si>
  <si>
    <t>This work was supported by Korean Ministry of Education [grant number NRF-2017R1C1B1010094], [grant number NRF-2018R1A6A3A01013445]; Yonsei University [grant number 2017-22-0067].</t>
  </si>
  <si>
    <t>MAY 19</t>
  </si>
  <si>
    <t>10.1080/00207543.2022.2081629</t>
  </si>
  <si>
    <t>JUN 2022</t>
  </si>
  <si>
    <t>C7SC7</t>
  </si>
  <si>
    <t>WOS:000807616600001</t>
  </si>
  <si>
    <t>Duong, QH; Zhou, L; Meng, M; Van Nguyen, T; Ieromonachou, P; Nguyen, DT</t>
  </si>
  <si>
    <t>Duong, Quang Huy; Zhou, Li; Meng, Meng; Van Nguyen, Truong; Ieromonachou, Petros; Nguyen, Duy Tiep</t>
  </si>
  <si>
    <t>Understanding product returns: A systematic literature review using machine learning and bibliometric analysis</t>
  </si>
  <si>
    <t>INTERNATIONAL JOURNAL OF PRODUCTION ECONOMICS</t>
  </si>
  <si>
    <t>Product returns; Literature review; Machine learning; Topic modelling; Bibliometric analysis; Framework</t>
  </si>
  <si>
    <t>MONEY-BACK GUARANTEES; REVERSE LOGISTICS NETWORK; SUPPLY CHAIN COORDINATION; OF-THE-ART; CUSTOMER RETURNS; CONSUMER RETURNS; INVENTORY DECISIONS; INDUSTRY PRACTICE; FULL-REFUND; POLICIES</t>
  </si>
  <si>
    <t>Product Returns (PR) are an inevitable yet costly process in business, especially in the online marketplace. How to deal with the conundrums has attracted a great deal of attention from both practitioners and researchers. This paper aims to synthesise research developments in the PR domain in order to provide an insightful picture of current research and explore future directions for the research community. To ensure research rigour, we adapt a six-step framework - defining the topic, searching databases, cleaning and clustering data, paper selection, content analysis, and discussion. A hybrid approach is adopted for clustering and identifying the distribution and themes in a large number of publications collected from academic databases. The hybrid approach combines machine learning topic modelling and bibliometric analysis. The machine learning results indicate that the overall research can be clustered into three groups: (1) operations management of PR, covering (re) manufacturing network design, product recovery, reverse distribution, and quality of cores; (2) retailer and (re) manufacturer issues including return policy, channel, inventory, pricing, and information strategies; and (3) customer's psychology, experience, and perception on marketing-operation interface. Furthermore, from the content analysis, five potential future directions are discussed, namely digitalisation in the context of PR; globalisation versus localisation in the context of PR; multi-layer (i.e., retailer, manufacturer, logistics provider, online platform) and multi-channel (i.e., online, offline, dual and omni channel) oriented bespoke return policy; understanding and predicting customer return behaviour via online footprints; and customer return perception across the marketing-operations interface.</t>
  </si>
  <si>
    <t>[Duong, Quang Huy; Zhou, Li; Ieromonachou, Petros; Nguyen, Duy Tiep] Univ Greenwich, Fac Business, London SE10 9LS, England; [Meng, Meng] Univ Bath, Sch Management, Bath BA2 7AY, Avon, England; [Van Nguyen, Truong] Brunel Univ London, Brunel Business Sch, Uxbridge UB8 3PH, Middx, England</t>
  </si>
  <si>
    <t>University of Greenwich; University of Bath; Brunel University</t>
  </si>
  <si>
    <t>Zhou, L (corresponding author), Univ Greenwich, Fac Business, London SE10 9LS, England.</t>
  </si>
  <si>
    <t>Li.Zhou@gre.ac.uk</t>
  </si>
  <si>
    <t>Van Nguyen, Truong/AAI-2537-2020; meng, meng/GWZ-7461-2022; Duong, Quang Huy/HXP-2016-2023; Ieromonachou, Petros/HIR-7540-2022; Zhou, Li/B-3035-2011</t>
  </si>
  <si>
    <t>Van Nguyen, Truong/0000-0001-9380-5710; Duong, Quang Huy/0000-0003-2108-2976; Ieromonachou, Petros/0000-0002-5842-9585; Zhou, Li/0000-0001-7132-5935; Nguyen, Tiep Duy/0000-0002-6295-0816; MENG, MENG/0000-0001-7240-6454</t>
  </si>
  <si>
    <t>0925-5273</t>
  </si>
  <si>
    <t>1873-7579</t>
  </si>
  <si>
    <t>INT J PROD ECON</t>
  </si>
  <si>
    <t>Int. J. Prod. Econ.</t>
  </si>
  <si>
    <t>10.1016/j.ijpe.2021.108340</t>
  </si>
  <si>
    <t>WN1UP</t>
  </si>
  <si>
    <t>Green Accepted, Green Submitted</t>
  </si>
  <si>
    <t>WOS:000711561100005</t>
  </si>
  <si>
    <t>Kumar, A; Shrivastav, S; Adlakha, A; Vishwakarma, NK</t>
  </si>
  <si>
    <t>Kumar, Anup; Shrivastav, Santosh; Adlakha, Amit; Vishwakarma, Niraj K.</t>
  </si>
  <si>
    <t>Appropriation of sustainability priorities to gain strategic advantage in a supply chain</t>
  </si>
  <si>
    <t>INTERNATIONAL JOURNAL OF PRODUCTIVITY AND PERFORMANCE MANAGEMENT</t>
  </si>
  <si>
    <t>Competitive advantage; Fuzzy TOPSIS; Sustainability priorities; Sustainable supply chain management; Topic modeling</t>
  </si>
  <si>
    <t>CORPORATE SOCIAL-RESPONSIBILITY; MANAGEMENT-PRACTICES; DECISION-MAKING; PRODUCT DESIGN; PERFORMANCE-MEASUREMENT; CONCEPTUAL-FRAMEWORK; SMALL FIRMS; SELECTION; MODEL; INNOVATION</t>
  </si>
  <si>
    <t>Purpose The authors develop a methodology to select appropriate sustainable supply chain indicators (SSCIs) to measure Sustainable Development Goals (SDGs) in the global supply chain. Design/methodology/approach SSCIs are identified by reviewing the extant literature and topic modeling. Further, they are evaluated based on existing SDGs and ranked using the fuzzy technique for order preference by similarity to ideal solution (TOPSIS) method. Notably, the evaluation of indicators is a multi-criteria decision-making (MCDM) process within a fuzzy environment. The methodology has been explained using a case study from the automobile industry. Findings The case study identifies appropriate SSCIs and differentiates them among peer suppliers for gaining a competitive advantage. The results reveal that top-ranked sustainability indicators include the management of natural resources, energy, greenhouse gas (GHG) emissions and social investment. Practical implications The study outcome will enable suppliers, specialists and decision makers to understand the criteria that improve supply chain sustainability in the automobile industry. The analysis provides a comprehensive understanding of the competitive package of indicators for gaining strategic advantage. This proactive sustainability indicator selection promotes and enhances sustainability reporting while fulfilling regulatory requirements and increasing collaboration potential with trustworthy downstream partners. This study sets the stage for further research in SSCIs' competitive strategy in the automobile industry along with its supply chains. Originality/value This study is unique as it provides a framework for determining relevant SSCIs, which can be distinguished from peer suppliers, while also matching economic, environmental and social metrics to achieve a competitive advantage.</t>
  </si>
  <si>
    <t>[Kumar, Anup] Inst Management Technol Nagpur, Operat Management, Nagpur, Maharashtra, India; [Shrivastav, Santosh] Inst Management Technol Nagpur, Nagpur, Maharashtra, India; [Adlakha, Amit] IU Dehradun, Dehra Dun, Uttarakhand, India; [Vishwakarma, Niraj K.] BHU Varanasi, Fac Management Studies, Varanasi, Uttar Pradesh, India</t>
  </si>
  <si>
    <t>Banaras Hindu University (BHU)</t>
  </si>
  <si>
    <t>Kumar, A (corresponding author), Inst Management Technol Nagpur, Operat Management, Nagpur, Maharashtra, India.</t>
  </si>
  <si>
    <t>anunewin@gmail.com; sshrivastava@imtnag.ac.in; amitadlakha75@gmail.com; niraj@bhu.ac.in</t>
  </si>
  <si>
    <t>shrivastav, santosh/GQA-4366-2022; Kumar, Anup/AAD-5479-2020</t>
  </si>
  <si>
    <t>Kumar, Anup/0000-0002-1116-3230; Vishvakarma, N.K./0000-0003-2455-1301</t>
  </si>
  <si>
    <t>1741-0401</t>
  </si>
  <si>
    <t>1758-6658</t>
  </si>
  <si>
    <t>INT J PRODUCT PERFOR</t>
  </si>
  <si>
    <t>Int. J. Product Perform. Manag.</t>
  </si>
  <si>
    <t>JAN 3</t>
  </si>
  <si>
    <t>10.1108/IJPPM-06-2020-0298</t>
  </si>
  <si>
    <t>NOV 2020</t>
  </si>
  <si>
    <t>XX1BJ</t>
  </si>
  <si>
    <t>WOS:000592701100001</t>
  </si>
  <si>
    <t>Shrivastava, S</t>
  </si>
  <si>
    <t>Shrivastava, Santosh</t>
  </si>
  <si>
    <t>Recent trends in supply chain management of business-to-business firms: a review and future research directions</t>
  </si>
  <si>
    <t>JOURNAL OF BUSINESS &amp; INDUSTRIAL MARKETING</t>
  </si>
  <si>
    <t>Article; Early Access</t>
  </si>
  <si>
    <t>Supply chain blogs; Supply chain forums; Social media; Topic modeling; Business-to-business; Multiple database</t>
  </si>
  <si>
    <t>ARTIFICIAL-INTELLIGENCE; INSTITUTIONAL PRESSURES; BIG DATA; FRAMEWORK; COLLABORATION; CHALLENGES; BLOCKCHAIN; ANALYTICS; ADOPTION; INTERNET</t>
  </si>
  <si>
    <t>PurposeThis study aims to identify the trending topics, emerging themes and future research directions in supply chain management (SCM) through multiple source of data. The insights would be of use to academics, practitioners and policymakers to leverage latest developments in addressing current and future challenges. Design/methodology/approachThis study uses a multiple source of data such as published literature and social media data including supply chain blogs and forums contents on business-to-business (B2B) firms to identify trending topics, emerging themes and future research directions in SCM. Topic modeling, a machine learning technique, is used to derive the topics and themes. Examining supply chain blogs and forums offer a valuable perspective on current issues and challenges faced by B2B firms. By analyzing the content of these online discussions, the study identifies emerging themes and topics of interest to practitioners and researchers. FindingsThe study synthesizes 1,648 published articles and more than 1.3 lakh tweets, discussions and expert views from social media, including various blogs and supply chain forums, and identifies six themes, of which three are trending, and the other three are emerging themes in the supply chain. Rather than aggregate implications, the study integrates findings from two databases and proposes a framework encompassing the drivers, processes and impacts on each theme and derives promising avenues for future research. Originality/valuePrior literature has majorly used published research articles and reports as a primary source of information to identify the trending theme and emerging topics. To the best of the authors' knowledge, this is the first study of its kind to examine the potential value of information from social media, such as blogs, websites, forums and published literature to discover new supply chain trends and themes related to B2B firms and derive encouraging possibilities for future research.</t>
  </si>
  <si>
    <t>[Shrivastava, Santosh] Inst Management Technol, Dept Business Analyt, Ghaziabad, India</t>
  </si>
  <si>
    <t>Shrivastava, S (corresponding author), Inst Management Technol, Dept Business Analyt, Ghaziabad, India.</t>
  </si>
  <si>
    <t>sksrivastava@imt.edu</t>
  </si>
  <si>
    <t>0885-8624</t>
  </si>
  <si>
    <t>2052-1189</t>
  </si>
  <si>
    <t>J BUS IND MARK</t>
  </si>
  <si>
    <t>J. Bus. Ind. Mark.</t>
  </si>
  <si>
    <t>2023 MAY 16</t>
  </si>
  <si>
    <t>10.1108/JBIM-02-2023-0122</t>
  </si>
  <si>
    <t>MAY 2023</t>
  </si>
  <si>
    <t>Business</t>
  </si>
  <si>
    <t>G2RV6</t>
  </si>
  <si>
    <t>WOS:000987700500001</t>
  </si>
  <si>
    <t>Xue, J; Chen, JX; Chen, C; Zheng, CD; Li, SJ; Zhu, TS</t>
  </si>
  <si>
    <t>Xue, Jia; Chen, Junxiang; Chen, Chen; Zheng, Chengda; Li, Sijia; Zhu, Tingshao</t>
  </si>
  <si>
    <t>Public discourse and sentiment during the COVID 19 pandemic: Using Latent Dirichlet Allocation for topic modeling on Twitter</t>
  </si>
  <si>
    <t>PLOS ONE</t>
  </si>
  <si>
    <t>The study aims to understand Twitter users' discourse and psychological reactions to COVID-19. We use machine learning techniques to analyze about 1.9 million Tweets (written in English) related to coronavirus collected from January 23 to March 7, 2020. A total of salient 11 topics are identified and then categorized into ten themes, including updates about confirmed cases, COVID-19 related death, cases outside China (worldwide), COVID-19 outbreak in South Korea, early signs of the outbreak in New York, Diamond Princess cruise, economic impact, Preventive measures, authorities, and supply chain. Results do not reveal treatments and symptoms related messages as prevalent topics on Twitter. Sentiment analysis shows that fear for the unknown nature of the coronavirus is dominant in all topics. Implications and limitations of the study are also discussed.</t>
  </si>
  <si>
    <t>[Xue, Jia] Univ Toronto, Factor Inwentash Fac Social Work, Toronto, ON, Canada; [Xue, Jia; Zheng, Chengda] Univ Toronto, Fac Informat, Toronto, ON, Canada; [Chen, Junxiang] Univ Pittsburgh, Sch Med, Pittsburgh, PA USA; [Chen, Chen] Univ Toronto, Middleware Syst Res Grp, Toronto, ON, Canada; [Li, Sijia; Zhu, Tingshao] Chinese Acad Sci, Inst Psychol, Beijing, Peoples R China; [Li, Sijia] Univ Chinese Acad Sci, Dept Psychol, Beijing, Peoples R China</t>
  </si>
  <si>
    <t>University of Toronto; University of Toronto; Pennsylvania Commonwealth System of Higher Education (PCSHE); University of Pittsburgh; University of Toronto; Chinese Academy of Sciences; Institute of Psychology, CAS; Chinese Academy of Sciences; University of Chinese Academy of Sciences, CAS</t>
  </si>
  <si>
    <t>Zhu, TS (corresponding author), Chinese Acad Sci, Inst Psychol, Beijing, Peoples R China.</t>
  </si>
  <si>
    <t>tszhu@psych.ac.cn</t>
  </si>
  <si>
    <t>Li, Sijia/ABG-1700-2020; Chen, Junxiang/AEC-7945-2022</t>
  </si>
  <si>
    <t>Chen, Junxiang/0000-0002-8897-754X; Zheng, ChengDa/0000-0001-7696-3581; XUE, JIA/0000-0002-1668-2531; Zhu, Tingshao/0000-0003-0020-3812; Li, Sijia/0000-0003-4952-4123</t>
  </si>
  <si>
    <t>National Natural Science Foundation of China [31700984]; Artificial Intelligence Lab for Justice at University of Toronto, Canada</t>
  </si>
  <si>
    <t>National Natural Science Foundation of China(National Natural Science Foundation of China (NSFC)); Artificial Intelligence Lab for Justice at University of Toronto, Canada</t>
  </si>
  <si>
    <t>The publication of this article is supported by Funding by National Natural Science Foundation of China, grant number 31700984. The data collection is supported by the Artificial Intelligence Lab for Justice at University of Toronto, Canada. The funders had no additional role in study design, data analysis, decision to publish, or preparation of the manuscript.</t>
  </si>
  <si>
    <t>PUBLIC LIBRARY SCIENCE</t>
  </si>
  <si>
    <t>SAN FRANCISCO</t>
  </si>
  <si>
    <t>1160 BATTERY STREET, STE 100, SAN FRANCISCO, CA 94111 USA</t>
  </si>
  <si>
    <t>1932-6203</t>
  </si>
  <si>
    <t>PLoS One</t>
  </si>
  <si>
    <t>SEP 25</t>
  </si>
  <si>
    <t>e0239441</t>
  </si>
  <si>
    <t>10.1371/journal.pone.0239441</t>
  </si>
  <si>
    <t>NY3AJ</t>
  </si>
  <si>
    <t>Green Published, Green Submitted, gold</t>
  </si>
  <si>
    <t>WOS:000576266600002</t>
  </si>
  <si>
    <t>Saravanan, N; Olivares-Aguila, J; Vital-Soto, A</t>
  </si>
  <si>
    <t>Saravanan, Nishant; Olivares-Aguila, Jessica; Vital-Soto, Alejandro</t>
  </si>
  <si>
    <t>Bibliometric and Text Analytics Approaches to Review COVID-19 Impacts on Supply Chains</t>
  </si>
  <si>
    <t>supply chain; COVID-19; bibliometric analysis; text analytics; text mining</t>
  </si>
  <si>
    <t>RESILIENCE; MANAGEMENT</t>
  </si>
  <si>
    <t>The current COVID-19 pandemic has virtually disrupted supply chains worldwide. Thus, supply chain research has received significant attention. While the impacts have been immeasurable, organizations have realized the need to design strategies to overcome such unexpected events. Therefore, the supply chain research landscape has evolved to address the challenges during the pandemic. However, available literature surveys have not explored the power of text analytics. Hence, in this review, an analysis of the supply chain literature related to the impacts of COVID-19 is performed to identify the current research trends and future research avenues. To discover the frequent topics discussed in the literature, bibliometric analysis (i.e., keyword co-occurrence network) and text mining tools (i.e., N-gram analysis and topic modeling) are employed for the whole corpus and the top-three contributing journals (i.e., Sustainability, International Journal of Logistics Management, Operations Management Research). Moreover, text analytics (i.e., Term Frequency-Inverse Document Frequency: TF-IDF) is utilized to discover the distinctive topics in the corpus and per journals. A total of 574 papers published up to the first semester of 2022 were collected from the Scopus database to determine the research trends and opportunities. The keyword network identified four clusters considering the implementation of digitalization to achieve resilience and sustainability, the usage of additive manufacturing during the pandemic, the study of food supply chains, and the development of supply chain decision models to tackle the pandemic. Moreover, the segmented keyword network analysis and topic modeling were performed for the top three contributors. Although both analyses draw the research concentrations per journal, the keyword network tends to provide a more general scope, while the topic modeling gives more specific topics. Furthermore, TF-IDF scores unveiled topics rarely studied, such as the implications of the pandemic on plasma supply chains, cattle supply chains, and reshoring decisions, to mention a few. Additionally, it was observed how the different methodologies implemented allowed to complement the information provided by each method. Based on the findings, future research avenues are discussed. Therefore, this research will help supply chain practitioners and researchers to identify supply chain advancements, gaps in the literature and future research streams.</t>
  </si>
  <si>
    <t>[Saravanan, Nishant] Natl Inst Technol, Dept Prod Engn, Tiruchirappalli 620015, Tamil Nadu, India; [Olivares-Aguila, Jessica; Vital-Soto, Alejandro] Cape Breton Univ, Shannon Sch Business, 1250 Grand Lake Rd, Sydney, NS B1M 1A2, Canada</t>
  </si>
  <si>
    <t>National Institute of Technology (NIT System); National Institute of Technology Tiruchirappalli; Cape Breton University</t>
  </si>
  <si>
    <t>Olivares-Aguila, J (corresponding author), Cape Breton Univ, Shannon Sch Business, 1250 Grand Lake Rd, Sydney, NS B1M 1A2, Canada.</t>
  </si>
  <si>
    <t>jessica_olivares@cbu.ca</t>
  </si>
  <si>
    <t>Vital-Soto, Alejandro/0000-0003-2091-5024; Olivares-Aguila, Jessica/0000-0003-3986-7894</t>
  </si>
  <si>
    <t>10.3390/su142315943</t>
  </si>
  <si>
    <t>6Z2NJ</t>
  </si>
  <si>
    <t>WOS:000897617700001</t>
  </si>
  <si>
    <t>Du, HS; Zhan, BQ; Xu, JH; Yang, XG</t>
  </si>
  <si>
    <t>Du, Helen S.; Zhan, Baoqiang; Xu, Jiahong; Yang, Xiaoguang</t>
  </si>
  <si>
    <t>The influencing mechanism of multi-factors on green investments: A hybrid analysis</t>
  </si>
  <si>
    <t>JOURNAL OF CLEANER PRODUCTION</t>
  </si>
  <si>
    <t>Green investments; Multi-factors; LDA topic model; Spatial econometric</t>
  </si>
  <si>
    <t>ENVIRONMENTAL INVESTMENT; CARBON EMISSION; ECONOMIC-GROWTH; CO2 EMISSIONS; SUPPLY CHAIN; CHINA; POLICY; MODEL; QUALITY; IMPACT</t>
  </si>
  <si>
    <t>Given the grimmer ecological environment, green investments have increased influence on the support and acceleration of the environmental improvement. To identify the driving forces of green investments, we examine the direct and spillover effects of political, economic and environmental factors using a hybrid analysis. The results are based on two sets of data, which includes text data (1339 environmental policies) from the official websites of provincial environmental protection departments and statistical data (434 valid samples) from the Chinese Statistical Yearbook (2003-2016). First, LDA topic model is employed to construct political factors, during which the optimal topic number N are determined as 3. As an evaluation index, the average F-score is up to 75.39% and three topics are categorized, namely environmental regulation and protection, pollution prevention and treatment as well as environmental public governance. Then, spatial econometric models are built to test the spatial characteristics of green investments and the spillover effects of the above three factors. The results show that the economic factors and environmental factors play more significant roles than political factors. However, regarding the development of green investments during 2003-2016 in Chinese provinces, the government has gradually strengthened its power in boosting green investments and improving the environment, especially in setting up and monitoring environmental regulation. Tests of policy time-lag effects and robustness are also carried out in order to confirm the validation of the model. The adjusted R-2 of both tests are highly up to 0.905. Our results have significant implications to both research and practice in green investments and policy-making. (C) 2019 Elsevier Ltd. All rights reserved.</t>
  </si>
  <si>
    <t>[Du, Helen S.; Zhan, Baoqiang; Xu, Jiahong; Yang, Xiaoguang] Guangdong Univ Technol, Sch Management, 161 Yinglong Rd, Guangzhou 510520, Guangdong, Peoples R China; [Yang, Xiaoguang] Chinese Acad Sci, Acad Math &amp; Syst Sci, 55 East Zhongguancun Rd, Beijing 100190, Peoples R China</t>
  </si>
  <si>
    <t>Guangdong University of Technology; Chinese Academy of Sciences; Academy of Mathematics &amp; System Sciences, CAS</t>
  </si>
  <si>
    <t>Zhan, BQ (corresponding author), Guangdong Univ Technol, Sch Management, 161 Yinglong Rd, Guangzhou 510520, Guangdong, Peoples R China.</t>
  </si>
  <si>
    <t>hsdu@gdut.edu.cn; 2111708031@mail2.gdut.edu.cn; xujiahong@mail2.gdut.edu.cn; xgyang@iss.ac.cn</t>
  </si>
  <si>
    <t>Xu, Jiahong/AAS-2728-2020</t>
  </si>
  <si>
    <t>Xu, Jiahong/0000-0003-0714-6793; Zhan, Baoqiang/0000-0003-0812-6292</t>
  </si>
  <si>
    <t>National Natural Science Foundation of China [71572050, 71431008, 71850008]</t>
  </si>
  <si>
    <t>National Natural Science Foundation of China(National Natural Science Foundation of China (NSFC))</t>
  </si>
  <si>
    <t>This work was supported by National Natural Science Foundation of China (No. 71572050, No. 71431008 and No. 71850008). The authors would like to thank Shu Zhang for providing excellent technical support of data mining and text analysis.</t>
  </si>
  <si>
    <t>0959-6526</t>
  </si>
  <si>
    <t>1879-1786</t>
  </si>
  <si>
    <t>J CLEAN PROD</t>
  </si>
  <si>
    <t>J. Clean Prod.</t>
  </si>
  <si>
    <t>DEC 1</t>
  </si>
  <si>
    <t>10.1016/j.jclepro.2019.117977</t>
  </si>
  <si>
    <t>Green &amp; Sustainable Science &amp; Technology; Engineering, Environmental; Environmental Sciences</t>
  </si>
  <si>
    <t>Science &amp; Technology - Other Topics; Engineering; Environmental Sciences &amp; Ecology</t>
  </si>
  <si>
    <t>IZ7AO</t>
  </si>
  <si>
    <t>WOS:000487237100122</t>
  </si>
  <si>
    <t>Kumar, R; Sharma, S; Vachhani, C; Yadav, N</t>
  </si>
  <si>
    <t>Kumar, Rajesh; Sharma, Siddharth; Vachhani, Chirag; Yadav, Nitish</t>
  </si>
  <si>
    <t>What changed in the cyber-security after COVID-19?</t>
  </si>
  <si>
    <t>COMPUTERS &amp; SECURITY</t>
  </si>
  <si>
    <t>Cyber-security trends; Topic modeling; Trend analysis; COVID-19 pandemic; Latent Dirichlet Allocation; Unsupervised machine learning</t>
  </si>
  <si>
    <t>This paper examines the transition in the cyber-security discipline induced by the ongoing COVID-19 pandemic. Using the classical information retrieval techniques, a more than twenty thousand documents are analyzed for the cyber content. In particular, we build the topic models using the Latent Dirichlet Allocation (LDA) unsupervised machine learning algorithm. The literature corpus is build through a uniform keyword search process made on the scholarly and the non-scholarly platforms filtered through the years 2010-2021. To qualitatively know the impact of COVID-19 pandemic on cyber-security, and perform a trend analysis of key themes, we organize the entire corpus into various (combination of) categories based on time period and whether the literature has undergone peer review process. Based on the weighted distribution of keywords in the aggregated corpus, we identify the key themes. While in the pre-COVID-19 period, the topics of cyber-threats to technology, privacy policy, blockchain remain popular, in the post-COVID-19 period, focus has shifted to challenges directly or indirectly brought by the pandemic. In particular, we observe post-COVID-19 cyber-security themes of privacy in healthcare, cyber insurance, cyber risks in supply chain gaining recognition. Few cyber-topics such as of malware, control system security remain important in perpetuity. We believe our work represents the evolving nature of the cyber-security discipline and reaffirms the need to tailor appropriate interventions by noting the key trends. (C) 2022 Elsevier Ltd. All rights reserved.</t>
  </si>
  <si>
    <t>[Kumar, Rajesh; Sharma, Siddharth; Vachhani, Chirag; Yadav, Nitish] Birla Inst Technol &amp; Sci, Dept Comp Sci &amp; Informat Syst, Pilani, Rajasthan, India</t>
  </si>
  <si>
    <t>Birla Institute of Technology &amp; Science Pilani (BITS Pilani)</t>
  </si>
  <si>
    <t>Kumar, R (corresponding author), Birla Inst Technol &amp; Sci, Dept Comp Sci &amp; Informat Syst, Pilani, Rajasthan, India.</t>
  </si>
  <si>
    <t>rajesh.k@pilani.bits-pilani.ac.in</t>
  </si>
  <si>
    <t>Kumar, Rajesh/W-5337-2018</t>
  </si>
  <si>
    <t>Kumar, Rajesh/0000-0002-8151-4673; Sharma, Siddharth/0000-0003-0454-6126; VACHHANI, CHIRAG/0000-0002-2089-6321</t>
  </si>
  <si>
    <t>ELSEVIER ADVANCED TECHNOLOGY</t>
  </si>
  <si>
    <t>OXFORD FULFILLMENT CENTRE THE BOULEVARD, LANGFORD LANE, KIDLINGTON, OXFORD OX5 1GB, OXON, ENGLAND</t>
  </si>
  <si>
    <t>0167-4048</t>
  </si>
  <si>
    <t>1872-6208</t>
  </si>
  <si>
    <t>COMPUT SECUR</t>
  </si>
  <si>
    <t>Comput. Secur.</t>
  </si>
  <si>
    <t>10.1016/j.cose.2022.102821</t>
  </si>
  <si>
    <t>6L4VF</t>
  </si>
  <si>
    <t>Green Published</t>
  </si>
  <si>
    <t>WOS:000888181200002</t>
  </si>
  <si>
    <t>Gurcan, F; Boztas, GD; Dalveren, GGM; Derawi, M</t>
  </si>
  <si>
    <t>Gurcan, Fatih; Boztas, Gizem Dilan; Dalveren, Gonca Gokce Menekse; Derawi, Mohammad</t>
  </si>
  <si>
    <t>Digital Transformation Strategies, Practices, and Trends: A Large-Scale Retrospective Study Based on Machine Learning</t>
  </si>
  <si>
    <t>digital transformation; trends and practices; topic modeling; retrospective analysis</t>
  </si>
  <si>
    <t>EXPLORATORY ANALYSIS; INTERESTS; EVOLUTION</t>
  </si>
  <si>
    <t>The purpose of this research is to identify the areas of interest, research topics, and application areas that reflect the research nature of digital transformation (DT), as well as the strategies, practices, and trends of DT. To accomplish this, the Latent Dirichlet allocation algorithm, a probabilistic topic modeling technique, was applied to 5350 peer-reviewed journal articles on DT published in the last ten years, from 2013 to 2022. The analysis resulted in the discovery of 34 topics. These topics were classified, and a systematic taxonomy for DT was presented, including four sub-categories: implementation, technology, process, and human. As a result of time-based trend analysis, Sustainable Energy, DT in Health, E-Government, DT in Education, and Supply Chain emerged as top topics with an increasing trend. Our findings indicate that research interests are focused on specific applications of digital transformation in industrial and public settings. Based on our findings, we anticipate that the next phase of DT research and practice will concentrate on specific DT applications in government, health, education, and economics. Sustainable Energy and Supply Chain have been identified as the most prominent topics in current DT processes and applications. This study can help researchers and practitioners in the field by providing insights and implications about the evolution and applications of DT. Our findings are intended to serve as a guide for DT in understanding current research gaps and potential future research topics.</t>
  </si>
  <si>
    <t>[Gurcan, Fatih] Karadeniz Tech Univ, Fac Econ &amp; Adm Sci, Dept Management Informat Syst, TR-61080 Trabzon, Turkiye; [Boztas, Gizem Dilan] Karadeniz Tech Univ, Digital Transformat Off, TR-61080 Trabzon, Turkiye; [Dalveren, Gonca Gokce Menekse] Atilim Univ, Fac Engn, Dept Software Engn, TR-06830 Ankara, Turkiye; [Derawi, Mohammad] Norwegian Univ Sci &amp; Technol, Fac Informat Technol &amp; Elect Engn, Dept Elect Syst, N-7034 Gjovik, Norway</t>
  </si>
  <si>
    <t>Karadeniz Technical University; Karadeniz Technical University; Atilim University; Norwegian University of Science &amp; Technology (NTNU)</t>
  </si>
  <si>
    <t>Derawi, M (corresponding author), Norwegian Univ Sci &amp; Technol, Fac Informat Technol &amp; Elect Engn, Dept Elect Syst, N-7034 Gjovik, Norway.</t>
  </si>
  <si>
    <t>mohammad.derawi@ntnu.no</t>
  </si>
  <si>
    <t>Menekse Dalveren, Gonca Gokce/HHS-4591-2022; GURCAN, Fatih/AAJ-7503-2021</t>
  </si>
  <si>
    <t>Menekse Dalveren, Gonca Gokce/0000-0002-8649-1909; GURCAN, Fatih/0000-0001-9915-6686; Derawi, Mohammad/0000-0003-0448-7613</t>
  </si>
  <si>
    <t>MAY 3</t>
  </si>
  <si>
    <t>10.3390/su15097496</t>
  </si>
  <si>
    <t>G2VL8</t>
  </si>
  <si>
    <t>WOS:000987794900001</t>
  </si>
  <si>
    <t>Bodendorf, F; Wytopil, B; Franke, J</t>
  </si>
  <si>
    <t>Bodendorf, Frank; Wytopil, Benedict; Franke, Joerg</t>
  </si>
  <si>
    <t>Business Analytics in Strategic Purchasing: Identifying and Evaluating Similarities in Supplier Documents</t>
  </si>
  <si>
    <t>APPLIED ARTIFICIAL INTELLIGENCE</t>
  </si>
  <si>
    <t>UNSTRUCTURED DATA; MANAGEMENT; SENTIMENT; SUPPORT; TEXT; PROCUREMENT; IMPROVEMENT; CHALLENGES</t>
  </si>
  <si>
    <t>The increasing digitalization in the automotive industry is influencing the structure of the traditional value chain and calls for the handling of large amounts of data to remain competitive in a constantly changing environment. This results in new challenges for purchasing management, which has to cope with agile integration of service providers as well as interorganizational process automation using electronic data exchange platforms. This work analyzes the electronic document stream on supplier management platforms by proposing an automated text mining framework. Both textual components, e. g., requests for information and offers, and narrative material, e. g., financial and calculation data, are being analyzed by topic modeling and descriptive statistics. The methodological approach is introduced and illustrated by the use case of service provider documents in purchasing processes. The results reveal financial potential for purchasing and generally contribute to supply chain cost management.</t>
  </si>
  <si>
    <t>[Bodendorf, Frank; Franke, Joerg] Friedrich Alexander Univ Erlangen Nuremberg FAU, Inst Factory Automat &amp; Prod Syst, Egerlandstr 7-9, D-91058 Erlangen, Germany; [Wytopil, Benedict] IPRI Int Performance Res Inst, Stuttgart, Germany</t>
  </si>
  <si>
    <t>University of Erlangen Nuremberg</t>
  </si>
  <si>
    <t>Bodendorf, F (corresponding author), Friedrich Alexander Univ Erlangen Nuremberg FAU, Inst Factory Automat &amp; Prod Syst, Egerlandstr 7-9, D-91058 Erlangen, Germany.</t>
  </si>
  <si>
    <t>frank.bodendorf@faps.fau.de</t>
  </si>
  <si>
    <t>TAYLOR &amp; FRANCIS INC</t>
  </si>
  <si>
    <t>PHILADELPHIA</t>
  </si>
  <si>
    <t>530 WALNUT STREET, STE 850, PHILADELPHIA, PA 19106 USA</t>
  </si>
  <si>
    <t>0883-9514</t>
  </si>
  <si>
    <t>1087-6545</t>
  </si>
  <si>
    <t>APPL ARTIF INTELL</t>
  </si>
  <si>
    <t>Appl. Artif. Intell.</t>
  </si>
  <si>
    <t>OCT 15</t>
  </si>
  <si>
    <t>10.1080/08839514.2021.1936423</t>
  </si>
  <si>
    <t>JUL 2021</t>
  </si>
  <si>
    <t>Computer Science, Artificial Intelligence; Engineering, Electrical &amp; Electronic</t>
  </si>
  <si>
    <t>WA5KZ</t>
  </si>
  <si>
    <t>WOS:000674800400001</t>
  </si>
  <si>
    <t>Billi, M; Mascareño, A; Edwards, J</t>
  </si>
  <si>
    <t>Billi, Marco; Mascareno, Aldo; Edwards, Jose</t>
  </si>
  <si>
    <t>Governing sustainability or sustainable governance? Semantic constellations on the sustainability-governance intersection in academic literature</t>
  </si>
  <si>
    <t>Sustainability; Governance; Topic modelling; Semantic constellations; Concept analysis</t>
  </si>
  <si>
    <t>CORPORATE SOCIAL-RESPONSIBILITY; SUPPLY CHAIN MANAGEMENT; CIRCULAR ECONOMY; TRANSITION; RESILIENCE; COMPLEXITY; INNOVATION; POLITICS; SCIENCE; TRENDS</t>
  </si>
  <si>
    <t>The concepts of sustainability and governance share an implicit relationship: sustainability has often been asserted to require suitable governance arrangements, which should, in turn, be sustainable. However, this semantic intersection requires more study. To contribute to this gap, this paper aims at: 1) identifying the meanings and interests that are mobilized when the two terms of sustainability and governance intersect within academic communication; and 2) observe semantic structures allowing for the sustainability-governance intersection to translate meanings between different academic communities. To pursue this aim, the study employed a computer-aided algorithm, called Latent Dirichlet Analysis, to produce and examine a topic model of 7.358 Web of Science-indexed papers published between 1992 and 2017. The analysis output 29 topics condensing key themes, concepts, and approaches in academic literature associating sustainability and governance. These were subsequently grouped into four semantic constellations of transversal meanings providing coherence to the heterogeneity of the field: a) governance of State-level sustainable development; b) governance of the sustainable use of natural resources; c) sustainable governance of integration and autonomy in a globalized world; and d) sustainable corporate governance. These results led to the conclusion that the growingly differentiated literature on sustainability and governance has tended to organize in a tightly-knit field, articulating distinct methodological and theoretical perspectives within a shared set of value commitments -the promotion of a sustainable future. Arguably, this has been made possible by the 'hybrid' character of the concept of sustainability, as much a description of the world as it is as a prescription of the world-to-be. Additionally, the study unveiled that the implicit relationship linking sustainability and governance has been running both ways, i.e. that governance may be framed as a way to achieve sustainability as much as sustainability can be depicted as a way to achieve governance. (c) 2020 Elsevier Ltd. All rights reserved.</t>
  </si>
  <si>
    <t>[Billi, Marco; Mascareno, Aldo; Edwards, Jose] Adolfo Ibanez Univ, Sch Govt, Diagonal Las Torres 2640, Penalolen, Chile; [Billi, Marco] Univ Chile, Ctr Climate &amp; Resilience Res CR2, Santiago 2002, Chile; [Mascareno, Aldo] Ctr Estudios Publ, Monsenor Sotero Sanz 162, Providencia, Chile</t>
  </si>
  <si>
    <t>Universidad Adolfo Ibanez; Universidad de Chile</t>
  </si>
  <si>
    <t>Billi, M (corresponding author), Adolfo Ibanez Univ, Sch Govt, Diagonal Las Torres 2640, Penalolen, Chile.</t>
  </si>
  <si>
    <t>marco.billi@edu.uai.cl</t>
  </si>
  <si>
    <t>Billi, Marco/0000-0003-3161-6468; Mascareno, Aldo/0000-0002-5803-863X</t>
  </si>
  <si>
    <t>CONICYT [PFCHA/DOCTORADO NACIONAL/2017e21170615, ECOS-CONICYTC15H02]; Center for Climate and Resilience Research CR2 -FONDAP [15110009, FONDECYT1190265]</t>
  </si>
  <si>
    <t>CONICYT(Comision Nacional de Investigacion Cientifica y Tecnologica (CONICYT)); Center for Climate and Resilience Research CR2 -FONDAP</t>
  </si>
  <si>
    <t>This work was financially supported by CONICYT PFCHA/DOCTORADO NACIONAL/2017e21170615 (Marco Billi); ECOS-CONICYTC15H02 (all authors); Center for Climate and Resilience Research CR2 -FONDAP 15110009 (Marco Billi); FONDECYT1190265 (Aldo Mascare~no, Marco Billi).</t>
  </si>
  <si>
    <t>JAN 10</t>
  </si>
  <si>
    <t>10.1016/j.jclepro.2020.123523</t>
  </si>
  <si>
    <t>QA0KM</t>
  </si>
  <si>
    <t>WOS:000613139700040</t>
  </si>
  <si>
    <t>Xu, XF; He, YY</t>
  </si>
  <si>
    <t>Xu, Xiaofeng; He, Yangyang</t>
  </si>
  <si>
    <t>Blockchain application in modern logistics information sharing: a review and case study analysis</t>
  </si>
  <si>
    <t>PRODUCTION PLANNING &amp; CONTROL</t>
  </si>
  <si>
    <t>Blockchain; information sharing; integration framework; business mode; latent Dirichlet allocation</t>
  </si>
  <si>
    <t>SUPPLY CHAINS; TECHNOLOGY; CHALLENGES; ADOPTION</t>
  </si>
  <si>
    <t>In the traditional logistics industry, asymmetric information, issues with goods' authenticity, and insufficient security can hinder business transactions, which induces high operating costs and is time-consuming. With its decentralisation, transparency, high security, and resistance to tampering, blockchain technology can effectively solve these issues. In this study, we designed a two-stage analysis scheme to identify and summarise how blockchain has been applied in modern logistics information sharing and its challenges. The latent Dirichlet allocation topic model was employed with 2465 selected studies to summarise the application scenarios. These data were used to create a blockchain integration framework to determine the optimal use of blockchain in modern logistics information sharing. Six key areas were identified: supply chain finance, logistics tracking, logistics collaboration, process optimisation, data security management, and logistics business mode innovation. Then, three typical real-world cases were analysed, and managerial recommendations to boost blockchain adoption in this industry are proposed.</t>
  </si>
  <si>
    <t>[Xu, Xiaofeng; He, Yangyang] China Univ Petr, Sch Econ &amp; Management, Qingdao, Peoples R China</t>
  </si>
  <si>
    <t>China University of Petroleum</t>
  </si>
  <si>
    <t>Xu, XF (corresponding author), China Univ Petr, Sch Econ &amp; Management, Qingdao, Peoples R China.</t>
  </si>
  <si>
    <t>xuxiaofeng@upc.edu.cn</t>
  </si>
  <si>
    <t>He, Yang-Yang/AER-9473-2022; Xu, Xiaofeng/AAM-4943-2021</t>
  </si>
  <si>
    <t>National Natural Science Foundation of China [71871222]; China University of Petroleum Funds for 'Philosophy and Social Sciences Young Scholars Support Project' [20CX05002B]</t>
  </si>
  <si>
    <t>National Natural Science Foundation of China(National Natural Science Foundation of China (NSFC)); China University of Petroleum Funds for 'Philosophy and Social Sciences Young Scholars Support Project'</t>
  </si>
  <si>
    <t>This research was partly supported by the National Natural Science Foundation of China [Grant No. 71871222] and China University of Petroleum Funds for 'Philosophy and Social Sciences Young Scholars Support Project' [Grant No. 20CX05002B].</t>
  </si>
  <si>
    <t>0953-7287</t>
  </si>
  <si>
    <t>1366-5871</t>
  </si>
  <si>
    <t>PROD PLAN CONTROL</t>
  </si>
  <si>
    <t>Prod. Plan. Control</t>
  </si>
  <si>
    <t>2022 APR 1</t>
  </si>
  <si>
    <t>10.1080/09537287.2022.2058997</t>
  </si>
  <si>
    <t>APR 2022</t>
  </si>
  <si>
    <t>0G3CC</t>
  </si>
  <si>
    <t>WOS:000777925200001</t>
  </si>
  <si>
    <t>Mastilovic, J; Kukolj, D; Kevresan, Z; Ostojic, G; Kovac, R; Deric, M; Samek, DU</t>
  </si>
  <si>
    <t>Mastilovic, Jasna; Kukolj, Dragan; Kevresan, Zarko; Ostojic, Gordana; Kovac, Renata; Deric, Marina; Samek, Dragana Ubiparip</t>
  </si>
  <si>
    <t>Emerging Perspectives of Blockchains in Food Supply Chain Traceability Based on Patent Analysis</t>
  </si>
  <si>
    <t>FOODS</t>
  </si>
  <si>
    <t>food chain; traceability; blockchain application; database; patent portfolio; Latent Dirichlet Allocation; topic modeling; food safety; food authenticity</t>
  </si>
  <si>
    <t>TECHNOLOGY; TRENDS; MANAGEMENT; CITATIONS; SYSTEM</t>
  </si>
  <si>
    <t>In the field of blockchain (BC) technology application in the food supply chain (FSC), a patent portfolio is collected, described, and analyzed using Latent Dirichlet Allocation (LDA) modeling, with the aim of obtaining insight into technology trends in this emerging and promising field. A patent portfolio consisting of 82 documents was extracted from patent databases using PatSnap software. The analysis of latent topics using LDA indicates that inventions related to the application of BCs in FSCs are patented in four key areas: (A) BC-supported tracing and tracking in FSCs; (B) devices and methods supporting application of BCs in FSCs; (C) combining BCs and other ICT technologies in FSC; and (D) BC-supported trading in FSCs. Patenting of BC technology applications in FSCs started during the second decade of the 21st century. Consequently, patent forward citation has been relatively low, while the family size confirms that application of BCs in FSCs is not yet widely accepted. A significant increase in the number of patent applications was registered after 2019, indicating that the number of potential users in FSCs is expected to grow over time. The largest numbers of patents originate from China, India, and the US.</t>
  </si>
  <si>
    <t>[Mastilovic, Jasna] Univ Novi Sad, Inst BioSense, Novi Sad 21000, Serbia; [Kukolj, Dragan] Univ Novi Sad, Inst Artificial Intelligence Res &amp; Dev Serbia, Novi Sad 21000, Serbia; [Kukolj, Dragan; Ostojic, Gordana] Univ Novi Sad, Fac Tech Sci, Ctr Identificat Technol, Novi Sad 21000, Serbia; [Kevresan, Zarko; Kovac, Renata; Deric, Marina; Samek, Dragana Ubiparip] Univ Novi Sad, Inst Food Technol, Novi Sad 21000, Serbia</t>
  </si>
  <si>
    <t>University of Novi Sad; University of Novi Sad; University of Novi Sad; University of Novi Sad</t>
  </si>
  <si>
    <t>Kevresan, Z; Kovac, R (corresponding author), Univ Novi Sad, Inst Food Technol, Novi Sad 21000, Serbia.</t>
  </si>
  <si>
    <t>zarko.kevresan@fins.uns.ac.rs; renata.kovac@fins.uns.ac.rs</t>
  </si>
  <si>
    <t>Kevrešan, Žarko/IWD-9857-2023; Kukolj, Dragan/A-2153-2012; Kovac, Renata/HGA-9796-2022</t>
  </si>
  <si>
    <t>Kevrešan, Žarko/0000-0003-2441-2045; Mastilovic, Jasna/0000-0002-0921-8642; Kukolj, Dragan/0000-0003-0711-0168; Kovac, Renata/0000-0002-9600-537X; Ostojic, Gordana/0000-0002-5558-677X</t>
  </si>
  <si>
    <t>Ministry of Education, Science and Technological Development of the Republic of Serbia [451-03-68/2022-14/200222, 451-03-68/2022-14/200325, 451-03-68/2022-14/200]; Secretariat of Higher Education and Research of Vojvodina Province [142-451-2406/2022-01/01]</t>
  </si>
  <si>
    <t>Ministry of Education, Science and Technological Development of the Republic of Serbia(Ministry of Education, Science &amp; Technological Development, Serbia); Secretariat of Higher Education and Research of Vojvodina Province</t>
  </si>
  <si>
    <t>This research was funded by the Ministry of Education, Science and Technological Development of the Republic of Serbia (under Grants: 451-03-68/2022-14/200222; 451-03-68/2022-14/200325; 451-03-68/2022-14/200) and the project Blockchain platform for support of certification of added value agricultural products funded by Secretariat of Higher Education and Research of Vojvodina Province under Grant 142-451-2406/2022-01/01.</t>
  </si>
  <si>
    <t>2304-8158</t>
  </si>
  <si>
    <t>Foods</t>
  </si>
  <si>
    <t>10.3390/foods12051036</t>
  </si>
  <si>
    <t>Food Science &amp; Technology</t>
  </si>
  <si>
    <t>9U5AX</t>
  </si>
  <si>
    <t>WOS:000947724600001</t>
  </si>
  <si>
    <t>Kar, AK; Tripathi, SN; Malik, N; Gupta, S; Sivarajah, U</t>
  </si>
  <si>
    <t>Kar, Arpan Kumar; Tripathi, Shalini Nath; Malik, Nishtha; Gupta, Shivam; Sivarajah, Uthayasankar</t>
  </si>
  <si>
    <t>How Does Misinformation and Capricious Opinions Impact the Supply Chain-A Study on the Impacts During the Pandemic</t>
  </si>
  <si>
    <t>Fake news; Consumer buying behavior; Hoarding; Consumer spending; Supply chain disruptions</t>
  </si>
  <si>
    <t>SOCIAL MEDIA; FAKE NEWS; MANAGEMENT; ATTITUDES; MODELS</t>
  </si>
  <si>
    <t>Misinformation or fake news has had multifaceted ramifications with the onset of the Covid-19 pandemic, creating widespread panic amongst people. This study investigates the impact of misinformation/ fake news (on internet platforms) on consumer buying behavior, impact of fear (created by fake news) on hoarding of essential products and consumer spending and finally impact of misinformation-induced panic buying on supply chain disruptions. It draws upon the consumer decision theory and the cognitive load theory for explaining the psychological and behavioral responses of consumers. The study follows an inductive approach towards theory building using a multi-method approach. Initially, a qualitative research method based on interviews followed by text-mining has been used followed by analysis using python for topic modelling using Latent Dirichlet Allocation (LDA). The findings revealed several prominent themes like consumer shift to online buying, two contrasting spending intentions namely financial security and compensatory consumptions, irrational panic buying, uncertainty/ambiguity of government protocol and norms, social media fraudulent practices and misinformation dissemination, personalized buying experience, reduced trust on news and marketers, logistics and transportation bottlenecks, labor shortage due to migration and plant closures, and bullwhip effect in supply chains.</t>
  </si>
  <si>
    <t>[Kar, Arpan Kumar] Indian Inst Technol Delhi, Yardi Sch Artificial Intelligence, New Delhi 110016, India; [Kar, Arpan Kumar] Indian Inst Technol Delhi, Dept Management Studies, New Delhi 110016, India; [Tripathi, Shalini Nath; Malik, Nishtha] Jaipuria Inst Management, Hahnemann Rd, Lucknow 226010, Uttar Pradesh, India; [Gupta, Shivam] NEOMA Business Sch, Dept Informat Syst Supply Chain Management &amp; Deci, 59 Rue Pierre Taittinger, F-51100 Reims, France; [Sivarajah, Uthayasankar] Univ Bradford, Sch Management, Richmond Rd, Bradford BD7 1DP, W Yorkshire, England</t>
  </si>
  <si>
    <t>Indian Institute of Technology System (IIT System); Indian Institute of Technology (IIT) - Delhi; Indian Institute of Technology System (IIT System); Indian Institute of Technology (IIT) - Delhi; University of Bradford</t>
  </si>
  <si>
    <t>Gupta, S (corresponding author), NEOMA Business Sch, Dept Informat Syst Supply Chain Management &amp; Deci, 59 Rue Pierre Taittinger, F-51100 Reims, France.</t>
  </si>
  <si>
    <t>arpan.kumar.kar@gmail.com; shalini.tripathi@jaipuria.ac.in; nishtha.malik@jaipuria.ac.in; shivam.gupta@neoma-bs.fr; u.sivarajah@bradford.ac.uk</t>
  </si>
  <si>
    <t>Gupta, Shivam/R-2996-2016; Sivarajah, Uthayasankar/AAU-7065-2020; Kar, Arpan Kumar/B-9999-2009</t>
  </si>
  <si>
    <t>Gupta, Shivam/0000-0002-2714-4958; Sivarajah, Uthayasankar/0000-0002-6401-540X; Kar, Arpan Kumar/0000-0003-4186-4887</t>
  </si>
  <si>
    <t>10.1007/s10479-022-04997-6</t>
  </si>
  <si>
    <t>M7QL9</t>
  </si>
  <si>
    <t>Bronze, Green Published</t>
  </si>
  <si>
    <t>WOS:000879722500005</t>
  </si>
  <si>
    <t>Chu, CY; Park, K; Kremer, GE</t>
  </si>
  <si>
    <t>Chu, Chih-Yuan; Park, Kijung; Kremer, Gul E.</t>
  </si>
  <si>
    <t>A global supply chain risk management framework: An application of text-mining to identify region-specific supply chain risks</t>
  </si>
  <si>
    <t>Global supply chain; Risk management; Data analytics; Text mining; Sentiment analysis; Google News</t>
  </si>
  <si>
    <t>BIG DATA; DECISION-MAKING; DATA SCIENCE; SENTIMENT; SELECTION; ONTOLOGY; DESIGN; ALLOCATION; MODEL</t>
  </si>
  <si>
    <t>Nowadays global supply chains enable companies to enhance competitive advantages, increase manufacturing flexibility and reduce costs through a broader selection of suppliers. Despite these benefits, however, insufficient understanding of uncertain regional differences and changes often increases risks in supply chain operations and even leads to a complete disruption of a supply chain. This paper addresses this issue by proposing a text-mining based global supply chain risk management framework involving two phases. First, the extant literature about global supply chain risks was collected and analyzed using a text-based approaches, including term frequency, correlation, and bi-gram analysis. The results of these analyses revealed whether the term-related content is important in the studied literature, and correlated topic model clustering further assisted in defining potential supply chain risk factors. A risk categorization (hierarchy) containing a total of seven global supply chain risk types and underlying risk factors was developed based on the results. In the second phase, utilizing these risk factors, sentiment analysis was conducted on online news articles, selected according to the specific type of risk, to recognize the pattern of risk variation. The risk hierarchy and sentiment analysis results can improve the understanding of regional global supply chain risks and provide guidance in supplier selection.</t>
  </si>
  <si>
    <t>[Chu, Chih-Yuan; Kremer, Gul E.] Iowa State Univ, Dept Ind &amp; Mfg Syst Engn, 2529 Union Dr, Ames, IA 50011 USA; [Park, Kijung] Incheon Natl Univ, Dept Ind &amp; Management Engn, 119 Acad Ro, Incheon 22012, South Korea</t>
  </si>
  <si>
    <t>Iowa State University; Incheon National University</t>
  </si>
  <si>
    <t>Kremer, GE (corresponding author), Iowa State Univ, Dept Ind &amp; Mfg Syst Engn, 2529 Union Dr, Ames, IA 50011 USA.</t>
  </si>
  <si>
    <t>gkremer@iastate.edu</t>
  </si>
  <si>
    <t>Okudan Kremer, Gul/0000-0001-8070-825X</t>
  </si>
  <si>
    <t>10.1016/j.aei.2020.101053</t>
  </si>
  <si>
    <t>MQ2GM</t>
  </si>
  <si>
    <t>WOS:000552715300001</t>
  </si>
  <si>
    <t>Cherkaoui, A; Aliat, M</t>
  </si>
  <si>
    <t>Cherkaoui, Adil; Aliat, Marouane</t>
  </si>
  <si>
    <t>Mapping the field of responsible sourcing: Topic modeling through bibliometric analysis</t>
  </si>
  <si>
    <t>BUSINESS STRATEGY AND DEVELOPMENT</t>
  </si>
  <si>
    <t>bibliometric analysis; co-wording analysis; responsible sourcing; sustainability; sustainable procurement</t>
  </si>
  <si>
    <t>SUSTAINABLE PROCUREMENT; PUBLIC PROCUREMENT; ORGANIZATIONS; FUTURE; SECTOR</t>
  </si>
  <si>
    <t>Academic interest concerning inclusion of sustainability principles in the field of procurement has been in steady increase over the last 20 years. However, there is an apparent void in bibliometric analyses in this field. To address this gap, VosViewer is used in this study to examine the academic literature on responsible sourcing. 575 peer-reviewed papers from Scopus were analyzed to reveal important topics, authors, and publications connected to the subject in hand. The first part of the analysis analyzed publication activity and listed all high impact journals covering the topic. Geographical distribution of findings showed that developed countries are the most productive in the field, in addition to an increasing interest from developing countries over the last decade. Keyword analysis generated from Vosviewer yielded to four main clusters covering the topic and shaping the intellectual structure of the study: (1) sustainable development &amp; supply chain management, (2) environmental impact of procurement, (3) lifecycle analysis, (4) social responsibility and ethical sourcing. The article discusses the four main clusters and ends with concluding remarks encompassing six knowledge gaps and potential future research fields.</t>
  </si>
  <si>
    <t>[Cherkaoui, Adil; Aliat, Marouane] Hassan II Univ Casablanca, Fac Legal Econ &amp; Social Sci, Res Lab Dev Econ &amp; Governance Org LAREDGO, Casablanca, Morocco; [Cherkaoui, Adil] Hassan II Univ Casablanca, Fac Legal Econ &amp; Social Sci, Res Lab Dev Econ &amp; Governance Org LAREDGO, Km 8,Route El Jadida,BP 8110, Oasis, Casablanca, Morocco</t>
  </si>
  <si>
    <t>Hassan II University of Casablanca; Hassan II University of Casablanca</t>
  </si>
  <si>
    <t>Cherkaoui, A (corresponding author), Hassan II Univ Casablanca, Fac Legal Econ &amp; Social Sci, Res Lab Dev Econ &amp; Governance Org LAREDGO, Km 8,Route El Jadida,BP 8110, Oasis, Casablanca, Morocco.</t>
  </si>
  <si>
    <t>cherkaoui.adil.casa@gmail.com</t>
  </si>
  <si>
    <t>CHERKAOUI, Adil/CAH-1494-2022</t>
  </si>
  <si>
    <t>CHERKAOUI, Adil/0000-0002-9857-3629</t>
  </si>
  <si>
    <t>2572-3170</t>
  </si>
  <si>
    <t>BUS STRATEGY DEV</t>
  </si>
  <si>
    <t>Bus. Strategy Dev.</t>
  </si>
  <si>
    <t>10.1002/bsd2.246</t>
  </si>
  <si>
    <t>Business; Environmental Studies</t>
  </si>
  <si>
    <t>Business &amp; Economics; Environmental Sciences &amp; Ecology</t>
  </si>
  <si>
    <t>Q9YT2</t>
  </si>
  <si>
    <t>WOS:000988483600001</t>
  </si>
  <si>
    <t>Kunc, M; Mortenson, MJ; Vidgen, R</t>
  </si>
  <si>
    <t>Kunc, Martin; Mortenson, Michael J.; Vidgen, Richard</t>
  </si>
  <si>
    <t>A computational literature review of the field of System Dynamics from 1974 to 2017</t>
  </si>
  <si>
    <t>JOURNAL OF SIMULATION</t>
  </si>
  <si>
    <t>System Dynamics; computational literature review; healthcare; supply chain; methodology</t>
  </si>
  <si>
    <t>SIMULATION</t>
  </si>
  <si>
    <t>System Dynamics celebrated its 60th anniversary in 2017. While there have been numerous special issues in diverse journals that bring together work by System Dynamics scholars who share similar research interests, there have been no systematic reviews of scholarly activity across the broad field. This paper presents a computational literature review of the field from 1974 to 2017. A CLR automates the analysis of research articles with analysis of content (topic modelling of abstracts) to identify emergent themes in the literature. We performed a broad review of the field by initially searching using the term System Dynamics with more than 8000 articles. However, the results obtained were not satisfactory so we decided to restrict our sample to less than 800 articles from recognised journals and proceedings. After evaluation of the results obtained from topic modelling, we decided to use 51 topics covering most of the articles in our sample. A list of 51 topics provides enough granularity to identify relevant patterns of activity within the community of System Dynamics scholars. For each of these 51 topics, we present a commentary on the key insights obtained.</t>
  </si>
  <si>
    <t>[Kunc, Martin] Univ Warwick, Warwick Business Sch, Coventry, W Midlands, England; [Mortenson, Michael J.] Univ Warwick, Warwick Mfg Grp, Coventry, W Midlands, England; [Vidgen, Richard] Univ New South Wales, Sch Business, Sydney, NSW, Australia</t>
  </si>
  <si>
    <t>University of Warwick; University of Warwick; University of New South Wales Sydney</t>
  </si>
  <si>
    <t>Kunc, M (corresponding author), Univ Warwick, Warwick Business Sch, Coventry, W Midlands, England.</t>
  </si>
  <si>
    <t>martin.kunc@wbs.ac.uk</t>
  </si>
  <si>
    <t>Vidgen, Richard T/D-2623-2011</t>
  </si>
  <si>
    <t>Vidgen, Richard/0000-0001-7578-8339; Kunc, Martin/0000-0002-3411-4052</t>
  </si>
  <si>
    <t>1747-7778</t>
  </si>
  <si>
    <t>1747-7786</t>
  </si>
  <si>
    <t>J SIMUL</t>
  </si>
  <si>
    <t>J. Simul.</t>
  </si>
  <si>
    <t>10.1080/17477778.2018.1468950</t>
  </si>
  <si>
    <t>Computer Science, Interdisciplinary Applications; Operations Research &amp; Management Science</t>
  </si>
  <si>
    <t>Computer Science; Operations Research &amp; Management Science</t>
  </si>
  <si>
    <t>GG2WD</t>
  </si>
  <si>
    <t>WOS:000432552700004</t>
  </si>
  <si>
    <t>Abdirad, M; Krishnan, K</t>
  </si>
  <si>
    <t>Abdirad, Maryam; Krishnan, Krishna</t>
  </si>
  <si>
    <t>Industry 4.0 in Logistics and Supply Chain Management: A Systematic Literature Review</t>
  </si>
  <si>
    <t>ENGINEERING MANAGEMENT JOURNAL</t>
  </si>
  <si>
    <t>Industry 4.0; Smart factory; Supply chain; Logistic; Internet of Things</t>
  </si>
  <si>
    <t>RESEARCH AGENDA; BIG DATA; FUTURE; FRAMEWORK; INFORMATION; INTERNET; THINGS; OPPORTUNITIES; PERSPECTIVE; CHALLENGES</t>
  </si>
  <si>
    <t>Industry 4.0 is a concept that focuses on automation of system and process, digitalization, and data exchange in industries. Its goal is to achieve a smart factory to reduce lead time to respond to the customers' demand or to unforeseen events and improve productivity in the system. Using this concept can lead to improvements in manufacturing, supply chain (SC), and logistics. The adoption of Industry 4.0 in supply chain management (SCM) is a new and critical subject with a need for more research. A few studies have started reviewing the existing works on Industry 4.0; however, they do not focus on its role in SCM. This paper presents a systematic review and synthesis of the current literature on Industry 4.0 in SCM that brings out some interesting findings, which will be helpful for the academic and industry, especially top managers. This work identifies three categories from the content of the papers as exploratory vs. confirmatory, qualitative vs. quantitative, management level vs. process/technology level. Additionally, based on the Topic Modeling (TM) technique, three different clusters of Supply Chain, Logistics and Manufacturing topics were extracted. Current shortcomings, challenges, and future research directions are discussed in the conclusion.</t>
  </si>
  <si>
    <t>[Abdirad, Maryam; Krishnan, Krishna] Wichita State Univ, Wichita, KS 67260 USA</t>
  </si>
  <si>
    <t>Wichita State University</t>
  </si>
  <si>
    <t>Abdirad, M (corresponding author), Wichita State Univ, Wichita, KS 67260 USA.</t>
  </si>
  <si>
    <t>mxabdirad@wichita.edu</t>
  </si>
  <si>
    <t>Abdirad, Maryam/AAL-5114-2021</t>
  </si>
  <si>
    <t>1042-9247</t>
  </si>
  <si>
    <t>2377-0643</t>
  </si>
  <si>
    <t>ENG MANAG J</t>
  </si>
  <si>
    <t>EMJ-Eng. Manag. J.</t>
  </si>
  <si>
    <t>JUL 3</t>
  </si>
  <si>
    <t>10.1080/10429247.2020.1783935</t>
  </si>
  <si>
    <t>JUL 2020</t>
  </si>
  <si>
    <t>Engineering, Industrial; Management</t>
  </si>
  <si>
    <t>Engineering; Business &amp; Economics</t>
  </si>
  <si>
    <t>TW3XG</t>
  </si>
  <si>
    <t>WOS:000548024200001</t>
  </si>
  <si>
    <t>Deo, K; Prasad, AA</t>
  </si>
  <si>
    <t>Deo, Kirtika; Prasad, Abhnil Amtesh</t>
  </si>
  <si>
    <t>Exploring Climate Change Adaptation, Mitigation and Marketing Connections</t>
  </si>
  <si>
    <t>climate change; adaptation; mitigation; marketing; sustainability</t>
  </si>
  <si>
    <t>SUSTAINABLE DEVELOPMENT; ORIENTATION; BUSINESS; STRATEGY; STATE; B2B</t>
  </si>
  <si>
    <t>Adaptation and mitigation to the adverse impacts of rising weather and climate extremes require businesses to respond with adequate marketing strategies promoting sustained economic development. Unfortunately, the connections exploring such relationships have not been extensively investigated in the current body of literature. This study investigated the five marketing categories relating to sustainable practices (sustainable marketing, social marketing, green marketing, sustainable consumption and ecological marketing) within core research themes of climate change, global warming and sustainability from a bibliometric approach using the Scopus API. Additional topic modelling was conducted using the Latent Dirichlet Allocation (LDA) unsupervised approach on downloaded abstracts to distinguish ideas communicated in time through research and publications with co-occurrences of major Intergovernmental Panel on Climate Change (IPCC) Assessment Reports and Google search queries. The results confirmed marketing strategies aligned with the theme of sustainability with little work from small developing island nations. Additionally, findings demonstrated that research exploring business strategies through green marketing directed to green consumers with sustainable supply chain management had been dominantly increasing in the literature over recent years. Similarly, social marketing associated with green consumers was a common concern for the public and academics, rising over the years with strong influence from the published IPCC Assessment Reports. This study did not explore other published databases, including climate change-related meeting transcripts and published speeches from corporate and world leaders.</t>
  </si>
  <si>
    <t>[Deo, Kirtika] Univ Technol Sydney, UTS Business Sch, Mkt Discipline Grp, Sydney, NSW 2007, Australia; [Prasad, Abhnil Amtesh] Univ New South Wales, Climate Change Res Ctr, Sydney, NSW 2052, Australia</t>
  </si>
  <si>
    <t>University of Technology Sydney; University of New South Wales Sydney</t>
  </si>
  <si>
    <t>Deo, K (corresponding author), Univ Technol Sydney, UTS Business Sch, Mkt Discipline Grp, Sydney, NSW 2007, Australia.</t>
  </si>
  <si>
    <t>kirtika.deo@uts.edu.au; abhnil.prasad@unsw.edu.au</t>
  </si>
  <si>
    <t>Deo, Kirtika/AAA-5410-2022</t>
  </si>
  <si>
    <t>Deo, Kirtika/0000-0001-9138-1301; Prasad, Abhnil/0000-0003-3336-7338</t>
  </si>
  <si>
    <t>10.3390/su14074255</t>
  </si>
  <si>
    <t>0K2JI</t>
  </si>
  <si>
    <t>WOS:000780619100001</t>
  </si>
  <si>
    <t>Tao, DD; Yang, PK; Feng, H</t>
  </si>
  <si>
    <t>Tao, Dandan; Yang, Pengkun; Feng, Hao</t>
  </si>
  <si>
    <t>Utilization of text mining as a big data analysis tool for food science and nutrition</t>
  </si>
  <si>
    <t>COMPREHENSIVE REVIEWS IN FOOD SCIENCE AND FOOD SAFETY</t>
  </si>
  <si>
    <t>big data; information technology; semantic web; text mining</t>
  </si>
  <si>
    <t>SOCIAL MEDIA; FOODBORNE ILLNESS; CONSUMER RESEARCH; DATA ANALYTICS; GLUTEN-FREE; ONLINE; SAFETY; INFORMATION; QUALITY; TECHNOLOGY</t>
  </si>
  <si>
    <t>Big data analysis has found applications in many industries due to its ability to turn huge amounts of data into insights for informed business and operational decisions. Advanced data mining techniques have been applied in many sectors of supply chains in the food industry. However, the previous work has mainly focused on the analysis of instrument-generated data such as those from hyperspectral imaging, spectroscopy, and biometric receptors. The importance of digital text data in the food and nutrition has only recently gained attention due to advancements in big data analytics. The purpose of this review is to provide an overview of the data sources, computational methods, and applications of text data in the food industry. Text mining techniques such as word-level analysis (e.g., frequency analysis), word association analysis (e.g., network analysis), and advanced techniques (e.g., text classification, text clustering, topic modeling, information retrieval, and sentiment analysis) will be discussed. Applications of text data analysis will be illustrated with respect to food safety and food fraud surveillance, dietary pattern characterization, consumer-opinion mining, new-product development, food knowledge discovery, food supply-chain management, and online food services. The goal is to provide insights for intelligent decision-making to improve food production, food safety, and human nutrition.</t>
  </si>
  <si>
    <t>[Tao, Dandan; Feng, Hao] Univ Illinois, Coll Agr Consumer &amp; Environm Sci, Dept Food Sci &amp; Human Nutr, 382F Agr Engn Sci Bldg,1304 W Penn Ave, Urbana, IL 61801 USA; [Yang, Pengkun] Princeton Univ, Dept Elect Engn, Princeton, NJ 08544 USA</t>
  </si>
  <si>
    <t>University of Illinois System; University of Illinois Urbana-Champaign; Princeton University</t>
  </si>
  <si>
    <t>Feng, H (corresponding author), Univ Illinois, Coll Agr Consumer &amp; Environm Sci, Dept Food Sci &amp; Human Nutr, 382F Agr Engn Sci Bldg,1304 W Penn Ave, Urbana, IL 61801 USA.</t>
  </si>
  <si>
    <t>haofeng@illinois.edu</t>
  </si>
  <si>
    <t>Tao, Dandan/0009-0000-8101-0099; , Hao/0000-0002-1703-2194</t>
  </si>
  <si>
    <t>USDA Specialty Crop Block Grant award through Illinois Department of Agriculture [698 IDOA SC-19-06]; Illinois Agricultural Experiment Station</t>
  </si>
  <si>
    <t>USDA Specialty Crop Block Grant award through Illinois Department of Agriculture; Illinois Agricultural Experiment Station</t>
  </si>
  <si>
    <t>This study was partially supported by a USDA Specialty Crop Block Grant award through Illinois Department of Agriculture (698 IDOA SC-19-06) and the Illinois Agricultural Experiment Station.</t>
  </si>
  <si>
    <t>1541-4337</t>
  </si>
  <si>
    <t>COMPR REV FOOD SCI F</t>
  </si>
  <si>
    <t>Compr. Rev. Food. Sci. Food Saf.</t>
  </si>
  <si>
    <t>10.1111/1541-4337.12540</t>
  </si>
  <si>
    <t>FEB 2020</t>
  </si>
  <si>
    <t>KR0OH</t>
  </si>
  <si>
    <t>WOS:000513516000001</t>
  </si>
  <si>
    <t>Saura, JR; Ribeiro-Soriano, D; Palacios-Marqués, D</t>
  </si>
  <si>
    <t>Ramon Saura, Jose; Ribeiro-Soriano, Domingo; Palacios-Marques, Daniel</t>
  </si>
  <si>
    <t>Data-driven strategies in operation management: mining user-generated content in Twitter</t>
  </si>
  <si>
    <t>Data-driven strategies; Operation Management; User-generated content; Twitter</t>
  </si>
  <si>
    <t>BIG DATA ANALYTICS; SENTIMENT ANALYSIS; SUPPLY CHAIN; DECISION-MAKING; TOPIC MODEL; PREDICTION; PERSPECTIVE; CAPABILITY; DESIGN; AGENDA</t>
  </si>
  <si>
    <t>In recent years, the business ecosystem has focused on understanding new ways of automating, collecting, and analyzing data in order to improve products and business models. These actions allow operations management to improve prediction, value creation, optimization, and automatization. In this study, we develop a novel methodology based on data-mining techniques and apply it to identify insights regarding the characteristics of new business models in operations management. The data analyzed in the present study are user-generated content from Twitter. The results are validated using the methods based on Computer-Aided Text Analysis. Specifically, a sentimental analysis with TextBlob on which experiments are performed using vector classifier, multinomial naive Bayes, logistic regression, and random forest classifier is used. Then, a Latent Dirichlet Allocation is applied to separate the sample into topics based on sentiments to calculate keyness and p-value. Finally, these results are analyzed with a textual analysis developed in Python. Based on the results, we identify 8 topics, of which 5 are positive (Automation, Data, Forecasting, Mobile accessibility and Employee experiences), 1 topic is negative (Intelligence Security), and 2 topics are neutral (Operational CRM, Digital teams). The paper concludes with a discussion of the main characteristics of the business models in the OM sector that use DDI. In addition, we formulate 26 research questions to be explored in future studies.</t>
  </si>
  <si>
    <t>[Ramon Saura, Jose] Rey Juan Carlos Univ, Madrid, Spain; [Ribeiro-Soriano, Domingo] Univ Valencia, Valencia, Spain; [Palacios-Marques, Daniel] Univ Politecn Valencia, Valencia, Spain</t>
  </si>
  <si>
    <t>Universidad Rey Juan Carlos; University of Valencia; Universitat Politecnica de Valencia</t>
  </si>
  <si>
    <t>Saura, JR (corresponding author), Rey Juan Carlos Univ, Madrid, Spain.</t>
  </si>
  <si>
    <t>joseramon.saura@urjc.es; domingo.ribeiro@uv.es; dapamar@doe.upv.es</t>
  </si>
  <si>
    <t>Ribeiro-Soriano, Domingo/G-5798-2015; Saura, José Ramón/L-2861-2018</t>
  </si>
  <si>
    <t>Ribeiro-Soriano, Domingo/0000-0003-3222-9101; Saura, José Ramón/0000-0002-9457-7745</t>
  </si>
  <si>
    <t>CRUE-CSIC agreement; Springer Nature</t>
  </si>
  <si>
    <t>Open Access funding provided thanks to the CRUE-CSIC agreement with Springer Nature.</t>
  </si>
  <si>
    <t>2022 JUN 10</t>
  </si>
  <si>
    <t>10.1007/s10479-022-04776-3</t>
  </si>
  <si>
    <t>2A1SP</t>
  </si>
  <si>
    <t>WOS:000809290200001</t>
  </si>
  <si>
    <t>Tavana, M; Shaabani, A; Vanani, IR; Gangadhari, RK</t>
  </si>
  <si>
    <t>Tavana, Madjid; Shaabani, Akram; Raeesi Vanani, Iman; Kumar Gangadhari, Rajan</t>
  </si>
  <si>
    <t>A Review of Digital Transformation on Supply Chain Process Management Using Text Mining</t>
  </si>
  <si>
    <t>PROCESSES</t>
  </si>
  <si>
    <t>digital transformation; supply chain management; industry 4.0; text mining; big data; analytics</t>
  </si>
  <si>
    <t>INDUSTRY 4.0; BIG-DATA; BLOCKCHAIN TECHNOLOGY; INTERNET; THINGS; ANALYTICS; BARRIERS; RISK; IMPLEMENTATION; OPPORTUNITIES</t>
  </si>
  <si>
    <t>Industry 4.0 technologies are causing a paradigm shift in supply chain process management. The digital transformation of the supply chains provides enormous benefits to organizations by empowering collaboration among multiple internal and external organizations and systems. This study presents a narrative review explaining the existing knowledge on digital transformation in supply chain process management using text mining. It summarizes the existing literature to explain the current state of the art in supply chain digitalization. This comprehensive review identifies the most important topics and technologies and determines the future trends in this emerging field. We investigate the articles published in Web of Science and Scopus databases and use text mining techniques (clustering and topic modeling) on the article contents. Using VOS viewer, a bibliometric analysis of 395 articles with 12,700 references is analyzed. The contents of the articles are explored using text mining approaches. The synthesized results reveal that the most important topics in digital transformation are sustainable supply chain management and circular economy and industry 4.0 technologies. The study further discovers big data, data analytics, blockchain, artificial intelligence, machine learning, and the Internet of Things as the most critical technologies for facilitating supply chain digital transformation. Finally, an overlay heatmap analysis of the research articles found that digital transformation, supply chain management, industry 4.0, decision-making, and sustainability are emerging trends in supply chain digitalization.</t>
  </si>
  <si>
    <t>[Tavana, Madjid] La Salle Univ, Business Syst &amp; Analyt Dept, Distinguished Chair Business Analyt, Philadelphia, PA 19141 USA; [Tavana, Madjid] Univ Paderborn, Fac Business Adm &amp; Econ, Business Informat Syst Dept, D-33100 Paderborn, Germany; [Shaabani, Akram; Raeesi Vanani, Iman] Allameh Tabatabai Univ, Fac Management &amp; Accounting, Dept Ind Management, Tehran 1489684511, Iran; [Kumar Gangadhari, Rajan] Natl Inst Ind Engn, Ind Engn &amp; Mfg Syst, Mumbai 400087, Maharashtra, India</t>
  </si>
  <si>
    <t>La Salle University; University of Paderborn; Allameh Tabataba'i University; National Institute of Industrial Engineering (NITIE)</t>
  </si>
  <si>
    <t>Tavana, M (corresponding author), La Salle Univ, Business Syst &amp; Analyt Dept, Distinguished Chair Business Analyt, Philadelphia, PA 19141 USA.;Tavana, M (corresponding author), Univ Paderborn, Fac Business Adm &amp; Econ, Business Informat Syst Dept, D-33100 Paderborn, Germany.</t>
  </si>
  <si>
    <t>tavana@lasalle.edu; shaabani_akram@atu.ac.ir; imanraeesi@atu.ac.ir; rajan.gangadhari.2018@nitie.ac.in</t>
  </si>
  <si>
    <t>Raeesi Vanani, Iman/GQP-7444-2022</t>
  </si>
  <si>
    <t>Raeesi Vanani, Iman/0000-0001-8324-9896; Tavana, Madjid/0000-0003-2017-1723; shaabani, akram/0000-0001-8802-0038; Gangadhari, Rajan Kumar/0000-0002-4841-7177</t>
  </si>
  <si>
    <t>2227-9717</t>
  </si>
  <si>
    <t>Processes</t>
  </si>
  <si>
    <t>10.3390/pr10050842</t>
  </si>
  <si>
    <t>Engineering, Chemical</t>
  </si>
  <si>
    <t>Engineering</t>
  </si>
  <si>
    <t>1R8PF</t>
  </si>
  <si>
    <t>WOS:000803625200001</t>
  </si>
  <si>
    <t>Valencia, M; Bocken, N; Loaiza, C; De Jaeger, S</t>
  </si>
  <si>
    <t>Valencia, Melanie; Bocken, Nancy; Loaiza, Camila; De Jaeger, Simon</t>
  </si>
  <si>
    <t>The social contribution of the circular economy</t>
  </si>
  <si>
    <t>Social value; Social sustainability; Circular economy; Capabilities; Social circular economy</t>
  </si>
  <si>
    <t>SUSTAINABLE DEVELOPMENT; URBAN METABOLISM; SUPPLY CHAIN; DESIGN; CHALLENGES; PRINCIPLES; MANAGEMENT; INNOVATION; FRAMEWORK; STAKEHOLDERS</t>
  </si>
  <si>
    <t>The social value of the circular economy (CE) has only been recently explored in the literature. To understand the social implications of the implementation of the CE, a semi-systematic literature review was completed evalu-ating the variables of equity, diversity, collaboration, quality of life, maturity, and governance as derived from a capabilities approach. At a societal level, this article explores the main demands and contributions of the CE to society and identifies the inconsistencies in the literature in assessing the CE as a strategy for development, counterposing views of the CE's contribution to the socioeconomic system. Furthermore, the analysis proposes a set of socioeconomic strategies that can aid a CE implementation. We expand the 'rethink' tactic of the 9Rs (Refuse, Rethink, Reduce, Reuse, Repair, Refurbish, Remanufacture, Repurpose, Recycle and Recover) to also rethinking: the economic model, discourse, management strategies, ownership, business models, care work and value chains as well as remembering, reorganizing, and revitalizing. Furthermore, we include nuances to the 9Rs, adding regeneration. The qualitative assessment combined with a topic model offered specific areas where the social dimensions can be prioritized; these include food systems, the built environment with localized urban sharing, value chains, bioeconomy and mitigating the environmental impact of industries such as fashion and construction.</t>
  </si>
  <si>
    <t>[Valencia, Melanie; De Jaeger, Simon] Katholieke Univ Leuven, Ctr Econ &amp; Corp Sustainabil CEDON, Warmoesberg 26, B-1000 Brussels, Belgium; [Bocken, Nancy] Maastricht Univ, Maastricht Sustainabil Inst, Sch Business &amp; Econ, Maastricht, Netherlands; [Loaiza, Camila] Law Impact, Naranjos 35-67, Quito 170135, Ecuador</t>
  </si>
  <si>
    <t>KU Leuven; Maastricht University</t>
  </si>
  <si>
    <t>Bocken, N (corresponding author), Maastricht Univ, Maastricht Sustainabil Inst, Sch Business &amp; Econ, Maastricht, Netherlands.</t>
  </si>
  <si>
    <t>nancy.bocken@maastrichtuniversity.nl</t>
  </si>
  <si>
    <t>Valencia, Melanie/JCO-0097-2023</t>
  </si>
  <si>
    <t>Valencia, Melanie/0000-0001-5361-2156; Bocken, Nancy/0000-0003-0137-4074</t>
  </si>
  <si>
    <t>European Union's Horizon 2020's European research Council (ERC) [850159]; European Research Council (ERC) [850159] Funding Source: European Research Council (ERC)</t>
  </si>
  <si>
    <t>European Union's Horizon 2020's European research Council (ERC)(European Research Council (ERC)); European Research Council (ERC)(European Research Council (ERC)Spanish Government)</t>
  </si>
  <si>
    <t>Funding Nancy Bocken received funding from the European Union's Horizon 2020's European research Council (ERC) funding scheme under grant agreement No 850159.</t>
  </si>
  <si>
    <t>JUL 1</t>
  </si>
  <si>
    <t>10.1016/j.jclepro.2023.137082</t>
  </si>
  <si>
    <t>G4WQ3</t>
  </si>
  <si>
    <t>WOS:000989179700001</t>
  </si>
  <si>
    <t>Shrivastav, SK; Bag, S</t>
  </si>
  <si>
    <t>Shrivastav, Santosh Kumar; Bag, Surajit</t>
  </si>
  <si>
    <t>Humanitarian supply chain management in the digital age: a hybrid review using published literature and social media data</t>
  </si>
  <si>
    <t>BENCHMARKING-AN INTERNATIONAL JOURNAL</t>
  </si>
  <si>
    <t>Humanitarian supply chain; Review; Literature; Social media; BERT; Digital age; Industry 4; 0</t>
  </si>
  <si>
    <t>BIG DATA; COORDINATION; PERFORMANCE; ANALYTICS</t>
  </si>
  <si>
    <t>PurposeThe purpose of this study is to examine various data sources to identify trends and themes in humanitarian supply chain management (HSCM) in the digital age.Design/methodology/approachIn this study, various data sources such as published literature and social media content from Twitter, LinkedIn, blogs and forums are used to identify trending topics and themes on HSCM using topic modelling.FindingsThe study examined 33 published literature and more than 94,000 documents, including tweets and expert opinions, and identified eight themes related to HSCM in the digital age namely Digital technology enabled global partnerships, Digital tech enabled sustainability, Digital tech enabled risk reduction for climate changes and uncertainties, Digital tech enabled preparedness, response and resilience, Digital tech enabled health system enhancement, Digital tech enabled food system enhancement, Digital tech enabled ethical process and systems and Digital tech enabled humanitarian logistics. The study also proposed a framework of drivers, processes and impacts for each theme and directions for future research.Originality/valuePrevious research has predominantly relied on published literature to identify emerging themes and trends on a particular topic. This study is unique because it examines the ability of social media sources such as blogs, websites, forums and published literature to reveal evolving patterns and trends in HSCM in the digital age.</t>
  </si>
  <si>
    <t>[Shrivastav, Santosh Kumar; Bag, Surajit] Delhi NCR, Inst Management Technol Ghaziabad, Delhi, India; [Bag, Surajit] Univ Johannesburg, Dept Transport &amp; Supply Chain Management, Johannesburg, South Africa</t>
  </si>
  <si>
    <t>University of Johannesburg</t>
  </si>
  <si>
    <t>Bag, S (corresponding author), Delhi NCR, Inst Management Technol Ghaziabad, Delhi, India.;Bag, S (corresponding author), Univ Johannesburg, Dept Transport &amp; Supply Chain Management, Johannesburg, South Africa.</t>
  </si>
  <si>
    <t>sksrivastava@imt.edu; surajit.bag@gmail.com</t>
  </si>
  <si>
    <t>1463-5771</t>
  </si>
  <si>
    <t>1758-4094</t>
  </si>
  <si>
    <t>BENCHMARKING</t>
  </si>
  <si>
    <t>Benchmarking</t>
  </si>
  <si>
    <t>2023 JUL 18</t>
  </si>
  <si>
    <t>10.1108/BIJ-04-2023-0273</t>
  </si>
  <si>
    <t>JUL 2023</t>
  </si>
  <si>
    <t>M2JX1</t>
  </si>
  <si>
    <t>WOS:001028506600001</t>
  </si>
  <si>
    <t>Naz, F; Agrawal, R; Kumar, A; Gunasekaran, A; Majumdar, A; Luthra, S</t>
  </si>
  <si>
    <t>Naz, Farheen; Agrawal, Rohit; Kumar, Anil; Gunasekaran, Angappa; Majumdar, Abhijit; Luthra, Sunil</t>
  </si>
  <si>
    <t>Reviewing the applications of artificial intelligence in sustainable supply chains: Exploring research propositions for future directions</t>
  </si>
  <si>
    <t>BUSINESS STRATEGY AND THE ENVIRONMENT</t>
  </si>
  <si>
    <t>artificial intelligence; big data analytics; business strategy; carbon emissions; environment; sustainability; sustainable development; sustainable supply chain</t>
  </si>
  <si>
    <t>BIG DATA ANALYTICS; GENETIC ALGORITHM APPROACH; REVERSE LOGISTICS NETWORK; DECISION-SUPPORT; MODEL; SELECTION; MANAGEMENT; TRANSPORTATION; FRAMEWORK; DESIGN</t>
  </si>
  <si>
    <t>The sustainable supply chain (SSC) has received significant attention worldwide in the last few years because it integrates sustainability dimensions into its process. Recent artificial intelligence (AI)-based advancements in technology make it possible to overcome many problems associated with supply chain (SC) networks. The current study was performed to explore the role of AI in establishing an SSC. The research contribution in the field of AI and SSC was examined through a systematic literature review. A total of 353 articles were gathered from the Scopus database in the selected research field. A big data-based approach, namely, structural topic modelling (STM), was applied to generate emerging thematic topics from shortlisted articles of AI in SSC. Moreover, using R package, a bibliometric analysis was conducted to examine the research trends in the field of AI in SSC. The research trends were then analysed, with generated thematic topics discussed. The proposed research framework can help researchers and practitioners to develop an SSC model using AI-based techniques. Propositions for future research are given and implications are suggested.</t>
  </si>
  <si>
    <t>[Naz, Farheen] Hungarian Univ Agr &amp; Life Sci, Inst Econ, Godollo, Hungary; [Agrawal, Rohit] Indian Inst Management, Operat Management &amp; Quantitat Tech, Gaya, India; [Agrawal, Rohit; Majumdar, Abhijit] Indian Inst Technol Delhi, Dept Text &amp; Fibre Engn, New Delhi, India; [Kumar, Anil] London Metropolitan Univ, Guildhall Sch Business &amp; Law, London, England; [Gunasekaran, Angappa] Penn State Harrisburg, Sch Business Adm, Middletown, PA USA; [Luthra, Sunil] Ch Ranbir Singh State Inst Engn &amp; Technol, Dept Mech Engn, Jhajjar, India</t>
  </si>
  <si>
    <t>Hungarian University of Agriculture &amp; Life Sciences; Indian Institute of Technology System (IIT System); Indian Institute of Technology (IIT) - Delhi; London Metropolitan University; Pennsylvania Commonwealth System of Higher Education (PCSHE); Pennsylvania State University</t>
  </si>
  <si>
    <t>Naz, F (corresponding author), Hungarian Univ Agr &amp; Life Sci, Inst Econ, Godollo, Hungary.</t>
  </si>
  <si>
    <t>farheen.naz@phd.uni-mate.hu</t>
  </si>
  <si>
    <t>Kumar, Anil/A-2657-2013; AGRAWAL, ROHIT/X-5689-2018; Kumar, Anil/K-2136-2019; Luthra, Sunil/D-4135-2014</t>
  </si>
  <si>
    <t>Kumar, Anil/0000-0002-1691-0098; AGRAWAL, ROHIT/0000-0002-2712-5941; Luthra, Sunil/0000-0001-7571-1331</t>
  </si>
  <si>
    <t>0964-4733</t>
  </si>
  <si>
    <t>1099-0836</t>
  </si>
  <si>
    <t>BUS STRATEG ENVIRON</t>
  </si>
  <si>
    <t>Bus. Strateg. Environ.</t>
  </si>
  <si>
    <t>10.1002/bse.3034</t>
  </si>
  <si>
    <t>Business; Environmental Studies; Management</t>
  </si>
  <si>
    <t>2W8RX</t>
  </si>
  <si>
    <t>WOS:000771506200001</t>
  </si>
  <si>
    <t>Shokouhyar, S; Shahrasbi, A</t>
  </si>
  <si>
    <t>Shokouhyar, Sajjad; Shahrasbi, Alireza</t>
  </si>
  <si>
    <t>Revealing the reality behind consumers' participation in WEEE treatment schemes: a mixed method approach</t>
  </si>
  <si>
    <t>JOURNAL OF ENVIRONMENTAL PLANNING AND MANAGEMENT</t>
  </si>
  <si>
    <t>Delphi method; Social media; closed loop supply chain; WEEE; E-recycling; E-waste; twitter text analysis; topic modeling</t>
  </si>
  <si>
    <t>SOCIAL MEDIA; SUPPLY CHAIN; ELECTRONIC EQUIPMENT; RECYCLING BEHAVIOR; CIRCULAR ECONOMY; WASTE; TWITTER; STRATEGIES; SEPARATION; LOGISTICS</t>
  </si>
  <si>
    <t>With the enormous population growth and the ever-increasing use of various electronic devices in modern life, the proper disposal of the Waste Electrical and Electronic Equipment (WEEE) has been of paramount importance. The pervasive use of social media by customers has made governments and businesses use these platforms as a rich source of data to extract intelligence on consumer opinions. However, some scholars doubt the sufficiency of social media data concerning the design of a comprehensive list containing all influential factors on consumer behavior toward the proper treatment of WEEE. Thus, a mixed method of quantitative (by analyzing about 2,500,000 tweets from Twitter) and qualitative approaches (i.e. a literature thematic analysis followed by a three-phased Delphi method) has been adopted. Due to consumers' different behavior based on their local status, the experts have been split into two different panels from developed and developing countries. They have also been provided with the findings from the literature along with the results from Twitter data analysis. The findings have revealed that economic incentives play a pivotal role in both categories. People in developing countries usually have concerns regarding socio-economic and socio-political issues, while in developed nations higher levels of influential factors exist, including proximity, suitability and ease of access, and so forth. The truth is that in order to have a green and pollution-free world, the whole world, whether developed or developing, must take joint steps to create public welfare, peace of mind and world peace. Otherwise, unilateral actions of countries will not have their desired effectiveness.</t>
  </si>
  <si>
    <t>[Shokouhyar, Sajjad; Shahrasbi, Alireza] Shahid Beheshti Univ, Fac Management &amp; Accounting, Dept Ind &amp; Informat Management, Tehran, Iran</t>
  </si>
  <si>
    <t>Shahid Beheshti University</t>
  </si>
  <si>
    <t>Shokouhyar, S (corresponding author), Shahid Beheshti Univ, Fac Management &amp; Accounting, Dept Ind &amp; Informat Management, Tehran, Iran.</t>
  </si>
  <si>
    <t>s_shokouhyar@sbu.ac.ir</t>
  </si>
  <si>
    <t>Shahrasbi, Alireza/0000-0001-5864-566X</t>
  </si>
  <si>
    <t>0964-0568</t>
  </si>
  <si>
    <t>1360-0559</t>
  </si>
  <si>
    <t>J ENVIRON PLANN MAN</t>
  </si>
  <si>
    <t>J. Environ. Plan. Manag.</t>
  </si>
  <si>
    <t>OCT 11</t>
  </si>
  <si>
    <t>10.1080/09640568.2021.1972284</t>
  </si>
  <si>
    <t>AUG 2021</t>
  </si>
  <si>
    <t>5D4KA</t>
  </si>
  <si>
    <t>WOS:000702637600001</t>
  </si>
  <si>
    <t>Ghaffari, M; Aliahmadi, A; Khalkhali, A; Zakery, A; Daim, TU; Yalcin, H</t>
  </si>
  <si>
    <t>Ghaffari, Mohsen; Aliahmadi, Alireza; Khalkhali, Abolfazl; Zakery, Amir; Daim, Tugrul U.; Yalcin, Haydar</t>
  </si>
  <si>
    <t>Topic-based technology mapping using patent data analysis: A case study of vehicle tires</t>
  </si>
  <si>
    <t>Bibliometrics; Patent analysis; Technology mapping; Tire Industry; Machine learning; Topic modeling; Emerging technologies</t>
  </si>
  <si>
    <t>FORECASTING TECHNOLOGY; EMERGING TECHNOLOGIES; TRANSPORTATION; CLASSIFICATION; IDENTIFICATION; PREDICTION; INNOVATION; SUCCESS; SCIENCE; AREAS</t>
  </si>
  <si>
    <t>The analysis of patent certificates for the purpose of determining the technologies of an industry is a method that has been used by experts and researchers of technology management and technology forecasting for nearly two decades. Meanwhile, using different techniques and software and completing the experiences of past researches have increased the speed, accuracy, and practicality of the relevant reports. In this study, the tire industry has been investigated with regard to its prominent role in the future automobile and transportation industry. All tirerelated patent certificates in the last 20 years were extracted from the Derwent Innovation Index database using a search string and IPC codes, and with the help of Latent Dirichlet Allocation (LDA) which is an unsupervised machine learning method, the relevant technology areas were extracted. The analysis of technologies and forecasting future technology areas were conducted regarding the share and growth rate of each technology in two 10-year periods (2000-2009 and 2010-2019) and the study of trends and technical indicators related to the industry and value chain. The analysis of nine technology areas considered by tire industry innovators during the last 20 years, as well as the analysis of trends and effective factors on these technologies indicated that the fields of airless tires and intelligent tires technology areas would be highly welcomed in the future and become the dominant and extensively-used technologies of the tire industry in the future.</t>
  </si>
  <si>
    <t>[Ghaffari, Mohsen; Aliahmadi, Alireza; Khalkhali, Abolfazl; Zakery, Amir] Iran Univ Sci &amp; Technol IUST, Tehran, Iran; [Daim, Tugrul U.] Portland State Univ, Portland, OR 97201 USA; [Daim, Tugrul U.; Yalcin, Haydar] Ege Univ, Izmir, Turkiye; [Daim, Tugrul U.] Chaoyang Univ Technol, Taichung, Taiwan</t>
  </si>
  <si>
    <t>Iran University Science &amp; Technology; Portland State University; Ege University; Chaoyang University of Technology</t>
  </si>
  <si>
    <t>Daim, TU (corresponding author), Portland State Univ, Portland, OR 97201 USA.;Daim, TU (corresponding author), Ege Univ, Izmir, Turkiye.;Daim, TU (corresponding author), Chaoyang Univ Technol, Taichung, Taiwan.</t>
  </si>
  <si>
    <t>tugrul.u.daim@pdx.edu</t>
  </si>
  <si>
    <t>Ghaffari, Mohsen/IAQ-7348-2023; Zakery, Amir/R-8017-2018; Daim, Tugrul/JFJ-5740-2023</t>
  </si>
  <si>
    <t>Ghaffari, Mohsen/0009-0003-9109-2616; Zakery, Amir/0000-0002-6530-8933;</t>
  </si>
  <si>
    <t>10.1016/j.techfore.2023.122576</t>
  </si>
  <si>
    <t>I7TR5</t>
  </si>
  <si>
    <t>WOS:001004779200001</t>
  </si>
  <si>
    <t>Park, K; Kremer, GEO</t>
  </si>
  <si>
    <t>Park, Kijung; Kremer, Guel E. Okudan</t>
  </si>
  <si>
    <t>Text mining-based categorization and user perspective analysis of environmental sustainability indicators for manufacturing and service systems</t>
  </si>
  <si>
    <t>ECOLOGICAL INDICATORS</t>
  </si>
  <si>
    <t>Environmental sustainability indicators; Categorization; Text mining; Indicator utilization; Indicator utility</t>
  </si>
  <si>
    <t>SUPPLY CHAIN; CARBON FOOTPRINT; MANAGEMENT; PERFORMANCE; FRAMEWORK; SELECTION; METRICS; IMPACT; MODEL; ADVANTAGE</t>
  </si>
  <si>
    <t>In response to increasing global consciousness about the environmental impact of companies, a wide variety of environmental sustainability indicators and frameworks have been developed. Despite the variety of available environmental sustainability indicators, the absence of a commonly accepted categorization framework often creates confusion and inhibits indicator deployment in practice. This paper addresses this issue with a bottom-up approach that categorizes environmental sustainability indicators using their text-based objective information, and investigates industrial perceptions on indicator use. As the foundation for this work, 55 environmental sustainability indicators were extracted from extant literature. Then, companies from manufacturing and service domain were surveyed to reveal perceptions on utilization status (i.e. used in practice and future implementation) and utility (i.e. usefulness and practicality) of each indicator. For indicator categorization, the text descriptions of the collected indicators were modeled using a text mining technique, the correlated topic model, to extract their latent topics as a basis to categorize the indicators. As a result, five categories and their relevant indicators were defined. Further, the utilization status and utility levels of the indicators within the derived categories were analyzed. Possible relationships between indicator utility levels and company characteristics were also identified through logistic regression. Utility levels of specific indicators were found to change subject to market location and industry sector. Findings from this study can complement top-down conceptual categorization and inform implementation of indicators. (C) 2016 Elsevier Ltd. All rights reserved.</t>
  </si>
  <si>
    <t>[Park, Kijung] Penn State Univ, Dept Ind &amp; Mfg Engn, University Pk, PA 16802 USA; [Kremer, Guel E. Okudan] Iowa State Univ, Dept Ind &amp; Mfg Syst Engn, Ames, IA 50011 USA</t>
  </si>
  <si>
    <t>Pennsylvania Commonwealth System of Higher Education (PCSHE); Pennsylvania State University; Pennsylvania State University - University Park; Iowa State University</t>
  </si>
  <si>
    <t>Park, K (corresponding author), Penn State Univ, 301 Engn Unit B, University Pk, PA 16802 USA.</t>
  </si>
  <si>
    <t>kzp5116@psu.edu; gkremer@iastate.edu</t>
  </si>
  <si>
    <t>Okudan Kremer, Gul/0000-0001-8070-825X; Park, Kijung/0000-0001-9672-8802</t>
  </si>
  <si>
    <t>1470-160X</t>
  </si>
  <si>
    <t>1872-7034</t>
  </si>
  <si>
    <t>ECOL INDIC</t>
  </si>
  <si>
    <t>Ecol. Indic.</t>
  </si>
  <si>
    <t>10.1016/j.ecolind.2016.08.027</t>
  </si>
  <si>
    <t>Biodiversity Conservation; Environmental Sciences</t>
  </si>
  <si>
    <t>Biodiversity &amp; Conservation; Environmental Sciences &amp; Ecology</t>
  </si>
  <si>
    <t>EQ9ST</t>
  </si>
  <si>
    <t>WOS:000398426200078</t>
  </si>
  <si>
    <t>Morashti, JA; An, Y; Jang, H</t>
  </si>
  <si>
    <t>Morashti, Jonathan Asher; An, Youra; Jang, Hyunmi</t>
  </si>
  <si>
    <t>A Systematic Literature Review of Sustainable Packaging in Supply Chain Management</t>
  </si>
  <si>
    <t>systematic literature review; sustainable packaging; supply chain management; social network analysis; text mining</t>
  </si>
  <si>
    <t>CIRCULAR ECONOMY; INDUSTRY</t>
  </si>
  <si>
    <t>This exploratory study utilises quantitative analysis to deliver a systematic literature review of published journal papers from 1993 to 2020 with the aim to identify research trends and present a comprehensive overview of research focus conducted in the sustainable packaging domain within the scope of supply chain management. This research is conducted with the data mining software, NetMiner 4, utilising the three analytical tools of statistical analysis, keyword network analysis, and topic analysis. The research also utilises the qualitative method of in-depth interviews in order to investigate current trends and perspectives on the future of sustainable packaging and to validate the analysis results. The research findings reveal that research in the field of 'sustainable packaging in supply chain management' field has been extremely limited, and this study acts to address this research gap. The results confirm that the vast majority of research focus has been in the fields of engineering and science. Research on the topic has gained momentum and has significantly increased since 2013 with research trends becoming increasingly diversified and gradually aligned with the concept of circular economy, while the topic of operational management has been highlighted as an area requiring additional attention. The keyword frequency analysis reveals the following highest occurring keywords in TF: life cycle; environmental impact; consumer; transportation; and production. The highest occurring keywords in TF-IDF: production; transportation; consumer; food; and environmental impact. Topic modelling revealed the following six topics: consumer behaviour; environmental pollution; circular economy; waste management; resource conservation; and operational management. This study contributes to understanding past, present, and future research agendas, and can be utilised as foundation for research development, as it provides insight to current research status and trends provided by the keyword network analysis highlighting research focus and trends in 'sustainable packaging in supply chain management'.</t>
  </si>
  <si>
    <t>[Morashti, Jonathan Asher; An, Youra; Jang, Hyunmi] Pusan Natl Univ, Grad Sch Int Studies, Busan 46241, South Korea</t>
  </si>
  <si>
    <t>Pusan National University</t>
  </si>
  <si>
    <t>Jang, H (corresponding author), Pusan Natl Univ, Grad Sch Int Studies, Busan 46241, South Korea.</t>
  </si>
  <si>
    <t>jamorashti@pusan.ac.kr; youraan@pusan.ac.kr; jangh01@pusan.ac.kr</t>
  </si>
  <si>
    <t>10.3390/su14094921</t>
  </si>
  <si>
    <t>1E6LT</t>
  </si>
  <si>
    <t>WOS:000794598300001</t>
  </si>
  <si>
    <t>Wankhede, VA; Agrawal, R; Kumar, A; Luthra, S; Pamucar, D; Stevic, Z</t>
  </si>
  <si>
    <t>Wankhede, Vishal Ashok; Agrawal, Rohit; Kumar, Anil; Luthra, Sunil; Pamucar, Dragan; Stevic, Zeljko</t>
  </si>
  <si>
    <t>Artificial intelligence an enabler for sustainable engineering decision-making in uncertain environment: a review and future propositions</t>
  </si>
  <si>
    <t>Artificial intelligence; Sustainable engineering; Decision-making; Uncertain environment; Sustainable development goals</t>
  </si>
  <si>
    <t>SUPPLY CHAIN; RESOURCE UTILIZATION; 4.0 TECHNOLOGIES; PRODUCT DESIGN; INDUSTRY; MODEL; INITIATIVES; CONSUMPTION; INTEGRATION; CHALLENGES</t>
  </si>
  <si>
    <t>PurposeSustainable development goals (SDGs) are gaining significant importance in the current environment. Many businesses are keen to adopt SDGs to get a competitive edge. There are certain challenges in realigning the present working scenario for sustainable development, which is a primary concern for society. Various firms are adopting sustainable engineering (SE) practices to tackle such issues. Artificial intelligence (AI) is an emerging technology that can help the ineffective adoption of sustainable practices in an uncertain environment. In this regard, there is a need to review the current research practices in the field of SE in AI. The purpose of the present study is to comprehensive review the research trend in the field of SE in AI.Design/methodology/approachThis work presents a review of AI applications in SE for decision-making in an uncertain environment. SCOPUS database was considered for shortlisting the articles. Specific keywords on AI, SE and decision-making were given, and a total of 127 articles were shortlisted after implying inclusion and exclusion criteria.FindingsBibliometric study and network analyses were performed to analyse the current research trends and to see the research collaboration between researchers and countries. Emerging research themes were identified by using structural topic modelling (STM) and were discussed further.Research limitations/implicationsResearch propositions corresponding to each research theme were presented for future research directions. Finally, the implications of the study were discussed.Originality/valueThis work presents a systematic review of articles in the field of AI applications in SE with the help of bibliometric study, network analyses and STM.</t>
  </si>
  <si>
    <t>[Wankhede, Vishal Ashok] Pandit Deendayal Energy Univ, Dept Mech Engn, Gandhinagar, India; [Agrawal, Rohit] Indian Inst Management Bodh Gaya, Operat Management &amp; Quantitat Tech, Bodh Gaya, India; [Kumar, Anil] London Metropolitan Univ, Guildhall Sch Business &amp; Law, London, England; [Luthra, Sunil] Ch Ranbir Singh State Inst Engn &amp; Technol, Dept Mech Engn, Jhajjar, India; [Pamucar, Dragan] Univ Def Belgrad, Dept Logist, Belgrade, Serbia; [Stevic, Zeljko] Univ East Sarajevo, Fac Transport &amp; Traff Engn, Lukavica, Bosnia &amp; Herceg</t>
  </si>
  <si>
    <t>Pandit Deendayal Energy University; Indian Institute of Management (IIM System); Indian Institute of Management Bodh Gaya; London Metropolitan University</t>
  </si>
  <si>
    <t>Agrawal, R (corresponding author), Indian Inst Management Bodh Gaya, Operat Management &amp; Quantitat Tech, Bodh Gaya, India.</t>
  </si>
  <si>
    <t>vishal.wankhede06@gmail.com; mailerrohit@gmail.com; A.Kumar@londonmet.ac.uk; sunilluthra1977@gmail.com; dpamucar@gmail.com; zeljko.stevic@sf.ues.rs.ba</t>
  </si>
  <si>
    <t>Stević, Željko/P-6467-2018; Pamucar, Dragan/AAG-8288-2019; Luthra, Sunil/D-4135-2014</t>
  </si>
  <si>
    <t>Stević, Željko/0000-0003-4452-5768; Pamucar, Dragan/0000-0001-8522-1942; Luthra, Sunil/0000-0001-7571-1331</t>
  </si>
  <si>
    <t>2023 JUL 3</t>
  </si>
  <si>
    <t>10.1108/JGOSS-06-2022-0057</t>
  </si>
  <si>
    <t>L2HN8</t>
  </si>
  <si>
    <t>WOS:001021520700001</t>
  </si>
  <si>
    <t>Naz, F; Kumar, A; Majumdar, A; Agrawal, R</t>
  </si>
  <si>
    <t>Naz, Farheen; Kumar, Anil; Majumdar, Abhijit; Agrawal, Rohit</t>
  </si>
  <si>
    <t>Is artificial intelligence an enabler of supply chain resiliency post COVID-19? An exploratory state-of-the-art review for future research</t>
  </si>
  <si>
    <t>OPERATIONS MANAGEMENT RESEARCH</t>
  </si>
  <si>
    <t>Artificial intelligence; Supply chain; Resiliency; STM; Project management; COVID-19; Text mining; Big data analytics</t>
  </si>
  <si>
    <t>DECISION-MAKING MODEL; RISK-MANAGEMENT; BIG DATA; NETWORK DESIGN; DATA QUALITY; INDUSTRY 4.0; SELECTION; ALLOCATION; INNOVATION; PERFORMANCE</t>
  </si>
  <si>
    <t>The challenging situations and disruptions that occurred due to the outbreak of the COVID-19 pandemic have created a severe need for supply chain resiliency (SCR). There has been a growing interest among researchers to investigate the resiliency in supply chain operations to overcome risks and disruptions and to achieve successful project management. The supply chain of every business requires innovative projects to accomplish competitive advantage in the market. This study was conducted to identify the significance of artificial intelligence (AI) for creating a sustainable and resilient supply chain, and also to provide optimum solutions for supply chain risk mitigation. A systematic literature review has been conducted to examine the potential research contribution or directions in the field of AI and SCR. In total, 162 articles were shortlisted from the SCOPUS database in the chosen field of research. Structural Topic Modeling (STM), a big data-based approach, was employed to generate several thematic topics of AI in SCR based on the shortlisted articles, and all topics were discussed. Furthermore, the bibliometric analysis was conducted using R-package to investigate the research trends in the area of AI in SCR. Based on the conducted review of literature, a research framework was proposed for AI in SCR that will facilitate researchers and practitioners to improve technological development in supply chain firms. The purpose is to combat sudden risks and disruptions so that project management will perform well Post COVID-19. The study will be also helpful for future researchers and practitioners to identify research directions based on existing literature covered in this paper in the field of SCR. Future research directions are proposed for AI-enabled resilient supply chain management. This study will also provide several implications for supply chain managers to achieve the required resilience in their supply chains post COVID-19 by focusing on the elements of the proposed research framework.</t>
  </si>
  <si>
    <t>[Naz, Farheen] Hungarian Univ Agr &amp; Life Sci, Inst Econ, Godollo, Hungary; [Kumar, Anil] London Metropolitan Univ, Guildhall Sch Business &amp; Law, London, England; [Majumdar, Abhijit; Agrawal, Rohit] Indian Inst Technol, Dept Text &amp; Fibre Engn, New Delhi 110016, India</t>
  </si>
  <si>
    <t>Hungarian University of Agriculture &amp; Life Sciences; London Metropolitan University; Indian Institute of Technology System (IIT System); Indian Institute of Technology (IIT) - Delhi</t>
  </si>
  <si>
    <t>Agrawal, R (corresponding author), Indian Inst Technol, Dept Text &amp; Fibre Engn, New Delhi 110016, India.</t>
  </si>
  <si>
    <t>farheen.naz@phd.uni-szie.hu; A.Kumar@londonmet.ac.uk; majumdar@textile.iitd.ac.in; mailerrohit@gmail.com</t>
  </si>
  <si>
    <t>Kumar, Anil/K-2136-2019; PAPADOPOULOS, EFSTATHIOS/AFM-9422-2022; Kumar, Anil/A-2657-2013; AGRAWAL, ROHIT/X-5689-2018</t>
  </si>
  <si>
    <t>Kumar, Anil/0000-0002-1691-0098; AGRAWAL, ROHIT/0000-0002-2712-5941</t>
  </si>
  <si>
    <t>ONE NEW YORK PLAZA, SUITE 4600, NEW YORK, NY, UNITED STATES</t>
  </si>
  <si>
    <t>1936-9735</t>
  </si>
  <si>
    <t>1936-9743</t>
  </si>
  <si>
    <t>OPER MANAGE RES</t>
  </si>
  <si>
    <t>Oper. Manag. Res.</t>
  </si>
  <si>
    <t>1-2</t>
  </si>
  <si>
    <t>10.1007/s12063-021-00208-w</t>
  </si>
  <si>
    <t>4M9RI</t>
  </si>
  <si>
    <t>Bronze, Green Accepted</t>
  </si>
  <si>
    <t>WOS:000693524200001</t>
  </si>
  <si>
    <t>Sangari, MS; Mashatan, A</t>
  </si>
  <si>
    <t>Sangari, Mohamad Sadegh; Mashatan, Atefeh</t>
  </si>
  <si>
    <t>A data-driven, comparative review of the academic literature and news media on blockchain-enabled supply chain management: Trends, gaps, and research needs</t>
  </si>
  <si>
    <t>COMPUTERS IN INDUSTRY</t>
  </si>
  <si>
    <t>Blockchain technology (BT); BT-enabled supply chain management (BT-SCM); Data-driven modeling; Latent Dirichlet allocation (LDA); Literature review; News media</t>
  </si>
  <si>
    <t>INDUSTRY 4.0; INTELLIGENCE; INNOVATION; SYSTEMS; GREEN</t>
  </si>
  <si>
    <t>The application of blockchain technology in supply chain management has become a popular area of discussion in research and practice. This paper develops a computational, data-driven synthesis of the scholarly literature versus news media on BT-enabled supply chain management (BT-SCM) to uncover major trends, understand how academic research is aligned with business practice, and find out existing gaps. Through text mining and topic modeling of 1148 full-text research papers and 5130 news articles, major themes within each domain, their patterns of evolution over time, and the depth and breadth of their associations were identified. Mapping ana-lyses were also conducted based on the supply chain operations reference (SCOR) model and the main SCM research streams to further explore existing knowledge gaps. The findings revealed that BT-enabled supply chain asset management, BT-enabled reverse logistics and closed-loop supply chain, and actual versus anticipated performance outcomes of BT-SCM are among important pathways for future research. The findings also high-lighted where there is more need to enhance the practical relevance of BT-SCM research considering advances in business adoption. The paper provides a comprehensive, unbiased assessment of the BT-SCM knowledge land-scape and a taxonomy of the research questions related to the technical and managerial aspects of BT-SCM that are particularly useful for the community of researchers in the field. It offers a practical framework that can be applied to assess the academic literature on other emerging technologies in SCM where state-of-the-practice is key to guiding research efforts.</t>
  </si>
  <si>
    <t>[Sangari, Mohamad Sadegh; Mashatan, Atefeh] Toronto Metropolitan Univ, Cybersecur Res Lab, Ted Rogers Sch Management, Toronto, ON, Canada</t>
  </si>
  <si>
    <t>Mashatan, A (corresponding author), Toronto Metropolitan Univ, Cybersecur Res Lab, Ted Rogers Sch Management, Toronto, ON, Canada.</t>
  </si>
  <si>
    <t>mssangari@ryerson.ca; amashatan@ryerson.ca</t>
  </si>
  <si>
    <t>Sangari, Mohamad Sadegh/0000-0002-1769-4278</t>
  </si>
  <si>
    <t>Social Sciences and Humanities Research Council (SSHRC) [430-2021-00389]; Natural Sciences and Engineering Research Council (NSERC) [RGPIN-2019-06150]</t>
  </si>
  <si>
    <t>Social Sciences and Humanities Research Council (SSHRC)(Social Sciences and Humanities Research Council of Canada (SSHRC)); Natural Sciences and Engineering Research Council (NSERC)(Natural Sciences and Engineering Research Council of Canada (NSERC))</t>
  </si>
  <si>
    <t>This research was funded, in part, by the Social Sciences and Hu-manities Research Council (SSHRC) (Grant Number: 430-2021-00389) and the Natural Sciences and Engineering Research Council (NSERC) (Grant Number: RGPIN-2019-06150) of Canada. Toronto Metropolitan University (formerly Ryerson University) is in the Dish with One Spoon Territory. The Dish with One Spoon is a treaty between the Anishinaabe, Mississaugas, and Haudenosaunee that bound them to share the territory and protect the land. Subsequent Indigenous Nations and peoples, Europeans, and all newcomers have been invited into this treaty in the spirit of peace, friendship, and respect. We thank them for allowing us to conduct research on their land.</t>
  </si>
  <si>
    <t>0166-3615</t>
  </si>
  <si>
    <t>1872-6194</t>
  </si>
  <si>
    <t>COMPUT IND</t>
  </si>
  <si>
    <t>Comput. Ind.</t>
  </si>
  <si>
    <t>10.1016/j.compind.2022.103769</t>
  </si>
  <si>
    <t>Computer Science, Interdisciplinary Applications</t>
  </si>
  <si>
    <t>4N0ZN</t>
  </si>
  <si>
    <t>WOS:000853748400001</t>
  </si>
  <si>
    <t>Fu, PH; Jing, BL; Chen, TG; Yang, JJ; Cong, GD</t>
  </si>
  <si>
    <t>Fu, Peihua; Jing, Bailu; Chen, Tinggui; Yang, Jianjun; Cong, Guodong</t>
  </si>
  <si>
    <t>Identifying a New Social Intervention Model of Panic Buying Under Sudden Epidemic</t>
  </si>
  <si>
    <t>FRONTIERS IN PUBLIC HEALTH</t>
  </si>
  <si>
    <t>panic buying; social intervention; behavioral decision-making; the COVID-19 pandemic; sudden epidemic</t>
  </si>
  <si>
    <t>PRODUCT</t>
  </si>
  <si>
    <t>COVID-19 that broke out at the end of 2019 continues to spread globally, with frequent occurrence of variant disease strains, thus epidemic prevention and control become a kind of routine job. At present, due to the prevention and control measures such as maintaining social distance and community blockades, there is a boom in material purchases in many places, which not only seriously endangers social order and public environmental safety, but also easily leads to the interruption of the supply chain and the shortage of social materials. This article aims to study the intervention methods to curb the spread and spread of panic buying behavior. Firstly, through crawler technology and LDA (Latent Dirichlet Allocation) topic model, this article analyzes the intervention measures taken by various social forces in China to curb the spread of panic buying, and summarizes the multi-channel intervention measures including online and offline forms. Secondly, through the multi-Agent Monte Carlo method, the targeted intervention mechanism is supplemented in each propagation link of the panic buying propagation model, and a new social intervention model of panic buying under sudden epidemic is constructed. Then, through MATLAB modeling and simulation, the main factors affecting panic buying intervention are discussed. The simulation results show that: (1) The single plan with the best intervention effect is the supply monitoring. While the official response can play an immediate inhibitory effect, but it is affected by credibility and timeliness. The intervention effect of psychological counseling is limited, and it generally needs to be used in combination with other measures. (2) The combination strategy with the best intervention effect is supply monitoring + official response + psychological counseling, and the worst is information review and guidance + psychological counseling. Supply monitoring is a key measure to curb panic buying. At the same time, information review and guidance will have a certain counter-effect in the combined strategy. Finally, the effectiveness and universality of the proposed model are verified by examples of China and Britain.</t>
  </si>
  <si>
    <t>[Fu, Peihua; Jing, Bailu] Zhejiang Gongshang Univ, Sch Management &amp; Elect Business, Hangzhou, Peoples R China; [Chen, Tinggui] Zhejiang Gongshang Univ, Sch Stat &amp; Math, Hangzhou, Peoples R China; [Yang, Jianjun] Univ North Georgia, Dept Comp Sci &amp; Informat Syst, Dahlonega, GA USA; [Cong, Guodong] Zhejiang Gongshang Univ, Sch Tourism &amp; Urban Rural Planning, Hangzhou, Peoples R China</t>
  </si>
  <si>
    <t>Zhejiang Gongshang University; Zhejiang Gongshang University; University of North Georgia; Zhejiang Gongshang University</t>
  </si>
  <si>
    <t>Chen, TG (corresponding author), Zhejiang Gongshang Univ, Sch Stat &amp; Math, Hangzhou, Peoples R China.</t>
  </si>
  <si>
    <t>ctgsimon@mail.zjgsu.edu.cn</t>
  </si>
  <si>
    <t>National Social Science Foundation of China [18BGL101]; Zhejiang Provincial Natural Science Foundation of China [LY22G010003]; Project of China (Hangzhou) Cross-border E-commerce College [2021KXYJ03]; Characteristic and Preponderant Discipline of Key Construction Universities in Zhejiang Province (Zhejiang Gongshang University-Statistics)</t>
  </si>
  <si>
    <t>National Social Science Foundation of China(National Office of Philosophy and Social Sciences); Zhejiang Provincial Natural Science Foundation of China(Natural Science Foundation of Zhejiang Province); Project of China (Hangzhou) Cross-border E-commerce College; Characteristic and Preponderant Discipline of Key Construction Universities in Zhejiang Province (Zhejiang Gongshang University-Statistics)</t>
  </si>
  <si>
    <t>This research was supported by the National Social Science Foundation of China (Grant No. 18BGL101), the Zhejiang Provincial Natural Science Foundation of China (Grant No. LY22G010003), the Project of China (Hangzhou) Cross-border E-commerce College (No.2021KXYJ03), and as well as the Characteristic and Preponderant Discipline of Key Construction Universities in Zhejiang Province (Zhejiang Gongshang University-Statistics).</t>
  </si>
  <si>
    <t>2296-2565</t>
  </si>
  <si>
    <t>FRONT PUBLIC HEALTH</t>
  </si>
  <si>
    <t>Front. Public Health</t>
  </si>
  <si>
    <t>MAR 11</t>
  </si>
  <si>
    <t>10.3389/fpubh.2022.842904</t>
  </si>
  <si>
    <t>Public, Environmental &amp; Occupational Health</t>
  </si>
  <si>
    <t>0H0KU</t>
  </si>
  <si>
    <t>WOS:000778429900001</t>
  </si>
  <si>
    <t>Garanina, T; Ranta, M; Dumay, J</t>
  </si>
  <si>
    <t>Garanina, Tatiana; Ranta, Mikko; Dumay, John</t>
  </si>
  <si>
    <t>Blockchain in accounting research: current trends and emerging topics</t>
  </si>
  <si>
    <t>ACCOUNTING AUDITING &amp; ACCOUNTABILITY JOURNAL</t>
  </si>
  <si>
    <t>Blockchain; Accounting; Literature review; Machine-learning approach; Future trends</t>
  </si>
  <si>
    <t>SUPPLY-CHAIN; ARTIFICIAL-INTELLIGENCE; TECHNOLOGY; MANAGEMENT; INFORMATION; ACCOUNTABILITY; INNOVATION; ADOPTION; SCIENCE</t>
  </si>
  <si>
    <t>Purpose This paper provides a structured literature review of blockchain in accounting. The authors identify current trends, analyse and critique the key topics of research and discuss the future of this nascent field of inquiry. Design/methodology/approach This study's analysis combined a structured literature review with citation analysis, topic modelling using a machine learning approach and a manual review of selected articles. The corpus comprised 153 academic papers from two ranked journal lists, the Association of Business Schools (ABS) and the Australian Business Deans Council (ABDC), and from the Social Science Research Network (SSRN). From this, the authors analysed and critiqued the current and future research trends in the four most predominant topics of research in blockchain for accounting. Findings Blockchain is not yet a mainstream accounting topic, and most of the current literature is normative. The four most commonly discussed areas of blockchain include the changing role of accountants; new challenges for auditors; opportunities and challenges of blockchain technology application; and the regulation of cryptoassets. While blockchain will likely be disruptive to accounting and auditing, there will still be a need for these roles. With the sheer volume of information that blockchain records, both professions may shift out of the back-office toward higher-profile advisory roles where accountants try to align competitive intelligence with business strategy, and auditors are called on ex ante to verify transactions and even whole ecosystems. Research limitations/implications The authors identify several challenges that will need to be examined in future research. Challenges include skilling up for a new paradigm, the logistical issues associated with managing and monitoring multiple parties all contributing to various public and private blockchains, and the pressing need for legal frameworks to regulate cryptoassets. Practical implications The possibilities that blockchain brings to information disclosure, fraud detection and overcoming the threat of shadow dealings in developing countries all contribute to the importance of further investigation into blockchain in accounting. Originality/value The authors' structured literature review uniquely identifies critical research topics for developing future research directions related to blockchain in accounting.</t>
  </si>
  <si>
    <t>[Garanina, Tatiana; Ranta, Mikko] Univ Vaasa, Sch Accounting &amp; Finance, Vaasa, Finland; [Dumay, John] Macquarie Univ, Dept Accounting &amp; Corp Governance, Sydney, NSW, Australia; [Dumay, John] Nyenrode Business Univ, Breukelen, Netherlands; [Dumay, John] Aalborg Univ, Business Sch, Aalborg, Denmark</t>
  </si>
  <si>
    <t>University of Vaasa; Macquarie University; Nyenrode Business University; Aalborg University</t>
  </si>
  <si>
    <t>Garanina, T (corresponding author), Univ Vaasa, Sch Accounting &amp; Finance, Vaasa, Finland.</t>
  </si>
  <si>
    <t>tatiana.garanina@univaasa.fi; mran@uwasa.fi; john.dumay@mq.edu.au</t>
  </si>
  <si>
    <t>Dumay, John/A-2262-2014; Garanina, Tatiana/X-8587-2019; Ranta, Mikko/ABA-5543-2021</t>
  </si>
  <si>
    <t>Dumay, John/0000-0001-6896-850X; Garanina, Tatiana/0000-0002-8349-4506; Ranta, Mikko/0000-0002-9096-1635</t>
  </si>
  <si>
    <t>0951-3574</t>
  </si>
  <si>
    <t>1758-4205</t>
  </si>
  <si>
    <t>ACCOUNT AUDIT ACCOUN</t>
  </si>
  <si>
    <t>Account. Audit Account.</t>
  </si>
  <si>
    <t>AUG 22</t>
  </si>
  <si>
    <t>10.1108/AAAJ-10-2020-4991</t>
  </si>
  <si>
    <t>Business, Finance</t>
  </si>
  <si>
    <t>3V8CY</t>
  </si>
  <si>
    <t>Green Submitted, hybrid, Green Published</t>
  </si>
  <si>
    <t>WOS:000713662700001</t>
  </si>
  <si>
    <t>Muñoz-Leiva, F; López, MER; Liebana-Cabanillas, F; Moro, S</t>
  </si>
  <si>
    <t>Munoz-Leiva, Francisco; Rodriguez Lopez, Maria Eugenia; Liebana-Cabanillas, Francisco; Moro, Sergio</t>
  </si>
  <si>
    <t>Past, present, and future research on self-service merchandising: a co-word and text mining approach</t>
  </si>
  <si>
    <t>EUROPEAN JOURNAL OF MARKETING</t>
  </si>
  <si>
    <t>Scopus; Web of Science; Bibliometric analysis; Point-of-sale marketing; Co-word analysis</t>
  </si>
  <si>
    <t>AUGMENTED REALITY; INTELLECTUAL STRUCTURE; BIBLIOMETRIC ANALYSIS; STRATEGIC MANAGEMENT; MARKETING-RESEARCH; CITATION; EVOLUTION; COCITATION; SCIENCE; RETAIL</t>
  </si>
  <si>
    <t>Purpose - This study aims to discern emerging trends and provide a longitudinal perspective on merchandising research by identifying relationships between merchandising-related subdomains/themes. Design/methodology/approach - This study sourced 657 merchandising-related articles published since 1960, from the Scopus database and 425 from Web of Science. After processing and normalizing the data, this study performed co-word and thematic network analyses. Taking a text mining approach, this study used topic modeling to identify a set of coherent topics characterized by the keywords of the articles. Findings - This study identified the following merchandising-related themes: branding, retail, consumer, behavior, modeling, textile and clothing industry and visual merchandising. Although visual merchandising was the first type of merchandising to be used in-store, only recently has it become an emerging topic in the academic literature. There has been a further trend over the past decade to understand the adoption of simulation technology, such as computer-aided design, particularly in supply chain management in the clothing industry. These and other findings contribute to the discussion of the merchandising concept, approached from an evolutionary perspective. Research limitations/implications - The conclusions of this study hold implications at the intersection of merchandising, sectors, new technologies, research methodologies and merchandising-practitioner education. Research trends suggest that, in the future, virtual reality and augmented reality using neuroscientific methods will be applied to the e-merchandising context. Practical implications - The different dimensions of merchandising can be used to leverage store managers' decision-making process toward an integrated store-management strategy. In particular, by adopting loyalty merchandising tactics, the store can generate emotional attachment among consumers, who will perceive its value and services as unique, thanks to merchandising items designed specifically with that aim in mind. The stimulation of unplanned purchases, the strategic location of products and duration of each merchandising activity in the store, the digitalization of merchandising and the application of findings from neuroscience studies are some of the most relevant practical applications. Originality/value - This study provides the first-ever longitudinal review of the state of the art in merchandising research, taking a holistic perspective of this field of knowledge spanning a 60-year period. The work makes a valuable contribution to the development of the marketing discipline.</t>
  </si>
  <si>
    <t>[Munoz-Leiva, Francisco; Liebana-Cabanillas, Francisco] Univ Granada, Dept Mkt &amp; Market Res, Granada, Spain; [Rodriguez Lopez, Maria Eugenia] Univ Granada, Fac Educ Econ &amp; Technol Ceuta, Dept Mkt &amp; Market Res, Ceuta, Spain; [Moro, Sergio] Inst Univ Lisboa ISCTE IUL, ISTAR, Lisbon, Portugal</t>
  </si>
  <si>
    <t>University of Granada; University of Granada; Instituto Universitario de Lisboa</t>
  </si>
  <si>
    <t>Muñoz-Leiva, F (corresponding author), Univ Granada, Dept Mkt &amp; Market Res, Granada, Spain.</t>
  </si>
  <si>
    <t>franml@ugr.es</t>
  </si>
  <si>
    <t>Moro, Sergio/N-9124-2015</t>
  </si>
  <si>
    <t>Moro, Sergio/0000-0002-4861-6686</t>
  </si>
  <si>
    <t>Spanish National Research Programme [ECO2017-88458-R]; Fundacao para a Ciencia e a Tecnologia (FCT) [UIDB/04466/2020, UIDP/04466/2020]</t>
  </si>
  <si>
    <t>Spanish National Research Programme(Spanish Government); Fundacao para a Ciencia e a Tecnologia (FCT)(Fundacao para a Ciencia e a Tecnologia (FCT))</t>
  </si>
  <si>
    <t>This work was conducted with the financial support received from the Spanish National Research Programme [R1D1i Research Project ECO2017-88458-R]. Additionally, the work by Sergio Moro was supported by the Fundacao para a Ciencia e a Tecnologia (FCT) within the following [Projects: UIDB/04466/2020 and UIDP/04466/2020].</t>
  </si>
  <si>
    <t>0309-0566</t>
  </si>
  <si>
    <t>1758-7123</t>
  </si>
  <si>
    <t>EUR J MARKETING</t>
  </si>
  <si>
    <t>Eur. J. Market.</t>
  </si>
  <si>
    <t>10.1108/EJM-02-2019-0179</t>
  </si>
  <si>
    <t>MAY 2021</t>
  </si>
  <si>
    <t>ZB6EM</t>
  </si>
  <si>
    <t>WOS:000655194200001</t>
  </si>
  <si>
    <t>Bag, S; Dhamija, P</t>
  </si>
  <si>
    <t>Bag, Surajit; Dhamija, Pavitra</t>
  </si>
  <si>
    <t>Research progress on working conditions in supply chains: a comprehensive literature review and future research propositions</t>
  </si>
  <si>
    <t>TQM JOURNAL</t>
  </si>
  <si>
    <t>Working conditions; Decent work; Modern slavery; Forced labour; Supply chains; Systematic literature review; Theory- context-methods</t>
  </si>
  <si>
    <t>MODERN SLAVERY; HUMAN-RIGHTS; BUSINESS</t>
  </si>
  <si>
    <t>Purpose - The International Labour Organization (ILO) has emphasized advancing decent employment in global supply chains. Supply chains (SC) are responsible for the growth of any economy and are positively correlated with job creation. However, studies show that decent working conditions are becoming a major concern. Hence, this study is a modest attempt to examine the shortcomings that result in a lack of decent working conditions in global SCs' and further discuss what kind of guidelines, programs, policies, initiatives or principles are necessary to stimulate decent jobs and/or make it easier to enhance decent working conditions in SC. Design/methodology/approach - The present paper first applied the systematic literature review and second used the TCM (Theory-Context-Methods), which is a framework-based review, further reporting the analysis of 59 journal research articles/papers listed in the Scopus database. Findings - The most commonly used theories in the selected studies are institutional theory. As per these theories, governance, rules and regulations play a crucial role in stopping forced labour, child labour practices and social injustice among workers. The findings of this study comply with SDG eight, which states the significance of decent working conditions. Further, the topic modeling reveals four themes: (1) Nature of working conditions (2) Corporate legitimacy (3) Corporate governance mechanisms and (4) Corporate social responsibility, sustainability and ethics in firms. Lastly, we proposed a research framework that shows all the leading factors that influence working conditions in the supply chain. Practical implications - Managers must focus on integrating decent working conditions in SC activities in their respective organizations and factories. Managers must realize and shoulder this responsibility with other top officials in the organization that improving the SC working conditions is the need of the hour. Consultation with Sustainable Development Goal (SDG) five (gender equality) (emphasize gender equality); and SDG eight (decent work and economic growth) (promote sustainable economic growth) is also recommended for managers. Lastly, managers need to develop suitable strategies keeping in mind the interplay between the leading factors (such as top management support, organizational culture, SA 8000 certification, occupational health and safety, stop forced labour and child labour practices, ethics training, enforce modern slavery act, global compliance regimes, buyer-supplier joint auditing, social responsible sourcing, stoppage of unauthorized sub-contracting, maintain SC transparency and CSR disclosure). Originality/value - Using systematic literature review and TCM approach has provided some good takeaway points for managers. The study provides a valuable framework and fourteen research propositions which can be tested in the future.</t>
  </si>
  <si>
    <t>[Bag, Surajit] Univ Johannesburg, Dept Transport &amp; Supply Chain Management, Auckland Pk, South Africa; [Dhamija, Pavitra] Thapar Inst Engn &amp; Technol, LM Thapar Sch Management, Patiala, India; [Dhamija, Pavitra] Univ Johannesburg, Fac Engn &amp; Built Environm, Dept Construct Management &amp; Quant Surveying, Johannesburg, South Africa</t>
  </si>
  <si>
    <t>University of Johannesburg; Thapar Institute of Engineering &amp; Technology; University of Johannesburg</t>
  </si>
  <si>
    <t>Bag, S (corresponding author), Univ Johannesburg, Dept Transport &amp; Supply Chain Management, Auckland Pk, South Africa.</t>
  </si>
  <si>
    <t>surajit.bag@gmail.com; pavitradhamija@gmail.com</t>
  </si>
  <si>
    <t>BAG, SURAJIT/0000-0002-2344-9551</t>
  </si>
  <si>
    <t>1754-2731</t>
  </si>
  <si>
    <t>1754-274X</t>
  </si>
  <si>
    <t>TQM J</t>
  </si>
  <si>
    <t>TQM J.</t>
  </si>
  <si>
    <t>2022 DEC 22</t>
  </si>
  <si>
    <t>10.1108/TQM-09-2022-0290</t>
  </si>
  <si>
    <t>7E2ES</t>
  </si>
  <si>
    <t>WOS:000900988800001</t>
  </si>
  <si>
    <t>Straková, J; Talír, M; Kollmann, J; Pártlová, P; Váchal, J</t>
  </si>
  <si>
    <t>Strakova, J.; Talir, M.; Kollmann, J.; Partlova, P.; Vachal, J.</t>
  </si>
  <si>
    <t>AN INTEGRATED MODEL OF CORPORATE ENVIRONMENT, INCLUDING VALUE CHAIN, AS A COMPETITIVENESS TOOL FOR SMALL AND MEDIUM ENTERPRISES</t>
  </si>
  <si>
    <t>POLISH JOURNAL OF MANAGEMENT STUDIES</t>
  </si>
  <si>
    <t>integrated model; corporate environment; value chain; competitiveness; business strategy</t>
  </si>
  <si>
    <t>DIMENSION REDUCTION; MARKET ORIENTATION; PERFORMANCE; ADVANTAGES; CREATION; FIRMS</t>
  </si>
  <si>
    <t>This contribution presents a new approach to corporate environment which uses an integrated model as a tool to achieve competitiveness of enterprises with a focus on small and medium enterprises. According to our search in local and international literature, corporate environment defined in this manner, including an analysis of value chain, in order to formulate a business strategy, has not been yet investigated in any study. Our testing group consisted of 373 small and medium enterprises. Our solution utilized methods of dimensional reduction and gradual regression analysis. The objective of our research was to analyze significance of components of the corporate environment (micro environment, mezzo environment and macro environment) and of the value chain from the viewpoint of their effects on profitability of enterprises. We have demonstrated an irreplaceable role of internal sources depending on the mezzo environment.</t>
  </si>
  <si>
    <t>[Strakova, J.; Talir, M.; Kollmann, J.; Partlova, P.; Vachal, J.] Inst Technol &amp; Business Ceske Budejovice, Dept Management, Ceske Budejovice, Czech Republic</t>
  </si>
  <si>
    <t>Institute of Technology &amp; Business, Ceske Budejovice</t>
  </si>
  <si>
    <t>Straková, J (corresponding author), Inst Technol &amp; Business Ceske Budejovice, Dept Management, Ceske Budejovice, Czech Republic.</t>
  </si>
  <si>
    <t>strakova@mail.vstecb.cz; talir@mail.vstecb.cz; kollmann@mail.vstecb.cz; partlova@mail.vstecb.cz; vachal@mail.vstecb.cz</t>
  </si>
  <si>
    <t>Pártlová, Petra/AAF-2516-2021; Pártlová, Petra/AAX-2318-2021; Kollmann, Jaroslav/AAL-9031-2021; Straková, Jarmila/ABE-8222-2020</t>
  </si>
  <si>
    <t>Pártlová, Petra/0000-0003-2404-6073; Pártlová, Petra/0000-0003-2404-6073; Kollmann, Jaroslav/0000-0003-4110-145X; Talir, Milan/0000-0002-6510-1297</t>
  </si>
  <si>
    <t>CZESTOCHOWA UNIV TECHNOLOGY</t>
  </si>
  <si>
    <t>CZESTOCHOWA</t>
  </si>
  <si>
    <t>FAC MANAGEMENT, UL ARMII KRAJOWEJ 19B, CZESTOCHOWA, 42-201, POLAND</t>
  </si>
  <si>
    <t>2081-7452</t>
  </si>
  <si>
    <t>POL J MANAG STUD</t>
  </si>
  <si>
    <t>Pol. J. Manag. Stud.</t>
  </si>
  <si>
    <t>10.17512/pjms.2021.23.1.23</t>
  </si>
  <si>
    <t>TD8JD</t>
  </si>
  <si>
    <t>WOS:000669565100023</t>
  </si>
  <si>
    <t>Carmona-Benítez, RB</t>
  </si>
  <si>
    <t>Bernardo Carmona-Benitez, Rafael</t>
  </si>
  <si>
    <t>Dimensionality-reduction Procedure for the Capacitated p-Median Transportation Inventory Problem</t>
  </si>
  <si>
    <t>MATHEMATICS</t>
  </si>
  <si>
    <t>optimization dimensionality reduction; dimensionality-reduction procedure; p-median problems; NP-hard problem; distribution optimization; freight distribution</t>
  </si>
  <si>
    <t>LOCATION; ALGORITHM; NETWORK; CENTERS</t>
  </si>
  <si>
    <t>The capacitated p-median transportation inventory problem with heterogeneous fleet (CLITraP-HTF) aims to determine an optimal solution to a transportation problem subject to location-allocation, inventory management and transportation decisions. The novelty of CLITraP-HTF is to design a supply chain that solves all these decisions at the same time. Optimizing the CLITraP-HTF is a challenge because of the high dimension of the decision variables that lead to a large and complex search space. The contribution of this paper is to develop a dimensionality-reduction procedure (DRP) to reduce the CLITraP-HTF complexity and help to solve it. The proposed DRP is a mathematical proof to demonstrate that the inventory management and transportation decisions can be solved before the optimization procedure, thus reducing the complexity of the CLITraP-HTF by greatly narrowing its number of decision variables such that the remaining problem to solve is the well-known capacitated p-median problem (CPMP). The conclusion is that the proposed DRP helps to solve the CLITraP-HTF because the CPMP can be and has been solved by applying different algorithms and heuristic methods.</t>
  </si>
  <si>
    <t>[Bernardo Carmona-Benitez, Rafael] Univ Anahuac Mexico, Sch Business &amp; Econ, Huixquilucan 52786, Mexico</t>
  </si>
  <si>
    <t>Universidad Anahuac</t>
  </si>
  <si>
    <t>Carmona-Benítez, RB (corresponding author), Univ Anahuac Mexico, Sch Business &amp; Econ, Huixquilucan 52786, Mexico.</t>
  </si>
  <si>
    <t>rafael.carmona@anahuac.mx</t>
  </si>
  <si>
    <t>Carmona-Benitez, Rafael Bernardo/0000-0002-8369-2748</t>
  </si>
  <si>
    <t>2227-7390</t>
  </si>
  <si>
    <t>MATHEMATICS-BASEL</t>
  </si>
  <si>
    <t>Mathematics</t>
  </si>
  <si>
    <t>10.3390/math8040471</t>
  </si>
  <si>
    <t>LL8SK</t>
  </si>
  <si>
    <t>WOS:000531824100011</t>
  </si>
  <si>
    <t>Vaskan, P; Guillén-Gosálbez, G; Turkay, M; Jiménez, L</t>
  </si>
  <si>
    <t>Vaskan, P.; Guillen-Gosalbez, G.; Turkay, M.; Jimenez, L.</t>
  </si>
  <si>
    <t>Multiobjective Optimization of Utility Plants under Several Environmental Indicators Using an MILP-Based Dimensionality Reduction Approach</t>
  </si>
  <si>
    <t>INDUSTRIAL &amp; ENGINEERING CHEMISTRY RESEARCH</t>
  </si>
  <si>
    <t>LIFE-CYCLE ASSESSMENT; REVERSE-OSMOSIS DESALINATION; CHEMICAL-PROCESS SIMULATORS; SUPPLY CHAIN MANAGEMENT; STRUCTURAL OPTIMIZATION; THERMODYNAMIC APPROACH; OBJECTIVE REDUCTION; PROCESS INDUSTRY; ENERGY-SYSTEMS; DESIGN</t>
  </si>
  <si>
    <t>We address the multicriterion optimization of utility plants with economic and environmental concerns. Rather than optimizing a single environmental metric, which was the traditional approach followed in the past, we focus on optimizing these systems considering simultaneously several environmental indicators based on life cycle assessment (LCA) principles. We combine a multiobjective optimization model with an MILP-based dimensionality reduction method that allows identifying key environmental metrics that exhibit the property that their optimization will very likely improve the system simultaneously in all of the remaining damage categories. This analysis reduces the complexity of the underlying multiobjective optimization problem from the viewpoints of generation and interpretation of the solutions. The capabilities of the proposed method are illustrated through a case study based on a real industrial scenario, in which we show that a small number of environmental indicators suffice to optimize the environmental performance of the plant.</t>
  </si>
  <si>
    <t>[Vaskan, P.; Guillen-Gosalbez, G.; Jimenez, L.] Univ Rovira &amp; Virgili, Dept Engn Quim EQ, ETSEQ, E-43007 Tarragona, Spain; [Vaskan, P.] Ecole Polytech Fed Lausanne, Bioenergy &amp; Energy Planning Res Grp, GR GN, INTER,ENAC, CH-1015 Lausanne, Switzerland; [Guillen-Gosalbez, G.] Univ Manchester, Ctr Proc Integrat, Sch Chem Engn &amp; Analyt Sci, Manchester M13 9PL, Lancs, England; [Turkay, M.] Koc Univ, Dept Ind Engn, TR-34450 Istanbul, Turkey</t>
  </si>
  <si>
    <t>Universitat Rovira i Virgili; Swiss Federal Institutes of Technology Domain; Ecole Polytechnique Federale de Lausanne; University of Manchester; Koc University</t>
  </si>
  <si>
    <t>Guillén-Gosálbez, G (corresponding author), Univ Rovira &amp; Virgili, Dept Engn Quim EQ, ETSEQ, Campus Sescelades,Avinguda Paisos Catalans 26, E-43007 Tarragona, Spain.</t>
  </si>
  <si>
    <t>gonzalo.guillen@urv.cat</t>
  </si>
  <si>
    <t>Turkay, Metin/F-9769-2011; Guillén-Gosálbez, Gonzalo/G-3531-2016; Esteller, Laureano Jiménez/F-6782-2011</t>
  </si>
  <si>
    <t>Turkay, Metin/0000-0003-4769-6714; Guillén-Gosálbez, Gonzalo/0000-0001-6074-8473; Esteller, Laureano Jiménez/0000-0002-3186-7235</t>
  </si>
  <si>
    <t>Spanish Ministry of Education and Science [CTQ2012-37039-C02, DPI2012-37154-C02-02, ENE2011-28269-C03-03]; Generalitat de Catalunya (FT programs); TUBITAK [104M322]</t>
  </si>
  <si>
    <t>Spanish Ministry of Education and Science(Spanish Government); Generalitat de Catalunya (FT programs)(Generalitat de Catalunya); TUBITAK(Turkiye Bilimsel ve Teknolojik Arastirma Kurumu (TUBITAK))</t>
  </si>
  <si>
    <t>The authors wish to acknowledge support from the Spanish Ministry of Education and Science (Projects (CTQ2012-37039-C02, DPI2012-37154-C02-02, and ENE2011-28269-C03-03) and the Generalitat de Catalunya (FT programs). M.T. acknowledges the support from TUBITAK with Grant 104M322. Authors express special thanks to Dr. Carlos Pozo (SUSCAPE, URV) for carefully reviewing and improving this manuscript.</t>
  </si>
  <si>
    <t>AMER CHEMICAL SOC</t>
  </si>
  <si>
    <t>WASHINGTON</t>
  </si>
  <si>
    <t>1155 16TH ST, NW, WASHINGTON, DC 20036 USA</t>
  </si>
  <si>
    <t>0888-5885</t>
  </si>
  <si>
    <t>IND ENG CHEM RES</t>
  </si>
  <si>
    <t>Ind. Eng. Chem. Res.</t>
  </si>
  <si>
    <t>DEC 17</t>
  </si>
  <si>
    <t>10.1021/ie5020074</t>
  </si>
  <si>
    <t>AX1BX</t>
  </si>
  <si>
    <t>WOS:000346684400023</t>
  </si>
  <si>
    <t>Straková, J; Talir, M; Vachal, J</t>
  </si>
  <si>
    <t>Strakova, Jarmila; Talir, Milan; Vachal, Jan</t>
  </si>
  <si>
    <t>OPPORTUNITIES AND THREATS OF DIGITAL TRANSFORMATION OF BUSINESS MODELS IN SMES</t>
  </si>
  <si>
    <t>ECONOMICS &amp; SOCIOLOGY</t>
  </si>
  <si>
    <t>business model; corporate strategy; value chain; digitalization</t>
  </si>
  <si>
    <t>DIMENSION REDUCTION; STRATEGY; INNOVATION; MANAGEMENT</t>
  </si>
  <si>
    <t>The importance of business models for small and medium-sized enterprises (SMEs) in terms of their competitiveness and sustainability is undoubtedly growing. The global Covid-19 pandemic even strengthens this trend. The degree of digitalization of corporate processes becomes the SME stability and development limitation. The paper submitted presents the results of research focused on the issue of digital transformation of business models on a test sample of 496 SMEs (out of which 214 operate in the manufacturing sector and industry and 218 are included in the services sector) using the method of dimensionality reduction and logit regression. The main output from the solution valid for both tested sectors is considered insufficient setting, management and evaluation of corporate processes. This applies to the main value-creating processes (input and output logistics, production, marketing and sales, service and other ancillary services) and supporting processes (purchase, scientific and technological development, human resources management and company infrastructure). In terms of the achieved degree of process digitization, an imbalance was found between the main value-creating processes and supporting processes. Investment in value-creating and supporting corporate processes are not considered an important factor for any of the sectors due to the high sensitivity of investments to the size and specialization of companies. In contrast, the higher perceived need for value chain digitization in both tested sectors, especially in the case of manufacturing and industry, is considered a very positive output. This proves the need for the digital transformation of companies and its positive impact on their profitability and competitiveness.</t>
  </si>
  <si>
    <t>[Strakova, Jarmila; Talir, Milan; Vachal, Jan] Inst Technol &amp; Business Ceske Budejovice, Fac Coporate Strategy, Ceske Budejovice, Czech Republic</t>
  </si>
  <si>
    <t>Straková, J (corresponding author), Inst Technol &amp; Business Ceske Budejovice, Fac Coporate Strategy, Ceske Budejovice, Czech Republic.</t>
  </si>
  <si>
    <t>4090@mail.vstech.cz; 22589@mail.vstech.cz; 4027@mail.vstech.cz</t>
  </si>
  <si>
    <t>Talir, Milan/0000-0002-6510-1297</t>
  </si>
  <si>
    <t>[PID: IVSUPS001]</t>
  </si>
  <si>
    <t>Acknowledgement This paper has been prepared as a part of internal research competition at the department of management for 2022 entitled: ?A new approach in the generation of corporate (business) strategy based on the parameterization of business processes?. PID: IVSUPS001</t>
  </si>
  <si>
    <t>CENTER SOCIOLOGICAL RESEARCH</t>
  </si>
  <si>
    <t>SZCZECIN</t>
  </si>
  <si>
    <t>BOLESLAWA SMIALEGO STR 22-27, SZCZECIN, 70-347, POLAND</t>
  </si>
  <si>
    <t>2071-789X</t>
  </si>
  <si>
    <t>2306-3459</t>
  </si>
  <si>
    <t>ECON SOCIOL</t>
  </si>
  <si>
    <t>Econ. Sociol.</t>
  </si>
  <si>
    <t>10.14254/2071-789X.2022/15-3/9</t>
  </si>
  <si>
    <t>Economics</t>
  </si>
  <si>
    <t>5L5OI</t>
  </si>
  <si>
    <t>WOS:000870462300009</t>
  </si>
  <si>
    <t>Cucek, L; Klemes, JJ; Varbanov, PS; Kravanja, Z</t>
  </si>
  <si>
    <t>Cucek, Lidija; Klemes, Jiri Jaromir; Varbanov, Petar Sabev; Kravanja, Zdravko</t>
  </si>
  <si>
    <t>Dealing with High-Dimensionality of Criteria in Multiobjective Optimization of Biomass Energy Supply Network</t>
  </si>
  <si>
    <t>OBJECTIVE OPTIMIZATION; REDUCTION; INDICATORS; INDEX</t>
  </si>
  <si>
    <t>This contribution presents a novel dimensionality reduction method-a Representative Objectives Method (ROM)-applied to environmental footprints, by which the number of environmental footprints within the multiobjective optimization (MOO) is reduced to a minimum number of representative ones. The number of footprints is reduced according to similarities among those footprints showing similar behavior. The proposed method consists of three steps: (i) generation of solution points for analysing similarities among footprints, (ii) identification of similarities among footprints, and the selection of representative footprints (those footprints that show similar behavior are grouped into subsets, each subset's representative footprint is then selected), and (iii) the performing of MOO for maximizing profit with respect to the representative footprints. In this way, the dimensionality of the criteria within the MOO can be significantly reduced. Rather than obtaining the remaining footprints through correlations among the representative independent footprints, they are read directly from Pareto solutions. The presented dimensionality reduction method is applicable in cases when the model is known. The presented approach is illustrated using a demonstration case study of different biomass energy supply chains. The similarities among carbon (CF), energy (EF), water (WF), water pollution (WPF), and land footprints (LF) were investigated, from which only two representative footprints, CF and WF, were selected. This case study indicated that using this novel approach makes MOO more practical for real life problems.</t>
  </si>
  <si>
    <t>[Cucek, Lidija; Kravanja, Zdravko] Univ Maribor, Fac Chem &amp; Chem Engn, SLO-2000 Maribor, Slovenia; [Klemes, Jiri Jaromir; Varbanov, Petar Sabev] Univ Pannonia, Ctr Proc Integrat &amp; Intensificat CPI2, Res Inst Chem &amp; Proc Engn MUKKI, Fac Informat Technol, H-8200 Veszprem, Hungary</t>
  </si>
  <si>
    <t>University of Maribor; University of Pannonia</t>
  </si>
  <si>
    <t>Kravanja, Z (corresponding author), Univ Maribor, Fac Chem &amp; Chem Engn, Smetanova Ulica 17, SLO-2000 Maribor, Slovenia.</t>
  </si>
  <si>
    <t>zdravko.kravanja@um.si</t>
  </si>
  <si>
    <t>Klemes, Jiri Jaromir/B-7291-2009; Varbanov, Petar Sabev/B-8954-2009; Čuček, Lidija/P-1225-2015</t>
  </si>
  <si>
    <t>Klemes, Jiri Jaromir/0000-0002-7450-7029; Varbanov, Petar Sabev/0000-0001-5261-1645; Čuček, Lidija/0000-0003-4754-2758; Kravanja, Zdravko/0000-0003-1374-233X</t>
  </si>
  <si>
    <t>EC [282789]; Slovenian Research Agency [P2-0032, 1000-08-310074]</t>
  </si>
  <si>
    <t>EC(European Union (EU)European Commission Joint Research Centre); Slovenian Research Agency(Slovenian Research Agency - Slovenia)</t>
  </si>
  <si>
    <t>The authors are grateful for the financial support from the EC FP7 project Design Technologies for Multi-scale Innovation and Integration in Post-Combustion CO2 Capture: From Molecules to Unit Operations and Integrated Plants-CAPSOL, Grant No. 282789, and from the Slovenian Research Agency (Program No. P2-0032 and PhD research fellowship contract No. 1000-08-310074).</t>
  </si>
  <si>
    <t>JUN 5</t>
  </si>
  <si>
    <t>10.1021/ie302599c</t>
  </si>
  <si>
    <t>160XD</t>
  </si>
  <si>
    <t>WOS:000320152900017</t>
  </si>
  <si>
    <t>Strakova, J; Simberova, I; Partlova, P; Vachal, J; Zich, R</t>
  </si>
  <si>
    <t>Strakova, Jarmila; Simberova, Iveta; Partlova, Petra; Vachal, Jan; Zich, Robert</t>
  </si>
  <si>
    <t>The Value Chain as the Basis of Business Model Design</t>
  </si>
  <si>
    <t>JOURNAL OF COMPETITIVENESS</t>
  </si>
  <si>
    <t>business model; value chain; corporate environment; strategy; digitization; competitiveness</t>
  </si>
  <si>
    <t>DIMENSION REDUCTION; STRATEGY; IMPACT; PERFORMANCE; MANAGEMENT; QUALITY; LEVEL; CZECH</t>
  </si>
  <si>
    <t>The article presents a new approach to the generation of business models based on value streams. The originality of the study lies in the assumption that in every business model the generator of added value is the value chain which, if original enough, will maximize potential while minimizing costs. This approach will provide the respective enterprise with a high level competitiveness in the long term. The tested group of enterprises consisted of 354 SMEs, one hundred eighty-seven of which were from the manufacturing and industry sector, with 167 from the services sector. The novelty of this approach also consists of the integrated approach to the business environment in which the value streams were analyzed. The results suggest that the analysis of value streams is suitable for the projection of business models. In addition, the methods of dimensional reduction and logit regression have been identified as appropriate analytical tools, with representative results found valid and utilizable in business practice. The authors of the article are aware that this is only the first step in addressing this issue, one which will play a critical role in the gradual process of the upcoming digital transformation of all business models, not only those of SMEs in the Czech Republic.</t>
  </si>
  <si>
    <t>[Strakova, Jarmila; Partlova, Petra; Vachal, Jan] Inst Technol &amp; Business Ceske Budejovice, Dept Management, Ceske Budejovice, Czech Republic; [Simberova, Iveta; Zich, Robert] Brno Univ Technol, Fac Business &amp; Management, Brno, Czech Republic</t>
  </si>
  <si>
    <t>Institute of Technology &amp; Business, Ceske Budejovice; Brno University of Technology</t>
  </si>
  <si>
    <t>strakova@mail.vstecb.cz; simberova@fbm.vutbr.cz; partlova@mail.vstecb.cz; vachal@mail.vstecb.cz; zich@fbm.vutbr.cz</t>
  </si>
  <si>
    <t>Pártlová, Petra/AAX-2318-2021; Straková, Jarmila/ABE-8222-2020; Pártlová, Petra/AAF-2516-2021; Simberova, Iveta/B-2037-2009</t>
  </si>
  <si>
    <t>Pártlová, Petra/0000-0003-2404-6073; Pártlová, Petra/0000-0003-2404-6073; Simberova, Iveta/0000-0002-9236-4439</t>
  </si>
  <si>
    <t>project titled Digital Transformation for Business Model Innovation of SMSs in the Czech Republic - Technological Agency Czech Republic (TACR) [TL02000215]</t>
  </si>
  <si>
    <t>project titled Digital Transformation for Business Model Innovation of SMSs in the Czech Republic - Technological Agency Czech Republic (TACR)</t>
  </si>
  <si>
    <t>This research is funded by the project titled Digital Transformation for Business Model Innovation of SMSs in the Czech Republic, Reg. No. TL02000215, funded by the Technological Agency Czech Republic (TACR)</t>
  </si>
  <si>
    <t>UNIV TOMASE BATI &amp; ZLINE, FAK MANAGEMENTU EKONOMIKY</t>
  </si>
  <si>
    <t>ZLIN</t>
  </si>
  <si>
    <t>NAM T G MASARYKA 5555, ZLIN, 760 01, CZECH REPUBLIC</t>
  </si>
  <si>
    <t>1804-171X</t>
  </si>
  <si>
    <t>1804-1728</t>
  </si>
  <si>
    <t>J COMPETITIVENESS</t>
  </si>
  <si>
    <t>J. Competitiveness</t>
  </si>
  <si>
    <t>10.7441/joc.2021.02.08</t>
  </si>
  <si>
    <t>Business; Economics; Management</t>
  </si>
  <si>
    <t>TC5MN</t>
  </si>
  <si>
    <t>WOS:000668683200008</t>
  </si>
  <si>
    <t>Bodendorf, F; Merkl, P; Franke, J</t>
  </si>
  <si>
    <t>Bodendorf, Frank; Merkl, Philipp; Franke, Joerg</t>
  </si>
  <si>
    <t>Intelligent cost estimation by machine learning in supply management: A structured literature review</t>
  </si>
  <si>
    <t>Machine learning; Cost estimation; Purchasing; Supply management; Text mining; Automotive industry</t>
  </si>
  <si>
    <t>ARTIFICIAL NEURAL-NETWORKS; NONPARAMETRIC REGRESSION; SELECTION TECHNIQUES; ALGORITHM; MODELS; CMARS; PARTS</t>
  </si>
  <si>
    <t>In the automotive industry, cost estimation of components to be purchased plays an important role for price negotiations with suppliers and, therefore, for cost control within the supply chain. While traditional bottom-up cost estimation is a very time consuming and know-how intensive process, intelligent machine learning methods have the potential to significantly reduce the effort in the cost estimation process. In this paper, a literature review on intelligent cost estimation methods for parts to be procured in the manufacturing industry is carried out by text mining. Following the results of this literature review, building blocks for an intelligent cost esti-mation system are outlined that comprise cost estimation methods, dimensionality reduction methods, methods for multi-level cost estimation, and methods for interpreting the results of the cost analysis. Regarding cost estimation methods , Artificial Neural Networks and Support Vector Machines outperform established linear regression algorithms. Dimensionality reduction methods like Correlation Analysis or Principal Component Analysis are rarely studied . Nevertheless, they contribute a lot to the reduction of expensively provided input parameters for cost estimation. Methods for multi-level cost estimation, that support cost prediction of parts and assemblies following the construction plan of a vehicle, and methods for interpretation of intelligent cost ana-lytics cannot be found at all in literature. Consequently, in this paper corresponding approaches are derived from the areas of Multitask Learning and Explainable Machine Learning. Finally, a combination of methods considered most suitable for predictive analytics to estimate procurement costs is presented.</t>
  </si>
  <si>
    <t>[Bodendorf, Frank; Franke, Joerg] Friedrich Alexander Univ Erlangen Nuremberg FAU, Inst Factory Automat &amp; Prod Syst, Egerlandstr 7-9, D-91058 Erlangen, Germany; [Merkl, Philipp] Friedrich Alexander Univ Erlangen Nurnberg FAU, Schlossplatz 4, D-91054 Erlangen, Germany</t>
  </si>
  <si>
    <t>University of Erlangen Nuremberg; University of Erlangen Nuremberg</t>
  </si>
  <si>
    <t>frank.bodendorf@faps.fau.de; philipp.merkl@fau.de; joerg.franke@faps.fau.de</t>
  </si>
  <si>
    <t>10.1016/j.cie.2021.107601</t>
  </si>
  <si>
    <t>UQ8LT</t>
  </si>
  <si>
    <t>WOS:000696311000017</t>
  </si>
  <si>
    <t>Pozo, C; Ruíz-Femenia, R; Caballero, J; Guillén-Gosálbez, G; Jiménez, L</t>
  </si>
  <si>
    <t>Pozo, C.; Ruiz-Femenia, R.; Caballero, J.; Guillen-Gosalbez, G.; Jimenez, L.</t>
  </si>
  <si>
    <t>On the use of Principal Component Analysis for reducing the number of environmental objectives in multi-objective optimization: Application to the design of chemical supply chains</t>
  </si>
  <si>
    <t>CHEMICAL ENGINEERING SCIENCE</t>
  </si>
  <si>
    <t>Multi-objective optimization; Principal component analysis; Life cycle assessment; Supply chain management; Dimensionality reduction; Mixed-integer linear programming</t>
  </si>
  <si>
    <t>LIFE-CYCLE ASSESSMENT; MANAGEMENT; IMPACTS; REDUCTION; FRAMEWORK</t>
  </si>
  <si>
    <t>Multi-objective optimization (MOO) has recently attracted an increasing interest in environmental engineering. One major limitation of the existing solution methods for MOO is that their computational burden tends to grow rapidly in size with the number of environmental objectives. In this paper, we study the use of Principal Component Analysis (PCA) to identify redundant environmental metrics in MOO that can be omitted without disturbing the main features of the problem, thereby reducing the associated complexity. We show that, besides its numerical usefulness, the use of PCA coupled with MOO provides valuable insights on the relationships between environmental indicators of concern for decision-makers. The capabilities of the proposed approach are illustrated through its application to the design of environmentally conscious chemical supply chains (SCs). (C) 2011 Elsevier Ltd. All rights reserved.</t>
  </si>
  <si>
    <t>[Pozo, C.; Guillen-Gosalbez, G.; Jimenez, L.] Univ Rovira &amp; Virgili, Dept Engn Quim EQ, ETSEQ, Tarragona 43007, Spain; [Ruiz-Femenia, R.; Caballero, J.] Univ Alicante, Dept Chem Engn, E-03080 Alicante, Spain</t>
  </si>
  <si>
    <t>Universitat Rovira i Virgili; Universitat d'Alacant</t>
  </si>
  <si>
    <t>Guillén-Gosálbez, G (corresponding author), Univ Rovira &amp; Virgili, Dept Engn Quim EQ, ETSEQ, Campus Sescelades,Avinguda Paisos Catalans 26, Tarragona 43007, Spain.</t>
  </si>
  <si>
    <t>Fernández, Carlos Pozo/E-1051-2019; Guillén-Gosálbez, Gonzalo/C-4125-2011; Caballero, Jose Antonio/B-7567-2011; , Reubens/H-7931-2015; Esteller, Laureano Jiménez/F-6782-2011; Guillén-Gosálbez, Gonzalo/G-3531-2016; Pozo, Carlos/AAQ-3291-2020</t>
  </si>
  <si>
    <t>Fernández, Carlos Pozo/0000-0002-5645-674X; Guillén-Gosálbez, Gonzalo/0000-0003-2923-1518; Caballero, Jose Antonio/0000-0001-6470-2907; , Reubens/0000-0003-0652-5177; Esteller, Laureano Jiménez/0000-0002-3186-7235; Guillén-Gosálbez, Gonzalo/0000-0001-6074-8473; Pozo, Carlos/0000-0002-5645-674X</t>
  </si>
  <si>
    <t>Spanish Ministry of Education and Science [DPI2008-04099, PHB2008-0090-PC, BFU2008-00196, CTQ2009-14420-C02]; Spanish Ministry of External Affairs [HS2007-0006, A/023551/09]; Spanish Ministry of Science and Innovation [ENE2011-28269-C03-03]; Generalitat de Catalunya</t>
  </si>
  <si>
    <t>Spanish Ministry of Education and Science(Spanish Government); Spanish Ministry of External Affairs(Spanish Government); Spanish Ministry of Science and Innovation(Spanish Government); Generalitat de Catalunya(Generalitat de Catalunya)</t>
  </si>
  <si>
    <t>The authors wish to acknowledge support of this research work from the Spanish Ministry of Education and Science (projects DPI2008-04099, PHB2008-0090-PC, BFU2008-00196 and CTQ2009-14420-C02), the Spanish Ministry of External Affairs (projects HS2007-0006 and A/023551/09), the Spanish Ministry of Science and Innovation (ENE2011-28269-C03-03) and the Generalitat de Catalunya (FI programs).</t>
  </si>
  <si>
    <t>0009-2509</t>
  </si>
  <si>
    <t>1873-4405</t>
  </si>
  <si>
    <t>CHEM ENG SCI</t>
  </si>
  <si>
    <t>Chem. Eng. Sci.</t>
  </si>
  <si>
    <t>FEB 13</t>
  </si>
  <si>
    <t>10.1016/j.ces.2011.10.018</t>
  </si>
  <si>
    <t>865QQ</t>
  </si>
  <si>
    <t>WOS:000298325800012</t>
  </si>
  <si>
    <t>Weese, M; Martinez, W; Megahed, FM; Jones-Farmer, LA</t>
  </si>
  <si>
    <t>Weese, Maria; Martinez, Waldyn; Megahed, Fadel M.; Jones-Farmer, L. Allison</t>
  </si>
  <si>
    <t>Statistical Learning Methods Applied to Process Monitoring: An Overview and Perspective</t>
  </si>
  <si>
    <t>JOURNAL OF QUALITY TECHNOLOGY</t>
  </si>
  <si>
    <t>Control Charts; Ensembles; Neural Networks; Regression; Support Vector Machines; Variable Selection</t>
  </si>
  <si>
    <t>PRINCIPAL COMPONENT ANALYSIS; MULTIVARIATE CONTROL CHART; GAUSSIAN MIXTURE MODEL; OF-CONTROL SIGNALS; NEURAL-NETWORKS; MEAN-SHIFTS; DISCRIMINANT-ANALYSIS; FAULT-DIAGNOSIS; TIME; FRAMEWORK</t>
  </si>
  <si>
    <t>The increasing availability of high-volume, high-velocity data sets, often containing variables of different data types, brings an increasing need for monitoring tools that are designed to handle these big data sets. While the research on multivariate statistical process monitoring tools is vast, the application of these tools for big data sets has received less attention. In this expository paper, we give an overview of the current state of data-driven multivariate statistical process monitoring methodology. We highlight some of the main directions involving statistical learning and dimension reduction techniques applied to control charts in research from supply chain, engineering, computer science, and statistics. The goal of this paper is to bring into better focus some of the monitoring and surveillance methodology informed by data mining techniques that show promise for monitoring large and diverse data sets. We introduce an example using Wikipedia search information and illustrate a few of the complexities of applying the available methods to a high-dimensional monitoring scenario. Throughout, we offer advice to practitioners and some suggestions for future research in this emerging area of research.</t>
  </si>
  <si>
    <t>[Weese, Maria; Martinez, Waldyn; Jones-Farmer, L. Allison] Miami Univ, Farmer Sch Business, Analyt, Oxford, OH 45056 USA; [Megahed, Fadel M.] Auburn Univ, Ind &amp; Syst Engn, Auburn, AL 36849 USA</t>
  </si>
  <si>
    <t>University System of Ohio; Miami University; Auburn University System; Auburn University</t>
  </si>
  <si>
    <t>Weese, M (corresponding author), Miami Univ, Farmer Sch Business, Analyt, Oxford, OH 45056 USA.</t>
  </si>
  <si>
    <t>weeseml@miamioh.edu; martinwg@miamioh.edu; fmegahed@auburn.edu; farmer12@miamioh.edu</t>
  </si>
  <si>
    <t>Megahed, Fadel/ABB-3250-2021; Megahed, Fadel/ABB-9906-2021</t>
  </si>
  <si>
    <t>Megahed, Fadel/0000-0003-2194-5110; Megahed, Fadel/0000-0003-2194-5110; martinez, waldyn/0000-0002-6634-9016</t>
  </si>
  <si>
    <t>Amazon Web Services, Educational Grant</t>
  </si>
  <si>
    <t>This work was partially supported by an Amazon Web Services, Educational Grant to Auburn University. The authors would also like to thank Huw Smith and Jordan Huff, graduate students at Auburn University, for their assistance in developing a dictionary containing all names of NFL players (based on the Python nfldb package) and in extracting the relevant data from the Wikipedia Compressed (.gz) files.</t>
  </si>
  <si>
    <t>0022-4065</t>
  </si>
  <si>
    <t>2575-6230</t>
  </si>
  <si>
    <t>J QUAL TECHNOL</t>
  </si>
  <si>
    <t>J. Qual. Technol.</t>
  </si>
  <si>
    <t>10.1080/00224065.2016.11918148</t>
  </si>
  <si>
    <t>Engineering, Industrial; Operations Research &amp; Management Science; Statistics &amp; Probability</t>
  </si>
  <si>
    <t>Engineering; Operations Research &amp; Management Science; Mathematics</t>
  </si>
  <si>
    <t>DL7MQ</t>
  </si>
  <si>
    <t>WOS:000375825200001</t>
  </si>
  <si>
    <t>Straková, J; Pártlová, P; Dobrovic, J; Váchal, J</t>
  </si>
  <si>
    <t>Strakova, J.; Partlova, P.; Dobrovic, J.; Vachal, J.</t>
  </si>
  <si>
    <t>SITUATIONAL ANALYSIS AND ITS ROLE IN THE PROCESS OF STRATEGIC BUSINESS MANAGEMENT</t>
  </si>
  <si>
    <t>situational analysis; value potential; methods of management</t>
  </si>
  <si>
    <t>The paper focuses on the purpose and the role of methods of situation analysis, including managerial methods used as strategic tools in the management of enterprises for the formulation and development of corporate strategies. The research started in 2016 on a test group of 456 enterprises from the Czech Republic which included all size categories. Mathematical and statistical methods were used (methods of dimension reduction and generalized linear model) to analyze and to evaluate the importance of a strategic situation analysis, including managerial methods, in the process of generation of a corporate strategy in comparison with a corporate value potential, and to identify impact on their competitiveness and sustainability in the current market environment. The decisive activities for manufacturing and industrial enterprises include scientific and technical development and input logistics; in the services sector, the decisive activities are marketing, management of material and after-sale servicing. Profitability and competitiveness in the primary sector are most significantly influenced by output logistics and services. The value chain has been proved to strongly influence economic results and profitability but a generally presented opinion has not been confirmed about the importance, necessity and universal character of internal and external strategic analyses for formulation and development of a corporate strategy.</t>
  </si>
  <si>
    <t>[Strakova, J.; Partlova, P.; Dobrovic, J.; Vachal, J.] Inst Technol &amp; Business Ceske Budejovice, Dept Management, Ceske Budejovice, Czech Republic</t>
  </si>
  <si>
    <t>strakova@mail.vstecb.cz; partlova@mail.vstecb.cz; 24574@mail.vstecb.cz; vachal@mail.vstecb.cz</t>
  </si>
  <si>
    <t>Dobrovič, Ján/AAG-8258-2021; Pártlová, Petra/AAF-2516-2021; Straková, Jarmila/ABE-8222-2020; Dobrovic, Jan/E-2828-2014</t>
  </si>
  <si>
    <t>Pártlová, Petra/0000-0003-2404-6073; Dobrovic, Jan/0000-0002-0637-106X</t>
  </si>
  <si>
    <t>10.17512/pjms.2018.18.1.26</t>
  </si>
  <si>
    <t>HJ8KG</t>
  </si>
  <si>
    <t>WOS:000457447600026</t>
  </si>
  <si>
    <t>Flores, H; Villalobos, JR</t>
  </si>
  <si>
    <t>Flores, Hector; Villalobos, J. Rene</t>
  </si>
  <si>
    <t>A stochastic planning framework for the discovery of complementary, agricultural systems</t>
  </si>
  <si>
    <t>EUROPEAN JOURNAL OF OPERATIONAL RESEARCH</t>
  </si>
  <si>
    <t>OR in agriculture; Decision support systems; Two-stage stochastic model; Stochastic decomposition algorithm; Supply chain management</t>
  </si>
  <si>
    <t>SUPPLY CHAIN MANAGEMENT; MODELS</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</si>
  <si>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(C) 2019 Elsevier B.V. All rights reserved.</t>
  </si>
  <si>
    <t>[Flores, Hector; Villalobos, J. Rene] Arizona State Univ, Int Logist &amp; Prod Improvement Lab, 900 S McAllister Ave, Tempe, AZ 85287 USA; [Flores, Hector] 513 W 17th St, Tempe, AZ 85281 USA</t>
  </si>
  <si>
    <t>Arizona State University; Arizona State University-Tempe</t>
  </si>
  <si>
    <t>Villalobos, JR (corresponding author), Arizona State Univ, Int Logist &amp; Prod Improvement Lab, 900 S McAllister Ave, Tempe, AZ 85287 USA.</t>
  </si>
  <si>
    <t>rene.villalobos@asu.edu</t>
  </si>
  <si>
    <t>Villalobos, Jesus Rene/F-8010-2010</t>
  </si>
  <si>
    <t>Villalobos, Jesus Rene/0000-0003-2530-9760</t>
  </si>
  <si>
    <t>0377-2217</t>
  </si>
  <si>
    <t>1872-6860</t>
  </si>
  <si>
    <t>EUR J OPER RES</t>
  </si>
  <si>
    <t>Eur. J. Oper. Res.</t>
  </si>
  <si>
    <t>JAN 16</t>
  </si>
  <si>
    <t>10.1016/j.ejor.2019.07.053</t>
  </si>
  <si>
    <t>JC0VK</t>
  </si>
  <si>
    <t>WOS:000488997700022</t>
  </si>
  <si>
    <t>Yeo, SZ; How, BS; Ngan, SL; Ng, WPQ; Leong, WD; Lim, CH; Lam, HL</t>
  </si>
  <si>
    <t>Yeo, Shi Zhuan; How, Bing Shen; Ngan, Sue Lin; Ng, Wendy P. Q.; Leong, Wei Dong; Lim, Chun Hsion; Lam, Hon Loong</t>
  </si>
  <si>
    <t>An integrated approach to prioritise parameters for multi-objective optimisation: A case study of biomass network</t>
  </si>
  <si>
    <t>Multi-objective optimisation; Principal component analysis; Analytical network process; Integrated approach</t>
  </si>
  <si>
    <t>PRINCIPAL COMPONENT ANALYSIS; SUPPLY CHAIN; DECISION-MAKING; DESIGN</t>
  </si>
  <si>
    <t>Decision-making can be a complicated task when contradicting factors have to be considered and the complication is extended when qualitative factor is to be included. Mathematical approaches have been developed to generate a range of solutions for optimal decision to be made. In this work, Principal Component Analysis (PCA) and Analytic Network Process (ANP) are employed to develop sets of optimal decisional parameters which consider both the quantitative and qualitative inputs. PCA is a multivariate statistical tool that has been widely used for dimension reduction and to identify the importance of parameter based on its variation. However, this prioritisation method overlooks the customised needs of the decision-makers. ANP is an approach that is capable of deriving the priority weightages of a set of parameters based on the importance, influence power and dependency relationship of the elements. In order to achieve an optimal solution, max-min aggregation fuzzy technique is applied onto the solution sets to tighten the range of possible solutions and to determine an optimal variable which fits the multi -objective considered. A theoretical case study is presented to demonstrate the application of the proposed two-stage methodology. The demonstration proposes an effective approach to generate a narrowed range of optimal solutions that considers both quantitative and qualitative elements for decision-making. (C) 2020 Elsevier Ltd. All rights reserved.</t>
  </si>
  <si>
    <t>[Yeo, Shi Zhuan; Ng, Wendy P. Q.] Curtin Univ Malaysia, Dept Chem, CDT 250, Sarawak 98009, Malaysia; [How, Bing Shen] Swinburne Univ Technol Sarawak, Res Ctr Sustainable Technol, Fac Engn Comp &amp; Sci, Jalan Simpang Tiga, Sarawak 93350, Malaysia; [Ngan, Sue Lin] Univ Kebangsaan Malaysia, UKM Grad Sch Business, Ukm Bangi 43600, Selangor, Malaysia; [Leong, Wei Dong; Lam, Hon Loong] Univ Nottingham, Dept Chem Engn, Malaysia Campus,Jalan Broga, Semenyih 43500, Selangor, Malaysia; [Lim, Chun Hsion] Univ Tunku Abdul Rahman, Dept Chem Engn, Jalan Sungai Long, Kajang 43000, Selangor, Malaysia</t>
  </si>
  <si>
    <t>Curtin University Malaysia; Swinburne University of Technology Sarawak; Universiti Kebangsaan Malaysia; University of Nottingham Malaysia; Universiti Tunku Abdul Rahman (UTAR)</t>
  </si>
  <si>
    <t>Ng, WPQ (corresponding author), Curtin Univ Malaysia, Dept Chem, CDT 250, Sarawak 98009, Malaysia.</t>
  </si>
  <si>
    <t>bshow@swinburne.edu.my; suelin.ngan@ukm.edu.my; wendyngpq@curtin.edu.my; ebxwl1@nottingham.edu.my; chlim@utar.edu.my; honloong.lam@nottingham.edu.my</t>
  </si>
  <si>
    <t>Ngan, Sue Lin/AAK-4484-2020; Lim, Chun Hsion/GNH-4444-2022; how, bing shen/L-2469-2019</t>
  </si>
  <si>
    <t>Lim, Chun Hsion/0000-0001-5224-6676; how, bing shen/0000-0002-0969-9167; Ngan, Sue Lin/0000-0002-0300-9364</t>
  </si>
  <si>
    <t>NOV 20</t>
  </si>
  <si>
    <t>10.1016/j.jclepro.2020.123053</t>
  </si>
  <si>
    <t>OC8KF</t>
  </si>
  <si>
    <t>WOS:000579404800011</t>
  </si>
  <si>
    <t>Villegas, MA; Pedregal, DJ; Trapero, JR</t>
  </si>
  <si>
    <t>Villegas, Marco A.; Pedregal, Diego J.; Trapero, Juan R.</t>
  </si>
  <si>
    <t>A support vector machine for model selection in demand forecasting applications</t>
  </si>
  <si>
    <t>Demand forecasting; Supply chain; SVM; Time series analysis; Model selection</t>
  </si>
  <si>
    <t>DIMENSIONALITY REDUCTION; SERIES; IDENTIFICATION; CLASSIFICATION; VALIDATION</t>
  </si>
  <si>
    <t>Time series forecasting has been an active research area for decades, receiving considerable attention from very different domains, such as econometrics, statistics, engineering, mathematics, medicine and social sciences. Moreover, with the emergence of the big data era, the automatic identification with the appropriate techniques remains an intermediate compulsory stage of any big data implementation with predictive analytics purposes. Extensive research on model selection and combination has revealed the benefits of such techniques in terms of forecast accuracy and reliability. Several criteria for model selection have been proposed and used for decades with very good results. Akaike information criterion and Schwarz Bayesian criterion are two of the most popular criteria. However, research on the combination of several criteria along with other sources of information in a unified methodology remains scarce. This study proposes a new model selection approach that combines different criteria using a support vector machine (SVM). Given a set of candidate models, rather than considering any individual criterion, an SVM is trained at each forecasting origin to select the best model. This methodology will be particularly interesting for scenarios with highly volatile demand because it allows changing the model when it does not fit the data sufficiently well, thereby reducing the risk of misusing modeling techniques in the automatic processing of large datasets. The effects of the proposed approach are empirically explored using a set of representative forecasting methods and a dataset of 229 weekly demand series from a leading household and personal care manufacturer in the UK. Our findings suggest that the proposed approach results in more robust predictions with lower mean forecasting error and biases than base forecasts.</t>
  </si>
  <si>
    <t>[Villegas, Marco A.; Pedregal, Diego J.] Univ Castilla La Mancha, ETSI Ind, Dept Business Adm, E-13071 Ciudad Real, Spain; [Trapero, Juan R.] Univ Castilla La Mancha, Fac Chem Sci &amp; Technol, Dept Business Adm, E-13071 Ciudad Real, Spain</t>
  </si>
  <si>
    <t>Universidad de Castilla-La Mancha; Universidad de Castilla-La Mancha</t>
  </si>
  <si>
    <t>Villegas, MA (corresponding author), Univ Castilla La Mancha, ETSI Ind, Dept Business Adm, E-13071 Ciudad Real, Spain.</t>
  </si>
  <si>
    <t>marco.villegas@uclm.es</t>
  </si>
  <si>
    <t>Trapero, Juan R/B-1527-2013; Pedregal, Diego J./AAA-4467-2019; Pedregal, Diego J. J/G-2164-2015</t>
  </si>
  <si>
    <t>Pedregal, Diego J./0000-0003-4958-0969; Pedregal, Diego J. J/0000-0003-4958-0969; trapero, juan/0000-0002-5879-3133</t>
  </si>
  <si>
    <t>European Regional Development Fund; Spanish Government (MINECO/FEDER, UE) [DPI2015-64133-R]; Vicerrectorado de Investigacion y Politica Cientifica from UCLM by DOCM [2014/10340]</t>
  </si>
  <si>
    <t>European Regional Development Fund(European Union (EU)); Spanish Government (MINECO/FEDER, UE)(Spanish Government); Vicerrectorado de Investigacion y Politica Cientifica from UCLM by DOCM</t>
  </si>
  <si>
    <t>This work was supported by the European Regional Development Fund and Spanish Government (MINECO/FEDER, UE) under the project with reference DPI2015-64133-R and by the Vicerrectorado de Investigacion y Politica Cientifica from UCLM by DOCM 31/07/2014 [2014/10340].</t>
  </si>
  <si>
    <t>10.1016/j.cie.2018.04.042</t>
  </si>
  <si>
    <t>GL3VD</t>
  </si>
  <si>
    <t>Green Submitted</t>
  </si>
  <si>
    <t>WOS:000437070400001</t>
  </si>
  <si>
    <t>Liu, JD; Hwang, S; Yund, W; Neidig, JD; Hartford, SM; Boyle, LN; Banerjee, AG</t>
  </si>
  <si>
    <t>Liu, Jundi; Hwang, Steven; Yund, Walter; Neidig, Joel D.; Hartford, Scott M.; Boyle, Linda Ng; Banerjee, Ashis G.</t>
  </si>
  <si>
    <t>A Predictive Analytics Tool to Provide Visibility Into Completion of Work Orders in Supply Chain Systems</t>
  </si>
  <si>
    <t>JOURNAL OF COMPUTING AND INFORMATION SCIENCE IN ENGINEERING</t>
  </si>
  <si>
    <t>data-driven engineering; engineering informatics; machine learning for engineering applications; manufacturing planning</t>
  </si>
  <si>
    <t>PERFORMANCE; IMPACT; USABILITY</t>
  </si>
  <si>
    <t>In current supply chain operations, original equipment manufacturers (OEMs) procure parts from hundreds of globally distributed suppliers, which are often small- and medium-scale enterprises (SMEs). The SMEs also obtain parts from many other dispersed suppliers, some of whom act as sole sources of critical parts, leading to the creation of complex supply chain networks. These characteristics necessitate having a high degree of visibility into the flow of parts through the networks to facilitate decision making for OEMs and SMEs, alike. However, such visibility is typically restricted in real-world operations due to limited information exchange among the buyers and suppliers. Therefore, we need an alternate mechanism to acquire this kind of visibility, particularly for critical prediction problems, such as purchase orders deliveries and sales orders fulfillments, together referred as work orders completion times. In this paper, we present one such surrogate mechanism in the form of supervised learning, where ensembles of decision trees are trained on historical transactional data. Furthermore, since many of the predictors are categorical variables, we apply a dimension reduction method to identify the most influential category levels. Results on real-world supply chain data show effective performance with substantially lower prediction errors than the original completion time estimates. In addition, we develop a web-based visibility tool to facilitate the real-time use of the prediction models. We also conduct a structured usability test to customize the tool interface. The testing results provide multiple helpful suggestions on enhancing the ease-of-use of the tool.</t>
  </si>
  <si>
    <t>[Liu, Jundi; Hwang, Steven] Univ Washington, Ind &amp; Syst Engn, Seattle, WA 98195 USA; [Yund, Walter] Gen Elect Global Res, Niskayuna, NY 12309 USA; [Neidig, Joel D.; Hartford, Scott M.] Indiana Technol &amp; Mfg Co, Plymouth 46563, IN, England; [Boyle, Linda Ng] Univ Washington, Ind &amp; Syst Engn, Civil &amp; Environm Engn, Seattle, WA 98195 USA; [Banerjee, Ashis G.] Univ Washington, Ind &amp; Syst Engn, Mech Engn, Seattle, WA 98195 USA</t>
  </si>
  <si>
    <t>University of Washington; University of Washington Seattle; General Electric; University of Washington; University of Washington Seattle; University of Washington; University of Washington Seattle</t>
  </si>
  <si>
    <t>Banerjee, AG (corresponding author), Univ Washington, Ind &amp; Syst Engn, Mech Engn, Seattle, WA 98195 USA.</t>
  </si>
  <si>
    <t>jundiliu@uw.edu; hwang216@uw.edu; yund@ge.com; jdneidig@itamco.com; smhartford@itamco.com; linda@uw.edu; ashisb@uw.edu</t>
  </si>
  <si>
    <t>Lopes, Mariana f/IAR-3054-2023; Banerjee, Ashis G/AAA-7040-2020</t>
  </si>
  <si>
    <t>Banerjee, Ashis G/0000-0001-5898-7563</t>
  </si>
  <si>
    <t>Digital Manufacturing and Design Innovation Institute (DMDII) through the UI Labs [0220160028]</t>
  </si>
  <si>
    <t>Digital Manufacturing and Design Innovation Institute (DMDII) through the UI Labs</t>
  </si>
  <si>
    <t>This work is supported by the Digital Manufacturing and Design Innovation Institute (DMDII) through the UI Labs Contract Number 0220160028.</t>
  </si>
  <si>
    <t>ASME</t>
  </si>
  <si>
    <t>TWO PARK AVE, NEW YORK, NY 10016-5990 USA</t>
  </si>
  <si>
    <t>1530-9827</t>
  </si>
  <si>
    <t>1944-7078</t>
  </si>
  <si>
    <t>J COMPUT INF SCI ENG</t>
  </si>
  <si>
    <t>J. Comput. Inf. Sci. Eng.</t>
  </si>
  <si>
    <t>JUN 1</t>
  </si>
  <si>
    <t>10.1115/1.4046135</t>
  </si>
  <si>
    <t>Computer Science, Interdisciplinary Applications; Engineering, Manufacturing</t>
  </si>
  <si>
    <t>LS9FH</t>
  </si>
  <si>
    <t>WOS:000536683900003</t>
  </si>
  <si>
    <t>Tayal, A; Solanki, A; Kondal, R; Nayyar, A; Tanwar, S; Kumar, N</t>
  </si>
  <si>
    <t>Tayal, Akash; Solanki, Arun; Kondal, Richa; Nayyar, Anand; Tanwar, Sudeep; Kumar, Neeraj</t>
  </si>
  <si>
    <t>Blockchain-based efficient communication for food supply chain industry: Transparency and traceability analysis for sustainable business</t>
  </si>
  <si>
    <t>INTERNATIONAL JOURNAL OF COMMUNICATION SYSTEMS</t>
  </si>
  <si>
    <t>blockchain; food supply chain; MICMAC; PCA; TISM</t>
  </si>
  <si>
    <t>RADIO-FREQUENCY IDENTIFICATION; SUCCESS FACTORS; RFID TECHNOLOGY; CHALLENGES; FRAMEWORK; IMPACTS; SYSTEM; AI</t>
  </si>
  <si>
    <t>In recent years, blockchain (BC) networks have expanded to a broad spectrum of fields. They have garnered significant attention due to their feature of creating secure private and public networks in a decentralized manner. The traditional FSC fails to meet the customer requirements of quality, safety, reliability, transparency, and traceability. This paper proposes a novel 3-stage methodology using principal component analysis (PCA), total iterative structural modeling (TISM), and Matrice d'Impacts Croises Multiplication Appliquee a un Classement (MICMAC) analysis to develop an integrated BC with the food supply chain (FSC). The existing literature was surveyed and industry experts' opinion was gathered and various critical success factors (CSF) were identified which are associated with FSC and BC. The data collected from experts were then evaluated for data consistency and dimension reduction through PCA. The dimensionally reduced data set was analyzed by TISM and MICMAC analysis. TISM and MICMAC analysis categorizes the enabler factors according to their hierarchical level and is used to label or distinguish between dependence and driving power. The integrated methodology found nine CSFs, namely, transparent system, fraud detect, inventory management with tracking, scalability, secure system, cost reduction, safe and quality food, customer satisfaction, and government regulations, which are the main drivers for the FSC business. The paper integrates information technology, Blockchain, with operation management, supply chain. The proposed model overcomes the limitation associated with FSC and will motivate the academia and industry to adopt and achieve efficient and effective goals in this field of FSC.</t>
  </si>
  <si>
    <t>[Tayal, Akash; Kondal, Richa] Indira Gandhi Delhi Tech Univ Women, Dept Elect &amp; Commun, Delhi, India; [Solanki, Arun] Gautam Buddha Univ, Sch ICT, Greater Noida, India; [Nayyar, Anand] Duy Tan Univ, Grad Sch, Da Nang, Vietnam; [Nayyar, Anand] Duy Tan Univ, Fac Informat Technol, Da Nang, Vietnam; [Tanwar, Sudeep] Nirma Univ, Inst Technol, Dept CSE, Ahmadabad 382481, Gujarat, India; [Kumar, Neeraj] Thapar Inst Engn &amp; Technol, Dept Comp Sci &amp; Engn, Patiala, Punjab, India; [Kumar, Neeraj] Asia Univ, Dept Comp Sci &amp; Informat Engn, Taichung, Taiwan; [Kumar, Neeraj] King Abdulaziz Univ, Dept Comp Sci, Jeddah, Saudi Arabia</t>
  </si>
  <si>
    <t>Indira Gandhi Delhi Technical University for Women (IGDTUW); Gautam Buddha University; Duy Tan University; Duy Tan University; Nirma University; Thapar Institute of Engineering &amp; Technology; Asia University Taiwan; King Abdulaziz University</t>
  </si>
  <si>
    <t>Tanwar, S (corresponding author), Nirma Univ, Inst Technol, Dept CSE, Ahmadabad 382481, Gujarat, India.</t>
  </si>
  <si>
    <t>sudeep.tanwar@nirmauni.ac.in</t>
  </si>
  <si>
    <t>Tanwar, Sudeep/AAI-6709-2020; Nayyar, Anand/F-3732-2015; Kumar, Neeraj/L-3500-2016</t>
  </si>
  <si>
    <t>Tanwar, Sudeep/0000-0002-1776-4651; Nayyar, Anand/0000-0002-9821-6146; Kumar, Neeraj/0000-0002-3020-3947; solanki, Arun/0000-0002-4359-406X</t>
  </si>
  <si>
    <t>1074-5351</t>
  </si>
  <si>
    <t>1099-1131</t>
  </si>
  <si>
    <t>INT J COMMUN SYST</t>
  </si>
  <si>
    <t>Int. J. Commun. Syst.</t>
  </si>
  <si>
    <t>MAR 10</t>
  </si>
  <si>
    <t>e4696</t>
  </si>
  <si>
    <t>10.1002/dac.4696</t>
  </si>
  <si>
    <t>DEC 2020</t>
  </si>
  <si>
    <t>Engineering, Electrical &amp; Electronic; Telecommunications</t>
  </si>
  <si>
    <t>Engineering; Telecommunications</t>
  </si>
  <si>
    <t>QF7HF</t>
  </si>
  <si>
    <t>WOS:000596430600001</t>
  </si>
  <si>
    <t>Croci, M; Impollonia, G; Meroni, M; Amaducci, S</t>
  </si>
  <si>
    <t>Croci, Michele; Impollonia, Giorgio; Meroni, Michele; Amaducci, Stefano</t>
  </si>
  <si>
    <t>Dynamic Maize Yield Predictions Using Machine Learning on Multi-Source Data</t>
  </si>
  <si>
    <t>REMOTE SENSING</t>
  </si>
  <si>
    <t>Sentinel-2; yield prediction; phenology; machine learning; multi-source data; dimensionality reduction</t>
  </si>
  <si>
    <t>WINTER-WHEAT; CORN YIELD; TEMPORAL RESOLUTION; GAUSSIAN-PROCESSES; VEGETATION INDEX; DECISION-SUPPORT; CROSS-VALIDATION; TIME-SERIES; MODIS DATA; PHENOLOGY</t>
  </si>
  <si>
    <t>Timely yield prediction is crucial for the agri-food supply chain as a whole. However, different stakeholders in the agri-food sector require different levels of accuracy and lead times in which a yield prediction should be available. For the producers, predictions during the growing season are essential to ensure that information is available early enough for the timely implementation of agronomic decisions, while industries can wait until later in the season to optimize their production process and increase their production traceability. In this study, we used machine learning algorithms, dynamic and static predictors, and a phenology approach to determine the time for issuing the yield prediction. In addition, the effect of data reduction was evaluated by comparing results obtained with and without principal component analysis (PCA). Gaussian process regression (GPR) was the best for predicting maize yield. Its best performance (nRMSE of 13.31%) was obtained late in the season and with the full set of predictors (vegetation indices, meteorological and soil predictors). In contrast, neural network (NNET) and support vector machines linear basis function (SVMl) achieved their best accuracy with only vegetation indices and at the tasseling phenological stage. Only slight differences in performance were observed between the algorithms considered, highlighting that the main factors influencing performance are the timing of the yield prediction and the predictors with which the machine learning algorithms are fed. Interestingly, PCA was instrumental in increasing the performances of NNET after this stage. An additional benefit of the application of PCA was the overall reduction between 12 and 30.20% in the standard deviation of the maize yield prediction performance from the leave one-year outer-loop cross-validation, depending on the feature set.</t>
  </si>
  <si>
    <t>[Croci, Michele; Impollonia, Giorgio; Amaducci, Stefano] Univ Cattolica Sacro Cuore, Dept Sustainable Crop Prod, I-29122 Piacenza, Italy; [Croci, Michele; Impollonia, Giorgio; Amaducci, Stefano] Univ Cattolica Sacro Cuore, Remote Sensing &amp; Spatial Anal Res Ctr CRAST, I-29122 Piacenza, Italy; [Meroni, Michele] European Commiss, Joint Res Ctr JRC, Via E Fermi 2749, I-21027 Ispra, Italy</t>
  </si>
  <si>
    <t>Catholic University of the Sacred Heart; Catholic University of the Sacred Heart; European Commission Joint Research Centre; EC JRC ISPRA Site</t>
  </si>
  <si>
    <t>Croci, M (corresponding author), Univ Cattolica Sacro Cuore, Remote Sensing &amp; Spatial Anal Res Ctr CRAST, I-29122 Piacenza, Italy.</t>
  </si>
  <si>
    <t>michele.croci@unicatt.it</t>
  </si>
  <si>
    <t>Impollonia, Giorgio/0000-0002-9878-6595; Croci, Michele/0000-0001-7356-2774</t>
  </si>
  <si>
    <t>2072-4292</t>
  </si>
  <si>
    <t>REMOTE SENS-BASEL</t>
  </si>
  <si>
    <t>Remote Sens.</t>
  </si>
  <si>
    <t>10.3390/rs15010100</t>
  </si>
  <si>
    <t>Environmental Sciences; Geosciences, Multidisciplinary; Remote Sensing; Imaging Science &amp; Photographic Technology</t>
  </si>
  <si>
    <t>Environmental Sciences &amp; Ecology; Geology; Remote Sensing; Imaging Science &amp; Photographic Technology</t>
  </si>
  <si>
    <t>7P3WG</t>
  </si>
  <si>
    <t>WOS:000908639300001</t>
  </si>
  <si>
    <t>Zhang, X; Du, KJ; Zhan, ZH; Kwong, S; Gu, TL; Zhang, J</t>
  </si>
  <si>
    <t>Zhang, Xin; Du, Ke-Jing; Zhan, Zhi-Hui; Kwong, Sam; Gu, Tian-Long; Zhang, Jun</t>
  </si>
  <si>
    <t>Cooperative Coevolutionary Bare-Bones Particle Swarm Optimization With Function Independent Decomposition for Large-Scale Supply Chain Network Design With Uncertainties</t>
  </si>
  <si>
    <t>IEEE TRANSACTIONS ON CYBERNETICS</t>
  </si>
  <si>
    <t>Uncertainty; Maintenance engineering; Particle swarm optimization; Optimization; Encoding; Supply chains; Computer science; Bare-bones particle swarm optimization (BBPSO); cooperative coevolution (CC); large-scale supply chain network design under uncertainties (LUSCND)</t>
  </si>
  <si>
    <t>MANAGEMENT; ALGORITHMS; MODEL</t>
  </si>
  <si>
    <t>Supply chain network design (SCND) is a complicated constrained optimization problem that plays a significant role in the business management. This article extends the SCND model to a large-scale SCND with uncertainties (LUSCND), which is more practical but also more challenging. However, it is difficult for traditional approaches to obtain the feasible solutions in the large-scale search space within the limited time. This article proposes a cooperative coevolutionary bare-bones particle swarm optimization (CCBBPSO) with function independent decomposition (FID), called CCBBPSO-FID, for a multiperiod three-echelon LUSCND problem. For the large-scale issue, binary encoding of the original model is converted to integer encoding for dimensionality reduction, and a novel FID is designed to efficiently decompose the problem. For obtaining the feasible solutions, two repair methods are designed to repair the infeasible solutions that appear frequently in the LUSCND problem. A step translation method is proposed to deal with the variables out of bounds, and a labeled reposition operator with adaptive probabilities is designed to repair the infeasible solutions that violate the constraints. Experiments are conducted on 405 instances with three different scales. The results show that CCBBPSO-FID has an evident superiority over contestant algorithms.</t>
  </si>
  <si>
    <t>[Zhang, Xin; Du, Ke-Jing; Zhan, Zhi-Hui] South China Univ Technol, Sch Comp Sci &amp; Engn, Guangzhou 510006, Peoples R China; [Zhang, Xin; Du, Ke-Jing; Zhan, Zhi-Hui] South China Univ Technol, State Key Lab Subtrop Bldg Sci, Guangzhou 510006, Peoples R China; [Zhang, Xin; Du, Ke-Jing; Zhan, Zhi-Hui] Guangdong Prov Key Lab Computat Intelligence &amp; Cy, Guangzhou 510006, Peoples R China; [Kwong, Sam] City Univ Hong Kong, Dept Comp Sci, Hong Kong, Peoples R China; [Gu, Tian-Long] Guilin Univ Elect Technol, Sch Comp Sci &amp; Engn, Guilin 541004, Peoples R China; [Zhang, Jun] Victoria Univ, Melbourne, Vic 8001, Australia</t>
  </si>
  <si>
    <t>South China University of Technology; South China University of Technology; City University of Hong Kong; Guilin University of Electronic Technology; Victoria University</t>
  </si>
  <si>
    <t>Zhan, ZH (corresponding author), South China Univ Technol, Sch Comp Sci &amp; Engn, Guangzhou 510006, Peoples R China.;Zhang, J (corresponding author), Victoria Univ, Melbourne, Vic 8001, Australia.</t>
  </si>
  <si>
    <t>zhanapollo@163.com; junzhang@ieee.org</t>
  </si>
  <si>
    <t>Zhang, jun/E-9359-2011; Kwong, Sam/C-9319-2012; Zhan, Zhi-Hui/B-4014-2011</t>
  </si>
  <si>
    <t>Zhang, jun/0000-0001-7835-9871; Kwong, Sam/0000-0001-7484-7261; Zhan, Zhi-Hui/0000-0003-0862-0514</t>
  </si>
  <si>
    <t>Outstanding Youth Science Foundation [61822602]; National Natural Science Foundation of China [61772207, 61873097]; Guangdong Natural Science Foundation Research Team [2018B030312003]; Guangdong-Hong Kong Joint Innovation Platform [2018B050502006]; Hong Kong GRF-RGC General Research Fund [9042489, CityU 11206317]</t>
  </si>
  <si>
    <t>Outstanding Youth Science Foundation; National Natural Science Foundation of China(National Natural Science Foundation of China (NSFC)); Guangdong Natural Science Foundation Research Team; Guangdong-Hong Kong Joint Innovation Platform; Hong Kong GRF-RGC General Research Fund</t>
  </si>
  <si>
    <t>This work was supported in part by the Outstanding Youth Science Foundation under Grant 61822602, in part by the National Natural Science Foundation of China under Grant 61772207 and Grant 61873097, in part by the Guangdong Natural Science Foundation Research Team under Grant 2018B030312003, in part by the Guangdong-Hong Kong Joint Innovation Platform under Grant 2018B050502006, and in part by the Hong Kong GRF-RGC General Research Fund 9042489 under Grant CityU 11206317. This article was recommended by Associate Editor Y. Tan.</t>
  </si>
  <si>
    <t>2168-2267</t>
  </si>
  <si>
    <t>2168-2275</t>
  </si>
  <si>
    <t>IEEE T CYBERNETICS</t>
  </si>
  <si>
    <t>IEEE T. Cybern.</t>
  </si>
  <si>
    <t>10.1109/TCYB.2019.2937565</t>
  </si>
  <si>
    <t>Automation &amp; Control Systems; Computer Science, Artificial Intelligence; Computer Science, Cybernetics</t>
  </si>
  <si>
    <t>Automation &amp; Control Systems; Computer Science</t>
  </si>
  <si>
    <t>NT0EM</t>
  </si>
  <si>
    <t>Green Accepted, hybrid</t>
  </si>
  <si>
    <t>WOS:000572625500022</t>
  </si>
  <si>
    <t>Bandyopadhyay, S; Thakur, SS; Mandal, JK</t>
  </si>
  <si>
    <t>Bandyopadhyay, Soma; Thakur, S. S.; Mandal, J. K.</t>
  </si>
  <si>
    <t>Product recommendation for e-commerce business by applying principal component analysis (PCA) andK-means clustering: benefit for the society</t>
  </si>
  <si>
    <t>INNOVATIONS IN SYSTEMS AND SOFTWARE ENGINEERING</t>
  </si>
  <si>
    <t>E-commerce; Principal component analysis; K-Means clustering; Supply chain management; Stock keeping unit; Recommendation systems</t>
  </si>
  <si>
    <t>SYSTEM</t>
  </si>
  <si>
    <t>Recommender system is a computer-based intelligent technique which facilitates the customers to fulfill their purchase requirements. In addition to this, it also helps retailers to manage the supply chain of their business and to develop different business strategies keeping in pace with the current market. Supply chain management (SCM) involves the streamlining of a business's supply-side activities to remain competitive in the business landscape. Maximizing the customer value is another important activity of SCM to gain an advantage in the market. In this work, theK-Means clustering algorithm has been used for the effective segmentation of customers who have bought apparel items. PCA has been used for dimensionality reduction of different features of products and customers. The main focus of this work is to determine the different possible associations of customers in terms of brand, product, and price from their purchase habits. The result shows that the clusters made by the algorithm based on PCA andK-Means are similar and the results are acceptable on the basis of feedback received from existing customers and satisfies the customers' requirements based on the amount of money (price range) the customers want to spend while doing online shopping. The features of products purchased by customers were combined together to generate a unique product key for business, and a model was prepared to segment products based on the volume of products sold and revenue generated, and the price of products sold and revenue generated. This work, in the long run, will help business houses to build a sustainable, profitable, and scalable e-commerce business. Environmental, social, and economic aspects are important to make e-commerce more sustainable for the benefit of the society.</t>
  </si>
  <si>
    <t>[Bandyopadhyay, Soma; Thakur, S. S.] MCKV Inst Engn, Howrah, W Bengal, India; [Mandal, J. K.] Univ Kalyani, Nadia, W Bengal, India</t>
  </si>
  <si>
    <t>Kalyani University</t>
  </si>
  <si>
    <t>Thakur, SS (corresponding author), MCKV Inst Engn, Howrah, W Bengal, India.</t>
  </si>
  <si>
    <t>somabanmuk@yahoo.co.in; subroto_thakur@yahoo.com; jkm.cse@gmail.com</t>
  </si>
  <si>
    <t>Thakur, Subro/ABE-8559-2021; Bandyopadhyay, Soma/ABE-8143-2021; Mandal, Jyotsna Kumar/H-5724-2018</t>
  </si>
  <si>
    <t>Bandyopadhyay, Soma/0000-0002-5987-3119; Mandal, Jyotsna Kumar/0000-0001-9447-647X</t>
  </si>
  <si>
    <t>SPRINGER LONDON LTD</t>
  </si>
  <si>
    <t>236 GRAYS INN RD, 6TH FLOOR, LONDON WC1X 8HL, ENGLAND</t>
  </si>
  <si>
    <t>1614-5046</t>
  </si>
  <si>
    <t>1614-5054</t>
  </si>
  <si>
    <t>INNOV SYST SOFTW ENG</t>
  </si>
  <si>
    <t>Innov. Syst. Softw. Eng.</t>
  </si>
  <si>
    <t>10.1007/s11334-020-00372-5</t>
  </si>
  <si>
    <t>Computer Science, Software Engineering</t>
  </si>
  <si>
    <t>QH3ZL</t>
  </si>
  <si>
    <t>WOS:000562678600001</t>
  </si>
  <si>
    <t>Farquharson, N; Mageto, J; Makan, H</t>
  </si>
  <si>
    <t>Farquharson, Nadine; Mageto, Joash; Makan, Hemisha</t>
  </si>
  <si>
    <t>Effect of internet of things on road freight industry</t>
  </si>
  <si>
    <t>JOURNAL OF TRANSPORT AND SUPPLY CHAIN MANAGEMENT</t>
  </si>
  <si>
    <t>internet of things; IoT technologies; road freight; visibility; regression analysis</t>
  </si>
  <si>
    <t>IOT APPLICATIONS; CHALLENGES; VISION</t>
  </si>
  <si>
    <t>Background: Evolution in global supply chain has created numerous complexities especially in the transportation of freight. Some of the complexities include ever increasing operational cost, long lead-times, limited end-to-end visibility and raw material supply disruptions because of adverse weather conditions. To improve processes and keep abreast of competition, it is vital for businesses to leverage their operations on current technologies. Internet of things (IoT) technology is one of the innovative technologies that can bring about radical transformations to freight transportation. Despite the promising capabilities of IoT, research on its application and effect on road freight sector in developing economies is scanty. Objectives: The purpose of this article is to establish the likely effect of IoT on the road freight sector. This article identifies IoT technologies used in road freight and establishes the relationship between the drivers and benefits of implementing IoT technologies. Method: Structured questionnaires were sent to employees working within the road freight industry within South Africa. The data were subjected to factor analysis for dimension reduction. Regression analysis helped to establish the relationship between drivers and benefits of IoT. Results: The benefits of IoT were operational effectiveness and improved decision making. The drivers of implementing IoT were identified as asset visibility and the need for real-time information sharing. The main effect of IoT on road freight sector is increased asset visibility. The challenges impeding implementation of IoT include high cost of installation, skills gap, fear of hacking and cyberattacks. Conclusion: Road freight transport managers are advised that IoT can be a strategic tool that uses smart sensor technologies that provide visibility of assets to reduce operational costs and improve decision making. The article contributes to logistics management literature by enumerating the IoT technologies used in the road freight sector in South Africa. It also highlights that IoT provides end-to-end visibility resulting in improved decision-making for optimal operations.</t>
  </si>
  <si>
    <t>[Farquharson, Nadine; Mageto, Joash; Makan, Hemisha] Univ Johannesburg, Fac Business &amp; Econ, Dept Transports &amp; Supply Chain, Johannesburg, South Africa</t>
  </si>
  <si>
    <t>Makan, H (corresponding author), Univ Johannesburg, Fac Business &amp; Econ, Dept Transports &amp; Supply Chain, Johannesburg, South Africa.</t>
  </si>
  <si>
    <t>hemisham@uj.ac.za</t>
  </si>
  <si>
    <t>Makan, Hemisha/0000-0003-3252-4813</t>
  </si>
  <si>
    <t>AOSIS</t>
  </si>
  <si>
    <t>CAPE TOWN</t>
  </si>
  <si>
    <t>POSTNET SUITE 55, PRIVATE BAG X22, TYGERVALLEY, CAPE TOWN, 00000, SOUTH AFRICA</t>
  </si>
  <si>
    <t>2310-8789</t>
  </si>
  <si>
    <t>1995-5235</t>
  </si>
  <si>
    <t>J TRANSP SUPPLY CHAI</t>
  </si>
  <si>
    <t>J. Transp. Supply Chain Manag.</t>
  </si>
  <si>
    <t>NOV 12</t>
  </si>
  <si>
    <t>a581</t>
  </si>
  <si>
    <t>10.4102/jtscm.v15i0.581</t>
  </si>
  <si>
    <t>XD0VZ</t>
  </si>
  <si>
    <t>WOS:000722431200001</t>
  </si>
  <si>
    <t>Straková, J; Rajiani, I; Pártlová, P; Váchal, J; Dobrovic, J</t>
  </si>
  <si>
    <t>Strakova, Jarmila; Rajiani, Ismi; Partlova, Petra; Vachal, Jan; Dobrovic, Jan</t>
  </si>
  <si>
    <t>Use of the Value Chain in the Process of Generating a Sustainable Business Strategy on the Example of Manufacturing and Industrial Enterprises in the Czech Republic</t>
  </si>
  <si>
    <t>value chain; business strategy; profitability; competitiveness; sustainability; competitive advantage</t>
  </si>
  <si>
    <t>DIMENSION REDUCTION; MANAGEMENT; FORCES</t>
  </si>
  <si>
    <t>This paper presents a method of generating a business strategy using value chain analysis. There were 186 manufacturing and industrial enterprises from the Czech Republic. The analysis was carried out using mathematical-statistical methods (dimensional reduction, logit regression and its transformation in order to objectify the opinion level of the managers) and with a neural network in terms of validation of the results of the mathematical-statistical methods. The aim was to determine the significance of different parts of the value chain in terms of their impact on the profitability of an enterprise and to demonstrate its important role in the process of generating business strategy. The significance for the profitability of the enterprises was statistically proven in the area of scientific and technological development, input logistics and human resource management. These parts were identified by the authors as the golden triangle of manufacturing and industry. Purchasing and output logistics were identified as the parts with a negative impact to the profitability of the enterprises. Strong underestimation of scientific and technological development by the top managers of the manufacturing and industrial enterprises is seen as a very negative finding. Neural networks showed higher statistical sensitivity compared to the mathematical-statistical methods (dimensional reduction and logit regression). They defined the value sector chain with the following structure (ranked from the highest degree of positive impact on the profitability of the enterprise): human resource management, scientific and technological development, production, input logistics, purchasing, material management, output logistics, enterprise infrastructure, marketing and sales, service and other supporting services. In conclusion, it is stated that the sector value chain of manufacturing and industrial enterprises will be further decomposed into value chain models of specific industries of the production and industry, such as engineering and construction, intended for direct use in different business entities to generate their unique value chains and corporate strategies.</t>
  </si>
  <si>
    <t>[Strakova, Jarmila; Partlova, Petra; Vachal, Jan; Dobrovic, Jan] Inst Technol &amp; Business Ceske Budejovice, Dept Management, Fac Corp Strategy, Okruzni 517-10, Ceske Budejovice 37001, Czech Republic; [Rajiani, Ismi] Univ Muhammadiyah Gresik, Dept Management, Fac Econ &amp; Business, Jl Sumatra 101, Gresik 61121, Jawa Timur, Indonesia</t>
  </si>
  <si>
    <t>Institute of Technology &amp; Business, Ceske Budejovice; Universitas Muhammadiyah Gresik</t>
  </si>
  <si>
    <t>Straková, J (corresponding author), Inst Technol &amp; Business Ceske Budejovice, Dept Management, Fac Corp Strategy, Okruzni 517-10, Ceske Budejovice 37001, Czech Republic.;Rajiani, I (corresponding author), Univ Muhammadiyah Gresik, Dept Management, Fac Econ &amp; Business, Jl Sumatra 101, Gresik 61121, Jawa Timur, Indonesia.</t>
  </si>
  <si>
    <t>strakova@mail.vstecb.cz; ismi.rajiani@umg.ac.id; partlova@mail.vstecb.cz; vachal@mail.vstecb.cz; 24574@mail.vstecb.cz</t>
  </si>
  <si>
    <t>Pártlová, Petra/AAF-2516-2021; Straková, Jarmila/ABE-8222-2020; Rajiani, Ismi/L-9195-2019; Dobrovič, Ján/AAG-8258-2021</t>
  </si>
  <si>
    <t>Pártlová, Petra/0000-0003-2404-6073; Rajiani, Ismi/0000-0002-4316-0501;</t>
  </si>
  <si>
    <t>Technology Agency of the Czech Republic, programme of ETA [TL01000349]</t>
  </si>
  <si>
    <t>Technology Agency of the Czech Republic, programme of ETA</t>
  </si>
  <si>
    <t>This research was funded by Technology Agency of the Czech Republic, programme of ETA, project reg. no. TL01000349 -Stabilization and development of SME in rural areas.</t>
  </si>
  <si>
    <t>FEB 2</t>
  </si>
  <si>
    <t>10.3390/su12041520</t>
  </si>
  <si>
    <t>KY3GT</t>
  </si>
  <si>
    <t>WOS:000522460200238</t>
  </si>
  <si>
    <t>Kong, FH; Li, J</t>
  </si>
  <si>
    <t>Kong, Fanhui; Li, Jian</t>
  </si>
  <si>
    <t>The promotion strategy of supply chain flexibility based on deep belief network</t>
  </si>
  <si>
    <t>APPLIED INTELLIGENCE</t>
  </si>
  <si>
    <t>Supply chain flexibility; Deep belief network; Restricted Boltzmann Machine; Promotion strategy</t>
  </si>
  <si>
    <t>CONCEPTUAL-MODEL; DEMAND; RELIABILITY; UNCERTAINTY; LOGISTICS; AGILITY</t>
  </si>
  <si>
    <t>Supply chain flexibility is the processing ability of the enterprize to deal with the uncertain environment of supply and demand. In this paper, we consider the supply side (node interrupt) and demand side (demand fluctuations) under uncertain environment. By using the deep belief network (DBN), which is composed of multilayer Restricted Boltzmann Machine (RBM), it establishes the supply chain flexibility network with optimization of the transfer node and flow. The deep belief network is trained by the data of large manufacturing enterprize, compared with the traditional neural network (MLR, BP and GA). The results show that the deep belief network model overcomes the shortcomings of the traditional neural networks, such as easy to fall into local optimum, long training time and low function fitting degree, and it has higher prediction accuracy. This network model based on the deep belief network can promote the supply chain flexibility more, when supply and demand fluctuations occur.</t>
  </si>
  <si>
    <t>[Kong, Fanhui; Li, Jian] Tianjin Univ Technol, Sch Management, Tianjin, Peoples R China; [Li, Jian] Tianjin Univ, Coll Management &amp; Econ, Tianjin, Peoples R China</t>
  </si>
  <si>
    <t>Tianjin University of Technology; Tianjin University</t>
  </si>
  <si>
    <t>Kong, FH (corresponding author), Tianjin Univ Technol, Sch Management, Tianjin, Peoples R China.</t>
  </si>
  <si>
    <t>kfh0609@yahoo.com</t>
  </si>
  <si>
    <t>Key projects for the Chinese Ministry of Education [15JZD021]; Tianjin higher education innovation team training program [TD12-5013]</t>
  </si>
  <si>
    <t>Key projects for the Chinese Ministry of Education; Tianjin higher education innovation team training program</t>
  </si>
  <si>
    <t>This work was partially supported by Key projects for the Chinese Ministry of Education (No. 15JZD021), and Tianjin higher education innovation team training program (No. TD12-5013).</t>
  </si>
  <si>
    <t>0924-669X</t>
  </si>
  <si>
    <t>1573-7497</t>
  </si>
  <si>
    <t>APPL INTELL</t>
  </si>
  <si>
    <t>Appl. Intell.</t>
  </si>
  <si>
    <t>10.1007/s10489-018-1138-x</t>
  </si>
  <si>
    <t>Computer Science, Artificial Intelligence</t>
  </si>
  <si>
    <t>GB9NS</t>
  </si>
  <si>
    <t>WOS:000429401100022</t>
  </si>
  <si>
    <t>Amellal, A; Amellal, I; Seghiouer, H; Ech-Charrat, MR</t>
  </si>
  <si>
    <t>Amellal, Asmae; Amellal, Issam; Seghiouer, Hamid; Ech-Charrat, Mohammed Rida</t>
  </si>
  <si>
    <t>Improving Lead Time Forecasting and Anomaly Detection for Automotive Spare Parts with A Combined CNN-LSTM Approach</t>
  </si>
  <si>
    <t>OPERATIONS AND SUPPLY CHAIN MANAGEMENT-AN INTERNATIONAL JOURNAL</t>
  </si>
  <si>
    <t>convolution neural network; anomaly detection; forecasting; long-term short memory; one class support vector machine; supply chain management</t>
  </si>
  <si>
    <t>NETWORKS; DEMAND</t>
  </si>
  <si>
    <t>This paper presents a solution to a challenge faced in the supply chain management of a spare parts distributor with a dispersed global supply network and local distribution network in Morocco. The problem is a lack of accurate lead time information, leading to difficulties in meeting customer demand. The proposed solution is a framework using an LSTM (Long Short Term Memory) model for lead time forecasting and anomaly detection. The framework combines CNN (Convolution neural network)-Bidirectional LSTM model for forecasting and an LSTM autoencoder with One -Class Support Vector Machine for anomaly detection. The data was obtained from a legal ERP system of a major automotive distributor in Morocco. The results show that the framework is effective in overcoming the lead time information issue, and the relevance of the methods used has been verified via precise performance indicators, such as the RMSE (Root of the mean of the square of the errors) testifying to the accuracy of the results and also through comparison with other models.</t>
  </si>
  <si>
    <t>[Amellal, Asmae; Seghiouer, Hamid; Ech-Charrat, Mohammed Rida] Lab Modeling Optimizat Ind &amp; Logist Syst Mosil, Ensa Tetouan, Morocco; [Amellal, Issam] Lab Modeling Optimizat Ind &amp; Logist Syst Mosil, Ensa Berrchid, Morocco</t>
  </si>
  <si>
    <t>Amellal, A (corresponding author), Lab Modeling Optimizat Ind &amp; Logist Syst Mosil, Ensa Tetouan, Morocco.</t>
  </si>
  <si>
    <t>asmae.amellal57@gmail.com; amellal.issam@gmail.com; hseghiouer@gmail.com; charrat.mohammed@uae.ac.ma</t>
  </si>
  <si>
    <t>OSCM FORUM</t>
  </si>
  <si>
    <t>BALI</t>
  </si>
  <si>
    <t>OSCM FORUM, BALI, 00000, INDONESIA</t>
  </si>
  <si>
    <t>1979-3561</t>
  </si>
  <si>
    <t>2579-9363</t>
  </si>
  <si>
    <t>OPER SUPPLY CHAIN MA</t>
  </si>
  <si>
    <t>Oper. Supply Chain Manag.</t>
  </si>
  <si>
    <t>K9MJ9</t>
  </si>
  <si>
    <t>WOS:001019601500009</t>
  </si>
  <si>
    <t>Lin, RH; Chuang, CL; Liou, JJH; Wu, GD</t>
  </si>
  <si>
    <t>Lin, Rong-Ho; Chuang, Chun-Ling; Liou, James J. H.; Wu, Guo-Dong</t>
  </si>
  <si>
    <t>An integrated method for finding key suppliers in SCM</t>
  </si>
  <si>
    <t>EXPERT SYSTEMS WITH APPLICATIONS</t>
  </si>
  <si>
    <t>Data mining; Association rule; Set theory; Supply chain management; Supplier selection</t>
  </si>
  <si>
    <t>VENDOR SELECTION; SYSTEM</t>
  </si>
  <si>
    <t>Association rule is a widely used data mining technique that searches through an entire data set for rules revealing the nature and frequency of relationships or associations between data entities. Supplier selection is a significant work in supply chain management. Often, there will be thousands of potential suppliers and identifying a subset of these suppliers can be a complex process of determining a satisfactory subset based on a number of factors. In this paper, the Supplier selection can be viewed as the problem of mining a large database of shipment. The proposed method incorporates the extended association rule algorithm of data mining with that of set theory to find key suppliers. This research has employed a numerical example for the integrated method to develop suitable supplier clusters. The results Show that the method is effective and applicable. (C) 2008 Elsevier Ltd. All rights reserved.</t>
  </si>
  <si>
    <t>[Chuang, Chun-Ling] Kainan Univ, Dept Informat Management, Tao Yuan 338, Taiwan; [Lin, Rong-Ho; Wu, Guo-Dong] Natl Taipei Univ Technol, Dept Business Management, Taipei 106, Taiwan; [Liou, James J. H.] Kainan Univ, Dept Air Transportat, Tao Yuan 338, Taiwan</t>
  </si>
  <si>
    <t>Nan Kai University Technology; National Taipei University of Technology; Nan Kai University Technology</t>
  </si>
  <si>
    <t>Chuang, CL (corresponding author), Kainan Univ, Dept Informat Management, 1 Kainan Rd, Tao Yuan 338, Taiwan.</t>
  </si>
  <si>
    <t>rhlin@ntut.edu.tw; clchuang@mail.knu.edu.tw</t>
  </si>
  <si>
    <t>Liou, James/0000-0002-6918-6048</t>
  </si>
  <si>
    <t>National Science Council of Taiwan [NSC-94-2213-E424-002]; Lein-Young Semiconductor Company in the Hsin-Chu Science Park of Taiwan</t>
  </si>
  <si>
    <t>National Science Council of Taiwan(Ministry of Science and Technology, Taiwan); Lein-Young Semiconductor Company in the Hsin-Chu Science Park of Taiwan</t>
  </si>
  <si>
    <t>The research was supported from two sources. Research Grant was supported from the Research Project No. NSC-94-2213-E424-002 of National Science Council of Taiwan. The research data was supported by Lein-Young Semiconductor Company in the Hsin-Chu Science Park of Taiwan.</t>
  </si>
  <si>
    <t>0957-4174</t>
  </si>
  <si>
    <t>1873-6793</t>
  </si>
  <si>
    <t>EXPERT SYST APPL</t>
  </si>
  <si>
    <t>Expert Syst. Appl.</t>
  </si>
  <si>
    <t>10.1016/j.eswa.2008.07.078</t>
  </si>
  <si>
    <t>Computer Science, Artificial Intelligence; Engineering, Electrical &amp; Electronic; Operations Research &amp; Management Science</t>
  </si>
  <si>
    <t>Computer Science; Engineering; Operations Research &amp; Management Science</t>
  </si>
  <si>
    <t>413UD</t>
  </si>
  <si>
    <t>WOS:000263817100087</t>
  </si>
  <si>
    <t>Zhao, SP; You, FQ</t>
  </si>
  <si>
    <t>Zhao, Shipu; You, Fengqi</t>
  </si>
  <si>
    <t>Distributionally robust chance constrained programming with generative adversarial networks (GANs)</t>
  </si>
  <si>
    <t>AICHE JOURNAL</t>
  </si>
  <si>
    <t>data-driven method; deep learning; distributionally robust chance-constrained programming; generative adversarial network; supply chain optimization</t>
  </si>
  <si>
    <t>SUPPLY CHAIN MANAGEMENT; BIG DATA; STOCHASTIC-MODEL; DECISION-MAKING; RISK-MANAGEMENT; PROCESS DESIGN; BATCH PLANTS; OPTIMIZATION; UNCERTAINTY; ALGORITHM</t>
  </si>
  <si>
    <t>This paper presents a novel deep learning based data-driven optimization method. A novel generative adversarial network (GAN) based data-driven distributionally robust chance constrained programming framework is proposed. GAN is applied to fully extract distributional information from historical data in a nonparametric and unsupervised way without a priori approximation or assumption. Since GAN utilizes deep neural networks, complicated data distributions and modes can be learned, and it can model uncertainty efficiently and accurately. Distributionally robust chance constrained programming takes into consideration ambiguous probability distributions of uncertain parameters. To tackle the computational challenges, sample average approximation method is adopted, and the required data samples are generated by GAN in an end-to-end way through the differentiable networks. The proposed framework is then applied to supply chain optimization under demand uncertainty. The applicability of the proposed approach is illustrated through a county-level case study of a spatially explicit biofuel supply chain in Illinois.</t>
  </si>
  <si>
    <t>[Zhao, Shipu; You, Fengqi] Cornell Univ, Syst Engn, Ithaca, NY 14853 USA; [You, Fengqi] Cornell Univ, Robert Frederick Smith Sch Chem &amp; Biomol Engn, Ithaca, NY USA</t>
  </si>
  <si>
    <t>Cornell University; Cornell University</t>
  </si>
  <si>
    <t>You, FQ (corresponding author), Cornell Univ, Syst Engn, Ithaca, NY 14853 USA.</t>
  </si>
  <si>
    <t>fengqi.you@cornell.edu</t>
  </si>
  <si>
    <t>You, Fengqi/B-5040-2011</t>
  </si>
  <si>
    <t>You, Fengqi/0000-0001-9609-4299</t>
  </si>
  <si>
    <t>0001-1541</t>
  </si>
  <si>
    <t>1547-5905</t>
  </si>
  <si>
    <t>AICHE J</t>
  </si>
  <si>
    <t>AICHE J.</t>
  </si>
  <si>
    <t>e16963</t>
  </si>
  <si>
    <t>10.1002/aic.16963</t>
  </si>
  <si>
    <t>NQ9ND</t>
  </si>
  <si>
    <t>WOS:000522070400001</t>
  </si>
  <si>
    <t>Nguyen, HD; Tran, KP; Thomassey, S; Hamad, M</t>
  </si>
  <si>
    <t>Nguyen, H. D.; Tran, K. P.; Thomassey, S.; Hamad, M.</t>
  </si>
  <si>
    <t>Forecasting and Anomaly Detection approaches using LSTM and LSTM Autoencoder techniques with the applications in supply chain management</t>
  </si>
  <si>
    <t>INTERNATIONAL JOURNAL OF INFORMATION MANAGEMENT</t>
  </si>
  <si>
    <t>Autoencoder; Long short term memory networks; Anomaly detection; One-class SVM; Forecasting</t>
  </si>
  <si>
    <t>Making appropriate decisions is indeed a key factor to help companies facing challenges from supply chains nowadays. In this paper, we propose two data-driven approaches that allow making better decisions in supply chain management. In particular, we suggest a Long Short Term Memory (LSTM) network-based method for forecasting multivariate time series data and an LSTM Autoencoder network-based method combined with a one-class support vector machine algorithm for detecting anomalies in sales. Unlike other approaches, we recommend combining external and internal company data sources for the purpose of enhancing the performance of forecasting algorithms using multivariate LSTM with the optimal hyperparameters. In addition, we also propose a method to optimize hyperparameters for hybrid algorithms for detecting anomalies in time series data. The proposed approaches will be applied to both benchmarking datasets and real data in fashion retail. The obtained results show that the LSTM Autoencoder based method leads to better performance for anomaly detection compared to the LSTM based method suggested in a previous study. The proposed forecasting method for multivariate time series data also performs better than some other methods based on a dataset provided by NASA.</t>
  </si>
  <si>
    <t>[Nguyen, H. D.] Dong A Univ, Inst Artificial Intelligence &amp; Data Sci, Da Nang, Vietnam; [Nguyen, H. D.; Tran, K. P.; Thomassey, S.] ENSAIT, GEMTEX, Lab Genie &amp; Mat Text, F-59000 Lille, France; [Hamad, M.] CEO Driven, 54 Rue Norbert Segard, F-59510 Hem, France</t>
  </si>
  <si>
    <t>Universite de Lille - ISITE; Universite de Lille; Ecole Nationale Superieure des Arts et Industries Textiles (ENSAIT)</t>
  </si>
  <si>
    <t>Tran, KP (corresponding author), ENSAIT, GEMTEX, Lab Genie &amp; Mat Text, F-59000 Lille, France.</t>
  </si>
  <si>
    <t>kim-phuc.tran@ensait.fr</t>
  </si>
  <si>
    <t>Tran, Kim Phuc/I-8365-2019</t>
  </si>
  <si>
    <t>Tran, Kim Phuc/0000-0002-6005-1497; Thomassey, Sebastien/0000-0002-5556-7173</t>
  </si>
  <si>
    <t>0268-4012</t>
  </si>
  <si>
    <t>1873-4707</t>
  </si>
  <si>
    <t>INT J INFORM MANAGE</t>
  </si>
  <si>
    <t>Int. J. Inf. Manage.</t>
  </si>
  <si>
    <t>10.1016/j.ijinfomgt.2020.102282</t>
  </si>
  <si>
    <t>FEB 2021</t>
  </si>
  <si>
    <t>Information Science &amp; Library Science</t>
  </si>
  <si>
    <t>QI2LP</t>
  </si>
  <si>
    <t>Green Submitted, hybrid</t>
  </si>
  <si>
    <t>Y</t>
  </si>
  <si>
    <t>N</t>
  </si>
  <si>
    <t>WOS:000618806300014</t>
  </si>
  <si>
    <t>Ren, L; Jia, ZD; Laili, Y; Huang, D</t>
  </si>
  <si>
    <t>Ren, Lei; Jia, Zidi; Laili, Yuanjun; Huang, Di</t>
  </si>
  <si>
    <t>Deep Learning for Time-Series Prediction in IIoT: Progress, Challenges, and Prospects</t>
  </si>
  <si>
    <t>IEEE TRANSACTIONS ON NEURAL NETWORKS AND LEARNING SYSTEMS</t>
  </si>
  <si>
    <t>Deep learning; industrial intelligence; Industrial Internet of Things (IIoT); neural network; time-series prediction</t>
  </si>
  <si>
    <t>GENERATIVE ADVERSARIAL NETWORK; CONVOLUTIONAL NEURAL-NETWORK; USEFUL LIFE PREDICTION; FAULT-DIAGNOSIS; DENOISING AUTOENCODER; QUALITY PREDICTION; FEATURE-EXTRACTION; BIG DATA; INDUSTRIAL; EDGE</t>
  </si>
  <si>
    <t>Time-series prediction plays a crucial role in the Industrial Internet of Things (IIoT) to enable intelligent process control, analysis, and management, such as complex equipment maintenance, product quality management, and dynamic process monitoring. Traditional methods face challenges in obtaining latent insights due to the growing complexity of IIoT. Recently, the latest development of deep learning provides innovative solutions for IIoT time-series prediction. In this survey, we analyze the existing deep learning-based time-series prediction methods and present the main challenges of time-series prediction in IIoT. Furthermore, we propose a framework of state-of-the-art solutions to overcome the challenges of time-series prediction in IIoT and summarize its application in practical scenarios, such as predictive maintenance, product quality prediction, and supply chain management. Finally, we conclude with comments on possible future directions for the development of time-series prediction to enable extensible knowledge mining for complex tasks in IIoT.</t>
  </si>
  <si>
    <t>[Ren, Lei; Jia, Zidi; Laili, Yuanjun] Beihang Univ, Sch Automat Sci &amp; Elect Engn, Beijing 100191, Peoples R China; [Ren, Lei; Laili, Yuanjun] Zhongguancun Lab, Beijing 100094, Peoples R China; [Ren, Lei; Laili, Yuanjun] State Key Lab Intelligent Mfg Syst Technol, Beijing 100854, Peoples R China; [Huang, Di] Beihang Univ, Sch Comp Sci &amp; Engn, Beijing 100191, Peoples R China</t>
  </si>
  <si>
    <t>Beihang University; Zhongguancun Laboratory; Beihang University</t>
  </si>
  <si>
    <t>Ren, L; Jia, ZD (corresponding author), Beihang Univ, Sch Automat Sci &amp; Elect Engn, Beijing 100191, Peoples R China.</t>
  </si>
  <si>
    <t>renlei@buaa.edu.cn; jiazidi@buaa.edu.cn; lailiyuanjun@buaa.edu.cn; dhuang@buaa.edu.cn</t>
  </si>
  <si>
    <t>Huang, Di/JBJ-3541-2023</t>
  </si>
  <si>
    <t>Huang, Di/0000-0001-7877-7301; Jia, Zidi/0000-0002-3746-7742</t>
  </si>
  <si>
    <t>National Science Foundation of China [62225302, 92167108, 62173023]</t>
  </si>
  <si>
    <t>National Science Foundation of China(National Natural Science Foundation of China (NSFC))</t>
  </si>
  <si>
    <t>&amp; nbsp;This work was supported by the National Science Foundation of China under Project 62225302, Project 92167108, and Project 62173023.&amp; nbsp;</t>
  </si>
  <si>
    <t>2162-237X</t>
  </si>
  <si>
    <t>2162-2388</t>
  </si>
  <si>
    <t>IEEE T NEUR NET LEAR</t>
  </si>
  <si>
    <t>IEEE Trans. Neural Netw. Learn. Syst.</t>
  </si>
  <si>
    <t>2023 JUL 11</t>
  </si>
  <si>
    <t>10.1109/TNNLS.2023.3291371</t>
  </si>
  <si>
    <t>Computer Science, Artificial Intelligence; Computer Science, Hardware &amp; Architecture; Computer Science, Theory &amp; Methods; Engineering, Electrical &amp; Electronic</t>
  </si>
  <si>
    <t>M5MN4</t>
  </si>
  <si>
    <t>WOS:001030658200001</t>
  </si>
  <si>
    <t>Kang, YX; Chen, G; Wang, H; Pan, WP; Wei, XK</t>
  </si>
  <si>
    <t>Kang, Yuxiang; Chen, Guo; Wang, Hao; Pan, Wenping; Wei, Xunkai</t>
  </si>
  <si>
    <t>Dual-input anomaly detection method based on deep reinforcement learning</t>
  </si>
  <si>
    <t>STRUCTURAL HEALTH MONITORING-AN INTERNATIONAL JOURNAL</t>
  </si>
  <si>
    <t>Deep reinforcement learning; anomaly detection; dual-input deep neural network; unsupervised learning; rolling bearings</t>
  </si>
  <si>
    <t>FAULT-DIAGNOSIS</t>
  </si>
  <si>
    <t>Aiming at the problem of low accuracy of unsupervised learning anomaly detection algorithm, a dual-input anomaly detection method based on deep reinforcement learning was proposed. The proposed model mainly consists of a feature extractor and anomaly detector. Based on the deep reinforcement learning framework, the feature extractor uses a dual-input deep neural network to form the current value network and the target value network, which are used to extract the low-dimensional feature vectors. Based on the 3 &amp; sigma; principle, the reward function of reinforcement learning is designed to reward and punish the output results of the model during training. The model was trained only with the normal data, and the extracted feature vector of the normal class was used as the input of the anomaly detector to complete the learning of the detector. During the test, the input anomaly detection was realized based on the dual-input convolutional neural network, and the anomaly detector was completed by learning. To illustrate the generality and generalization performance of the proposed method, four sets of image data and two sets of rolling bearing fault data in different fields were verified respectively. At the same time, the proposed method is applied to the fault detection of a real aero-engine rolling bearing.The results show that the proposed model has high anomaly detection accuracy, which is superior to the current optimal method.</t>
  </si>
  <si>
    <t>[Kang, Yuxiang; Pan, Wenping] Nanjing Univ Aeronaut &amp; Astronaut, Coll Civil Aviat, Nanjing, Peoples R China; [Chen, Guo] Nanjing Univ Aeronaut &amp; Astronaut, Coll Gen Aviat &amp; Flight, Nanjing, Peoples R China; [Wang, Hao; Wei, Xunkai] Beijing Aeronaut Engn Tech Res Ctr, Beijing, Peoples R China; [Chen, Guo] Nanjing Univ Aeronaut &amp; Astronaut, 29Jiangjun Ave, Nanjing, Jiangsu, Peoples R China</t>
  </si>
  <si>
    <t>Nanjing University of Aeronautics &amp; Astronautics; Nanjing University of Aeronautics &amp; Astronautics; Nanjing University of Aeronautics &amp; Astronautics</t>
  </si>
  <si>
    <t>Chen, G (corresponding author), Nanjing Univ Aeronaut &amp; Astronaut, 29Jiangjun Ave, Nanjing, Jiangsu, Peoples R China.</t>
  </si>
  <si>
    <t>cgnuaacca@163.com</t>
  </si>
  <si>
    <t>National Science and Technology Major Project [J2019-IV-004-0071]; National Natural Science Foundation of China [52272436]</t>
  </si>
  <si>
    <t>National Science and Technology Major Project; National Natural Science Foundation of China(National Natural Science Foundation of China (NSFC))</t>
  </si>
  <si>
    <t>The author(s) disclosed receipt of the following financial support for the research, authorship, and/or publication of this article: This work has been supported by the National Science and Technology Major Project (J2019-IV-004-0071);National Natural Science Foundation of China (52272436).</t>
  </si>
  <si>
    <t>SAGE PUBLICATIONS LTD</t>
  </si>
  <si>
    <t>1 OLIVERS YARD, 55 CITY ROAD, LONDON EC1Y 1SP, ENGLAND</t>
  </si>
  <si>
    <t>1475-9217</t>
  </si>
  <si>
    <t>1741-3168</t>
  </si>
  <si>
    <t>STRUCT HEALTH MONIT</t>
  </si>
  <si>
    <t>Struct. Health Monit.</t>
  </si>
  <si>
    <t>2023 AUG 10</t>
  </si>
  <si>
    <t>10.1177/14759217231188002</t>
  </si>
  <si>
    <t>AUG 2023</t>
  </si>
  <si>
    <t>Engineering, Multidisciplinary; Instruments &amp; Instrumentation</t>
  </si>
  <si>
    <t>Engineering; Instruments &amp; Instrumentation</t>
  </si>
  <si>
    <t>O8TE4</t>
  </si>
  <si>
    <t>WOS:001046479600001</t>
  </si>
  <si>
    <t>He, XF; Ai, XZ; Jing, YW; Liu, YY</t>
  </si>
  <si>
    <t>He, Xuefeng; Ai, Xingzheng; Jing, Yuewu; Liu, Yuanyuan</t>
  </si>
  <si>
    <t>Partner selection of agricultural products supply chain based on data mining</t>
  </si>
  <si>
    <t>CONCURRENCY AND COMPUTATION-PRACTICE &amp; EXPERIENCE</t>
  </si>
  <si>
    <t>agricultural products supply chain; partner selection; data mining</t>
  </si>
  <si>
    <t>CRITERIA</t>
  </si>
  <si>
    <t>Now, with the development of modern business, the traditional competition between enterprises has been displaced by the competition between supply chains. Any incorrect decision from supply chain member may have negative influences on other members or the whole supply chain. Therefore, choosing the appropriate supply chain partners is quite necessary and significant to the supply chain performance improvement because the partners can share risks and benefits with proper contract. Concentrating on the agricultural products supply chain, the supply chain partner selection model and indexes system are put forward in this paper, the clustering and classification analyses of potential supply chain partners are made by data mining technology, and the empirical analysis is made for agricultural products supply chain. This study may provide some insights into supply chain longitudinal governance and guidance for the Chinese agriculture economic development. Copyright (c) 2015 John Wiley &amp; Sons, Ltd.</t>
  </si>
  <si>
    <t>[He, Xuefeng; Ai, Xingzheng] Univ Elect Sci &amp; Technol China, Sch Management &amp; Econ, Chengdu 610054, Peoples R China; [He, Xuefeng] Southwest Univ Sci &amp; Technol, Sch Management &amp; Econ, Mianyang 621000, Peoples R China; [Jing, Yuewu] China Acad Engn Phys, Mianyang 621000, Peoples R China; [Liu, Yuanyuan] Tianjin Univ Commerce, Tianjin 300134, Peoples R China</t>
  </si>
  <si>
    <t>University of Electronic Science &amp; Technology of China; Southwest University of Science &amp; Technology - China; Chinese Academy of Engineering Physics; Tianjin University of Commerce</t>
  </si>
  <si>
    <t>He, XF (corresponding author), Univ Elect Sci &amp; Technol China, Sch Management &amp; Econ, Chengdu 610054, Peoples R China.</t>
  </si>
  <si>
    <t>hxfjyw@163.com</t>
  </si>
  <si>
    <t>liu, yuanyuan/IQS-2755-2023; 穆, 儒/HGC-6534-2022</t>
  </si>
  <si>
    <t>NSFC of China [71372140, 71432003]; Education Department of Sichuan Province [14SB0082]</t>
  </si>
  <si>
    <t>NSFC of China(National Natural Science Foundation of China (NSFC)); Education Department of Sichuan Province</t>
  </si>
  <si>
    <t>This work is funded by the NSFC of China under grants 71372140 and 71432003 and the Education Department of Sichuan Province under grant 14SB0082. [Correction added on 30 November 2015, after first online publication: the grant number was corrected from 14SB0081 to 14SB0082.]</t>
  </si>
  <si>
    <t>1532-0626</t>
  </si>
  <si>
    <t>1532-0634</t>
  </si>
  <si>
    <t>CONCURR COMP-PRACT E</t>
  </si>
  <si>
    <t>Concurr. Comput.-Pract. Exp.</t>
  </si>
  <si>
    <t>MAR 25</t>
  </si>
  <si>
    <t>10.1002/cpe.3625</t>
  </si>
  <si>
    <t>Computer Science, Software Engineering; Computer Science, Theory &amp; Methods</t>
  </si>
  <si>
    <t>DE5BR</t>
  </si>
  <si>
    <t>WOS:000370646300021</t>
  </si>
  <si>
    <t>Kleineidam, J</t>
  </si>
  <si>
    <t>Kleineidam, Julia</t>
  </si>
  <si>
    <t>Distinguishing Organisational Profiles of Food Loss Management in Logistics</t>
  </si>
  <si>
    <t>food loss management; logistics and supply chain management; SMEs; clustering; online survey</t>
  </si>
  <si>
    <t>SUPPLY CHAIN; WASTE; TECHNOLOGY</t>
  </si>
  <si>
    <t>Background: Food loss management (FLM), which is discussed at length in the literature, lacks a scientific basis on which to determine the current engagement of actors in the food value chain and what is relevant to derive appropriate measures according to the circumstances in the organisations concerned. Therefore, this paper aims to derive patterns by which the engagement of actors can be distinguished and, on this basis, to make recommendations for further action. Methods: Based on an online survey of 40 participants, a clustering analysis was conducted using the unsupervised learning method and hierarchical clustering (R and R Studio). Results: Five clusters representing different profiles were derived, showing how actors in the food value chain have addressed FLM in the past. The derived profiles do not represent stages of development but rather characteristics of organisations that have addressed FLM in a certain way in the past. Conclusions: For the five organisational profiles, recommendations for action were given for further engagement with FLM. As the level of engagement with FLM increases, organisations should tackle increasingly complex measures to reduce food losses. At the same time, a shift in measures from the tactical to the strategic planning level was derived.</t>
  </si>
  <si>
    <t>[Kleineidam, Julia] Berlin Univ Technol, Inst Technol &amp; Management, D-10623 Berlin, Germany</t>
  </si>
  <si>
    <t>Technical University of Berlin</t>
  </si>
  <si>
    <t>Kleineidam, J (corresponding author), Berlin Univ Technol, Inst Technol &amp; Management, D-10623 Berlin, Germany.</t>
  </si>
  <si>
    <t>kleineidam@tu-berlin.de</t>
  </si>
  <si>
    <t>Kleineidam, Julia/0000-0001-9568-4086</t>
  </si>
  <si>
    <t>German Research Foundation; Open Access Publication Fund of TU Berlin</t>
  </si>
  <si>
    <t>German Research Foundation(German Research Foundation (DFG)); Open Access Publication Fund of TU Berlin</t>
  </si>
  <si>
    <t>We acknowledge support by the German Research Foundation and the Open Access Publication Fund of TU Berlin.</t>
  </si>
  <si>
    <t>10.3390/logistics6030061</t>
  </si>
  <si>
    <t>4R5OH</t>
  </si>
  <si>
    <t>WOS:000856812700001</t>
  </si>
  <si>
    <t>Rong, ZJ; Yang, ZW; Li, Y; Chen, KS; Dan, BB</t>
  </si>
  <si>
    <t>Rong, Zhijun; Yang, Zhiwei; Li, Ying; Chen, Kuisheng; Dan, Binbin</t>
  </si>
  <si>
    <t>Modular product design based on the supply chain network</t>
  </si>
  <si>
    <t>ADVANCES IN MECHANICAL ENGINEERING</t>
  </si>
  <si>
    <t>Fuzzy clustering; modular product design; supply chain</t>
  </si>
  <si>
    <t>The modular design can shrink production and management costs by quick procession of the specific needs of individual end users. This article presents a modular product design approach to product-oriented supply chain network. The proposed approach first builds a relationship matrix through the functional and structural interaction between the product components. Second, module suppliers are determined by the product module division via fuzzy clustering analysis of the relationship matrix. Third, for the determined suppliers, the supply chain costs and lead time are obtained, which can indicate the pros and cons of the supply network. Thus, proposed optimal product modules are verified through the supply network. A case on refrigerator parts modular is examined by the proposed method.</t>
  </si>
  <si>
    <t>[Rong, Zhijun; Yang, Zhiwei; Li, Ying; Dan, Binbin] Wuhan Univ Sci &amp; Technol, Mech Transmiss &amp; Mfg Engn, Wuhan 430081, Hubei, Peoples R China; [Chen, Kuisheng] Wuhan Univ Sci &amp; Technol, Key Lab Met Equipment &amp; Control Technol, Wuhan, Hubei, Peoples R China</t>
  </si>
  <si>
    <t>Wuhan University of Science &amp; Technology; Wuhan University of Science &amp; Technology</t>
  </si>
  <si>
    <t>Yang, ZW (corresponding author), Wuhan Univ Sci &amp; Technol, Mech Transmiss &amp; Mfg Engn, Wuhan 430081, Hubei, Peoples R China.</t>
  </si>
  <si>
    <t>18164051546@163.com</t>
  </si>
  <si>
    <t>National Science Foundation, China [51175388, 51475340]; Hubei Science and Technology Support Program [2014BAA097]; Wuhan Innovation Team Program of High-Tech Industry [2016070204020160]</t>
  </si>
  <si>
    <t>National Science Foundation, China(National Natural Science Foundation of China (NSFC)); Hubei Science and Technology Support Program; Wuhan Innovation Team Program of High-Tech Industry</t>
  </si>
  <si>
    <t>The author(s) disclosed receipt of the following financial support for the research, authorship, and/or publication of this article: This work was supported in part by the National Science Foundation, China (grant nos 51175388 and 51475340). It was also supported in part by Hubei Science and Technology Support Program (grant no. 2014BAA097) and Wuhan Innovation Team Program of High-Tech Industry (grant no. 2016070204020160).</t>
  </si>
  <si>
    <t>1687-8140</t>
  </si>
  <si>
    <t>ADV MECH ENG</t>
  </si>
  <si>
    <t>Adv. Mech. Eng.</t>
  </si>
  <si>
    <t>OCT 16</t>
  </si>
  <si>
    <t>10.1177/1687814017732308</t>
  </si>
  <si>
    <t>Thermodynamics; Engineering, Mechanical</t>
  </si>
  <si>
    <t>Thermodynamics; Engineering</t>
  </si>
  <si>
    <t>FK0YR</t>
  </si>
  <si>
    <t>WOS:000413207200001</t>
  </si>
  <si>
    <t>Isaka, Y; Shintani, M; Ahmed, F; Inoue, M</t>
  </si>
  <si>
    <t>Isaka, Yuya; Shintani, Michihiro; Ahmed, Foisal; Inoue, Michiko</t>
  </si>
  <si>
    <t>Systematic Unsupervised Recycled Field-Programmable Gate Array Detection</t>
  </si>
  <si>
    <t>IEEE TRANSACTIONS ON DEVICE AND MATERIALS RELIABILITY</t>
  </si>
  <si>
    <t>Field programmable gate arrays; Frequency measurement; Aging; Table lookup; Estimation; Anomaly detection; Systematics; Recycled FPGA detection; ring oscillator; process variation; unsupervised outlier detection; direct density ratio estimation</t>
  </si>
  <si>
    <t>COUNTERFEIT INTEGRATED-CIRCUITS</t>
  </si>
  <si>
    <t>With the expansion of the semiconductor supply chain, the use of recycled field-programmable gate arrays (FPGAs) has become a serious concern. Several methods for detecting recycled FPGAs by analyzing the ring oscillator (RO) frequencies have been proposed; however, most assume the known fresh FPGAs (KFFs) as the training data in machine-learning-based classification. In this study, we propose a novel recycled FPGA detection method based on an unsupervised anomaly detection scheme when there are few or no KFFs available. As the RO frequencies in the neighboring logic blocks on an FPGA are similar because of systematic process variation, our method compares the RO frequencies and does not require KFFs. The proposed method efficiently identifies recycled FPGAs through outlier detection using direct density ratio estimation. Experiments using Xilinx Artix-7 FPGAs demonstrate that the proposed method successfully distinguishes recycled FPGAs from 35 fresh FPGAs. In contrast, a conventional recycled FPGA detection method results in certain misclassification.</t>
  </si>
  <si>
    <t>[Isaka, Yuya; Inoue, Michiko] Nara Inst Sci &amp; Technol, Grad Sch Sci &amp; Technol, Ikoma 6300192, Japan; [Shintani, Michihiro] Kyoto Inst Technol, Dept Elect, Kyoto 6068585, Japan; [Ahmed, Foisal] Tallinn Univ Technol, Dept Comp Syst, EE-12616 Tallinn, Estonia</t>
  </si>
  <si>
    <t>Nara Institute of Science &amp; Technology; Kyoto Institute of Technology; Tallinn University of Technology</t>
  </si>
  <si>
    <t>Shintani, M (corresponding author), Kyoto Inst Technol, Dept Elect, Kyoto 6068585, Japan.</t>
  </si>
  <si>
    <t>isaka.yuya.iw6@is.naist.jp; shintani@kit.ac.jp; kounoe@is.naist.jp</t>
  </si>
  <si>
    <t>Isaka, Yuya/0000-0001-7839-4247; Shintani, Michihiro/0000-0002-1163-096X; Ahmed, Foisal/0000-0001-8109-6929; Inoue, Michiko/0000-0002-9837-5147</t>
  </si>
  <si>
    <t>JSPS KAKENHI [22K11954]</t>
  </si>
  <si>
    <t>JSPS KAKENHI(Ministry of Education, Culture, Sports, Science and Technology, Japan (MEXT)Japan Society for the Promotion of ScienceGrants-in-Aid for Scientific Research (KAKENHI))</t>
  </si>
  <si>
    <t>This work was supported in part by JSPS KAKENHI under Grant 22K11954.</t>
  </si>
  <si>
    <t>1530-4388</t>
  </si>
  <si>
    <t>1558-2574</t>
  </si>
  <si>
    <t>IEEE T DEVICE MAT RE</t>
  </si>
  <si>
    <t>IEEE Trans. Device Mater. Reliab.</t>
  </si>
  <si>
    <t>10.1109/TDMR.2022.3164788</t>
  </si>
  <si>
    <t>Engineering, Electrical &amp; Electronic; Physics, Applied</t>
  </si>
  <si>
    <t>Engineering; Physics</t>
  </si>
  <si>
    <t>1Y3WM</t>
  </si>
  <si>
    <t>WOS:000808073600012</t>
  </si>
  <si>
    <t>Chen, MC; Wu, HP</t>
  </si>
  <si>
    <t>An association-based clustering approach to order batching considering customer demand patterns</t>
  </si>
  <si>
    <t>OMEGA-INTERNATIONAL JOURNAL OF MANAGEMENT SCIENCE</t>
  </si>
  <si>
    <t>warehousing; order batching; data mining; association rule; 0-1 integer programming</t>
  </si>
  <si>
    <t>WAREHOUSING SYSTEMS; AUTOMATED STORAGE; RETRIEVAL-SYSTEM; ALGORITHMS; PICKING</t>
  </si>
  <si>
    <t>Research on warehousing systems has gained interest since the 1980s, reflecting the fact that supply chain management has pursued a demand-driven organization with high product variety, small order sizes, and reliable short response times throughout the Supply chain. This market trend has affected warehouse management and operations tremendously. Order hatching in a warehouse attempts to achieve high-volume order processing operations by consolidating small orders into batches. Order batchine is an essential operation of order processing in which several orders are grouped into batches. This paper describes the development of an order hatching approach based on data mining and integer programming. It is valuable to discover the important associations between orders such that the occurrence of some orders in a batch will cause the occurrence of other orders in the same batch. An order-clustering model based on 0-1 integer programming can be formulated to maximize the associations between orders within each batch. From the results of several test problems, the proposed approach shows its ability to find quality solutions of order batching problems. (c) 2004 Elsevier Ltd. All rights reserved.</t>
  </si>
  <si>
    <t>Natl Taipei Univ Technol, Inst Commerce Automat &amp; Management, Dept Business Management, Taipei 106, Taiwan</t>
  </si>
  <si>
    <t>National Taipei University of Technology</t>
  </si>
  <si>
    <t>Chen, MC (corresponding author), Natl Taipei Univ Technol, Inst Commerce Automat &amp; Management, Dept Business Management, 1,Sect 3,Chung Hsiao E Rd, Taipei 106, Taiwan.</t>
  </si>
  <si>
    <t>bmcchen@ntut.edu.tw</t>
  </si>
  <si>
    <t>0305-0483</t>
  </si>
  <si>
    <t>OMEGA-INT J MANAGE S</t>
  </si>
  <si>
    <t>Omega-Int. J. Manage. Sci.</t>
  </si>
  <si>
    <t>10.1016/j.omega.2004.05.003</t>
  </si>
  <si>
    <t>911VB</t>
  </si>
  <si>
    <t>WOS:000228032900004</t>
  </si>
  <si>
    <t>Song, Z; Kusiak, A</t>
  </si>
  <si>
    <t>Song, Z.; Kusiak, A.</t>
  </si>
  <si>
    <t>Optimising product configurations with a data-mining approach</t>
  </si>
  <si>
    <t>mass customisation; data mining; clustering; association rule algorithm</t>
  </si>
  <si>
    <t>MODULARITY; DESIGN</t>
  </si>
  <si>
    <t>Customers benefit from the ability to select their desired options to configure final products. Manufacturing companies, however, struggle with the dilemma of product diversity and manufacturing complexity. It is important, therefore, for them to capture correlations among the options provided to the customers. In this paper, a data mining approach is applied to manage product diversity and complexity. Rules are extracted from historical sales data and used to form sub-assemblies as well as product configurations. Methods for discovering frequently ordered product sub-assemblies and product configurations from 'if-then' rules are discussed separately. The development of the sub-assemblies and configurations allows for effective management of enterprise resources, contributes to the innovative design of new products, and streamlines manufacturing and supply chain processes. The ideas introduced in this paper are illustrated with examples and an industrial case study.</t>
  </si>
  <si>
    <t>[Song, Z.; Kusiak, A.] Univ Iowa, Dept Mech &amp; Ind Engn, Seamans Ctr 3131, Intelligent Syst Lab, Iowa City, IA 52242 USA</t>
  </si>
  <si>
    <t>University of Iowa</t>
  </si>
  <si>
    <t>Kusiak, A (corresponding author), Univ Iowa, Dept Mech &amp; Ind Engn, Seamans Ctr 3131, Intelligent Syst Lab, Iowa City, IA 52242 USA.</t>
  </si>
  <si>
    <t>andrew-kusiak@uiowa.edu</t>
  </si>
  <si>
    <t>, 宋哲/AAP-9087-2020; Kusiak, Andrew/F-7935-2015</t>
  </si>
  <si>
    <t>Song, Zhe/0000-0003-1002-480X</t>
  </si>
  <si>
    <t>PII 788636183</t>
  </si>
  <si>
    <t>10.1080/00207540701644235</t>
  </si>
  <si>
    <t>406AD</t>
  </si>
  <si>
    <t>WOS:000263266500002</t>
  </si>
  <si>
    <t>Xu, GN; Dong, F; Feng, JW</t>
  </si>
  <si>
    <t>Xu, Guannan; Dong, Fang; Feng, Jiawen</t>
  </si>
  <si>
    <t>Mapping the Technological Landscape of Emerging Industry Value Chain Through a Patent Lens: An Integrated Framework With Deep Learning</t>
  </si>
  <si>
    <t>Patents; Industries; Gallium nitride; Training; Generative adversarial networks; Machine learning; Generators; Deep neural network (DNN); emerging industry; generative adversarial network (GAN); patent auto-lassification; value chain</t>
  </si>
  <si>
    <t>CLASSIFICATION; INNOVATION; AUGMENTATION; KNOWLEDGE; NETWORKS</t>
  </si>
  <si>
    <t>Recent research applies patent autoclassification using machine learning to map the technological landscape of an industry value chain. However, when these methods are applied to emerging industries, the available patent sample data are small-scale and unevenly distributed, which cause overfitting and reduce the accuracy of patent classification. Therefore, this article proposes a framework to map the technological landscape of an emerging industry value chain through patent analysis with deep learning, which integrates a generative adversarial network as a data-augmentation method to overcome the problem of low-quality emerging-industry patent samples, and a deep neural network as a patent classifier. Based on this framework, this article conducts an application case of the 3-D printing industry. The evaluation results show that the integrated framework can effectively classify the patents with small-scale and unevenly distributed sample data, and depict the technological landscape of an emerging industry value chain. This article develops an efficient, reliable framework for patent autoclassification of emerging industries to overcome the lack of high-quality training samples, and it sheds light on the emerging industry value chain analysis with deep learning.</t>
  </si>
  <si>
    <t>[Xu, Guannan; Feng, Jiawen] Beijing Univ Posts &amp; Telecommun, Sch Econ &amp; Management, Beijing 100876, Peoples R China; [Dong, Fang] Tsinghua Univ, Sch Publ Policy &amp; Management, Beijing 100084, Peoples R China</t>
  </si>
  <si>
    <t>Beijing University of Posts &amp; Telecommunications; Tsinghua University</t>
  </si>
  <si>
    <t>Dong, F (corresponding author), Tsinghua Univ, Sch Publ Policy &amp; Management, Beijing 100084, Peoples R China.</t>
  </si>
  <si>
    <t>xuguannan@139.com; dongfang199310@126.com; carmenfung.kk@foxmail.com</t>
  </si>
  <si>
    <t>National Natural Science Foundation of China [71872019, 71974107, 91646102, L1924062, L1824040, L1924058, L1824039, L1724034]; Beijing Natural Science Foundation [9182013]; Beijing Social Science Foundation [17GLC058]; Fundamental Research Funds for the Central Universities [2018XKJC04]; Ministry of Education in China Project of Humanities and Social Sciences [16JDGC011]; CAE Advisory Project Research on the strategy of Manufacturing Power towards 2035 [2019-ZD-9]; National Science and Technology Major Project High-end Numerical Control and Fundamental Manufacturing Equipment [2016ZX04005002]; Chinese Academy of Engineering's China Knowledge Centre for Engineering Sciences an Technology Project [CKCEST-2020-2-5, CKCEST-2019-2-13, CKCEST-2018-1-13, CKCEST-2017-1-10, CKCEST-2015-4-2]; UK-China Industry Academia Partnership Programme [UK-CIAPP\260]; Volvo-supported Green Economy and Sustainable Development Tsinghua University [20153000181]</t>
  </si>
  <si>
    <t>National Natural Science Foundation of China(National Natural Science Foundation of China (NSFC)); Beijing Natural Science Foundation(Beijing Natural Science Foundation); Beijing Social Science Foundation; Fundamental Research Funds for the Central Universities(Fundamental Research Funds for the Central Universities); Ministry of Education in China Project of Humanities and Social Sciences; CAE Advisory Project Research on the strategy of Manufacturing Power towards 2035; National Science and Technology Major Project High-end Numerical Control and Fundamental Manufacturing Equipment; Chinese Academy of Engineering's China Knowledge Centre for Engineering Sciences an Technology Project; UK-China Industry Academia Partnership Programme; Volvo-supported Green Economy and Sustainable Development Tsinghua University</t>
  </si>
  <si>
    <t>This work was supported in part by the National Natural Science Foundation of China under Grant 71872019, Grant 71974107, Grant 91646102, Grant L1924062, Grant L1824040, Grant L1924058, Grant L1824039, and Grant L1724034, in part by the Beijing Natural Science Foundation under Grant 9182013, in part by the Beijing Social Science Foundation under Grant 17GLC058, in part by the Fundamental Research Funds for the Central Universities under Grant 2018XKJC04, in part by the Ministry of Education in China Project of Humanities and Social Sciences under Grant 16JDGC011, in part by the CAE Advisory Project Research on the strategy of Manufacturing Power towards 2035 under Grant 2019-ZD-9, in part by the National Science and Technology Major Project High-end Numerical Control and Fundamental Manufacturing Equipment under Grant 2016ZX04005002, in part by the Chinese Academy of Engineering's China Knowledge Centre for Engineering Sciences an Technology Project under Grant CKCEST-2020-2-5, Grant CKCEST-2019-2-13, Grant CKCEST-2018-1-13, Grant CKCEST-2017-1-10, and Grant CKCEST-2015-4-2, in part by the UK-China Industry Academia Partnership Programme under Grant UK-CIAPP\260, and in part by the Volvo-supported Green Economy and Sustainable Development Tsinghua University under Grant 20153000181. Review of this manuscript was arranged by Department Editor F. Tietze.</t>
  </si>
  <si>
    <t>10.1109/TEM.2020.3041933</t>
  </si>
  <si>
    <t>5Y1MO</t>
  </si>
  <si>
    <t>WOS:000879054100069</t>
  </si>
  <si>
    <t>Shukla, V; Naim, MM; Thornhill, NF</t>
  </si>
  <si>
    <t>Shukla, Vinaya; Naim, Mohamed M.; Thornhill, Nina F.</t>
  </si>
  <si>
    <t>Rogue seasonality detection in supply chains</t>
  </si>
  <si>
    <t>Supply chain management; Rogue seasonality; Data mining; Time series; Simulation</t>
  </si>
  <si>
    <t>TIME-SERIES DATA; BULLWHIP; BEHAVIOR</t>
  </si>
  <si>
    <t>Rogue seasonality or unintended cyclic variability in order and other supply chain variables is an endogenous disturbance generated by a company's internal processes such as inventory and production control systems. The ability to automatically detect, diagnose and discriminate rogue seasonality from exogenous disturbances is of prime importance to decision makers. This paper compares the effectiveness of alternative time series techniques based on Fourier and discrete wavelet transforms, autocorrelation and cross correlation functions and autoregressive model in detecting rogue seasonality. Rogue seasonalities of various intensities were generated using different simulation designs and demand patterns to evaluate each of these techniques. An index for rogue seasonality, based on the clustering profile of the supply chain variables was defined and used in the evaluation. The Fourier transform technique was found to be the most effective for rogue seasonality detection, which was also subsequently validated using data from a steel supply network. (C) 2012 Elsevier B.V. All rights reserved.</t>
  </si>
  <si>
    <t>[Shukla, Vinaya] Middlesex Univ, Sch Business, Dept Business &amp; Management, London NW4 4BT, England; [Naim, Mohamed M.] Cardiff Business Sch, Cardiff, S Glam, Wales; [Thornhill, Nina F.] Univ London Imperial Coll Sci Technol &amp; Med, Dept Chem Engn, Ctr Proc Syst Engn, London SW7 2AZ, England</t>
  </si>
  <si>
    <t>Middlesex University; Cardiff University; Imperial College London</t>
  </si>
  <si>
    <t>Shukla, V (corresponding author), Middlesex Univ, Sch Business, Dept Business &amp; Management, London NW4 4BT, England.</t>
  </si>
  <si>
    <t>v.shukla@mdx.ac.uk; naimmm@cardiff.ac.uk; n.thornhill@imperial.ac.uk</t>
  </si>
  <si>
    <t>Thornhill, Nina F/C-1755-2008</t>
  </si>
  <si>
    <t>Thornhill, Nina F/0000-0001-5604-8335</t>
  </si>
  <si>
    <t>10.1016/j.ijpe.2012.03.026</t>
  </si>
  <si>
    <t>969BM</t>
  </si>
  <si>
    <t>Green Accepted, Green Published</t>
  </si>
  <si>
    <t>WOS:000306030700003</t>
  </si>
  <si>
    <t>Ralph, D; Li, YJ; Wills, G; Green, NG</t>
  </si>
  <si>
    <t>Ralph, David; Li, Yunjia; Wills, Gary; Green, Nicolas G.</t>
  </si>
  <si>
    <t>Recommendations from cold starts in big data</t>
  </si>
  <si>
    <t>COMPUTING</t>
  </si>
  <si>
    <t>Recommender systems; Information retrieval; Data mining; Sparse data; Partially labelled data</t>
  </si>
  <si>
    <t>This paper examines the challenging problem of new user cold starts in subset labelled and extremely sparsely labelled big data. We introduce a new Isle of Wight Supply Chain (IWSC) dataset demonstrating these characteristics. We also introduce a new technique addressing these challenges, the Transitive Semantic Relationships (TSR) model, which infers potential relationships from user and item text content and few labelled examples. We perform both implicit and explicit evaluation of TSR as a recommender system and from new user cold starts we achieve a hit-rate@10 of 77% on a collection of 630 items with only 376 supply-chain consumer labels, and 67% with only 142 supply-chain supplier labels, demonstrating a high level of performance even with extremely few labels in challenging cold-start scenarios. TSR is suitable for any dataset featuring few labels and user and item content, where similarity of content indicates similar relationship forming capability. TSR can be used as a standalone recommender system or to complement existing high-performance recommender models that require more labels or do not support cold starts.</t>
  </si>
  <si>
    <t>[Ralph, David; Wills, Gary; Green, Nicolas G.] Univ Southampton, ECS, Univ Rd, Southampton SO17 1BJ, Hants, England; [Li, Yunjia] Launch Int LTD, 3000a Pkwy, Whiteley PO15 7FX, Fareham, England</t>
  </si>
  <si>
    <t>University of Southampton</t>
  </si>
  <si>
    <t>Ralph, D (corresponding author), Univ Southampton, ECS, Univ Rd, Southampton SO17 1BJ, Hants, England.</t>
  </si>
  <si>
    <t>D.Ralph@ecs.soton.ac.uk; yunjia.li@launchbase.solutions; GBW@ecs.soton.ac.uk; NG2@ecs.soton.ac.uk</t>
  </si>
  <si>
    <t>Green, Nicolas G/J-6239-2012</t>
  </si>
  <si>
    <t>Green, Nicolas G/0000-0001-9230-4455; Ralph, David/0000-0003-3385-9295; Wills, Gary/0000-0001-5771-4088</t>
  </si>
  <si>
    <t>Launch International LTD - KnowNowInformation LTDand the Engineering and Physical Sciences Research Council (EPSRC) [1953880]; EPSRC [1953880] Funding Source: UKRI</t>
  </si>
  <si>
    <t>Launch International LTD - KnowNowInformation LTDand the Engineering and Physical Sciences Research Council (EPSRC)(UK Research &amp; Innovation (UKRI)Engineering &amp; Physical Sciences Research Council (EPSRC)); EPSRC(UK Research &amp; Innovation (UKRI)Engineering &amp; Physical Sciences Research Council (EPSRC))</t>
  </si>
  <si>
    <t>We thank Launch International LTD for their contribution of speculative supply chain labels for the IWSC dataset, under the direction of co-author Dr Li. This research is jointly funded by KnowNowInformation LTDand the Engineering and Physical Sciences Research Council (EPSRC), project reference 1953880.</t>
  </si>
  <si>
    <t>SPRINGER WIEN</t>
  </si>
  <si>
    <t>WIEN</t>
  </si>
  <si>
    <t>SACHSENPLATZ 4-6, PO BOX 89, A-1201 WIEN, AUSTRIA</t>
  </si>
  <si>
    <t>0010-485X</t>
  </si>
  <si>
    <t>1436-5057</t>
  </si>
  <si>
    <t>Computing</t>
  </si>
  <si>
    <t>10.1007/s00607-020-00792-y</t>
  </si>
  <si>
    <t>JAN 2020</t>
  </si>
  <si>
    <t>MA4ZS</t>
  </si>
  <si>
    <t>hybrid, Green Accepted</t>
  </si>
  <si>
    <t>WOS:000510083400002</t>
  </si>
  <si>
    <t>Chen, MC; Huang, CL; Chen, KY; Wu, HP</t>
  </si>
  <si>
    <t>Aggregation of orders in distribution centers using data mining</t>
  </si>
  <si>
    <t>distribution centers; order batching; data mining; association rules</t>
  </si>
  <si>
    <t>WAREHOUSING SYSTEMS; AUTOMATED STORAGE; BATCHING ALGORITHMS; RETRIEVAL-SYSTEM; PICKING; HEURISTICS</t>
  </si>
  <si>
    <t>This paper considers the problem of constructing order batches for distribution centers using a data mining technique. With the advent of supply chain management, distribution centers fulfill a strategic role of achieving the logistics objectives of shorter cycle times, lower inventories, lower costs and better customer service. Many companies consider both their cost effectiveness and market proficiency to depend primarily on efficient logistics management. Warehouse management system (WMS) presently is considered a key to strengthening company logistics. Order picking is routine in distribution centers. Before picking a large set of orders, effectively grouping orders into batches can accelerate product movement within the storage zone. The order batching procedure has to be implemented in WMS and may be run online many times daily. The literature has proposed numerous batching heuristics for minimizing travel distance or travel time. This paper presents a clustering procedure for an order batching problem in a distribution center with a parallel-aisle layout. A data mining technique of association rule mining is adopted to develop the order clustering approach. Performance comparisons between the developed approach and existing heuristics are given for Various problems. (c) 2005 Elsevier Ltd. All rights reserved.</t>
  </si>
  <si>
    <t>Natl Taipei Univ Technol, Dept Business Management, Inst Commerce Automat &amp; Management, Taipei 106, Taiwan; Natl Kaohsiung First Univ Sci &amp; Technol, Dept Informat Management, Kaohsiung, Taiwan; Natl Taipei Univ Technol, Dept Ind Engn &amp; Management, Taipei, Taiwan</t>
  </si>
  <si>
    <t>National Taipei University of Technology; National Kaohsiung University of Science &amp; Technology; National Taipei University of Technology</t>
  </si>
  <si>
    <t>Chen, MC (corresponding author), Natl Taipei Univ Technol, Dept Business Management, Inst Commerce Automat &amp; Management, 1,Sect 3,Chung Hsiao E Rd, Taipei 106, Taiwan.</t>
  </si>
  <si>
    <t>10.1016/j.eswa.2004.12.006</t>
  </si>
  <si>
    <t>905CV</t>
  </si>
  <si>
    <t>WOS:000227546200006</t>
  </si>
  <si>
    <t>Huang, CF; Chen, YC; Chen, AP</t>
  </si>
  <si>
    <t>Perner, P</t>
  </si>
  <si>
    <t>An association mining method for time series and its application in the stock prices of TFT-LCD industry</t>
  </si>
  <si>
    <t>ADVANCES IN DATA MINING: APPLICATIONS IN IMAGE MINING, MEDICINE AND BIOTECHNOLOGY, MANAGEMENT AND ENVIRONMENTAL CONTROL, AND TELECOMMUNICATIONS</t>
  </si>
  <si>
    <t>Lecture Notes in Computer Science</t>
  </si>
  <si>
    <t>4th Industrial Conference on Data Mining (ICDM)</t>
  </si>
  <si>
    <t>JUL 04-07, 2004</t>
  </si>
  <si>
    <t>Leipzig, GERMANY</t>
  </si>
  <si>
    <t>Inst Comp Vis &amp; Appl Comp Sci</t>
  </si>
  <si>
    <t>data mining; association rule; Apriori algorithm; TFT-LCD; time series analysis</t>
  </si>
  <si>
    <t>TFT-LCD is one of industries currently promoted by the Two Trillion and Twin Star Industries Development Plan in Taiwan. This study endeavors to find out the stock price associations between the suppliers and manufacturers in the value chain of the TFT-LCD industry by means of data mining techniques, and meanwhile, to improve the Apriori algorithm so that it can facilitate association mining of discrete data points in a time series. An efficient data mining method which consists of two phases is proposed. In the first phase, data are classified and preprocessed using the algorithm proposed by R. Agrawal et al. (1996), then Apriori algorithm is applied to extract the strong association rules. The second phase further improves the Apriori algorithm by breaking down the traditional limitation of relying on pattern matching of continuous data for disclosing stock market behavior. By mining the association rules from the discrete data points in a time series and testing the corresponding hypotheses, statistically significant outcomes can be obtained. The proposed data mining method was applied to some real time-series of the stock prices of companies in the supply chain of TFT-LCD industry in Taiwan. It is suggested that a positive correlation does not necessarily exist between the companies' stock prices in the supply chain of TFT-LCD industry. For instance the result shows that, if the stock price of Sintek Phonrotic Corp., a company in the up stream of the value chain, soars for more than 5% in a day, the stock price of Tatung, a company in the down stream of the same value chain, may not respond positively accordingly. If an investor can short the stock of Tatung on the 7th day and long it back on the 10th day after Sintek's stock price soaring for more than 5%, the annual return of investment is 199.88% with 95% confidence interval. In conclusion, the results may reveal helpful information for the investors to make leveraged arbitrage profit investing decisions, and it might be interesting to apply this proposed data mining method to the time series in other industries or problems and investigate the results further.</t>
  </si>
  <si>
    <t>Natl Chiao Tung Univ, Inst Informat Management, Hsinchu 300, Taiwan</t>
  </si>
  <si>
    <t>National Yang Ming Chiao Tung University</t>
  </si>
  <si>
    <t>Huang, CF (corresponding author), Natl Chiao Tung Univ, Inst Informat Management, 1001 Dashiue Rd, Hsinchu 300, Taiwan.</t>
  </si>
  <si>
    <t>huangcf@ms60.url.com.tw; yunchu@ms6.hinet.net</t>
  </si>
  <si>
    <t>SPRINGER-VERLAG BERLIN</t>
  </si>
  <si>
    <t>BERLIN</t>
  </si>
  <si>
    <t>HEIDELBERGER PLATZ 3, D-14197 BERLIN, GERMANY</t>
  </si>
  <si>
    <t>0302-9743</t>
  </si>
  <si>
    <t>1611-3349</t>
  </si>
  <si>
    <t>3-540-24054-3</t>
  </si>
  <si>
    <t>LECT NOTES COMPUT SC</t>
  </si>
  <si>
    <t>Conference Proceedings Citation Index - Science (CPCI-S); Science Citation Index Expanded (SCI-EXPANDED)</t>
  </si>
  <si>
    <t>BBR43</t>
  </si>
  <si>
    <t>WOS:000227356700013</t>
  </si>
  <si>
    <t>Alfian, G; Syafrudin, M; Rhee, J</t>
  </si>
  <si>
    <t>Alfian, Ganjar; Syafrudin, Muhammad; Rhee, Jongtae</t>
  </si>
  <si>
    <t>Real-Time Monitoring System Using Smartphone-Based Sensors and NoSQL Database for Perishable Supply Chain</t>
  </si>
  <si>
    <t>IoT; sensor; big data; outlier detection; perishable supply chain</t>
  </si>
  <si>
    <t>MOBILE PHONE; FOOD; TRACEABILITY; QUALITY; MANAGEMENT; FRAMEWORK; INTERNET; SAFETY</t>
  </si>
  <si>
    <t>Since customer attention is increasing due to growing customer health awareness, it is important for the perishable food supply chain to monitor food quality and safety. This study proposes a real-time monitoring system that utilizes smartphone-based sensors and a big data platform. Firstly, we develop a smartphone-based sensor to gather temperature, humidity, GPS, and image data. The IoT-generated sensor on the smartphone has characteristics such as a large amount of storage, an unstructured format, and continuous data generation. Thus, in this study, we propose an effective big data platform design to handle IoT-generated sensor data. Furthermore, the abnormal sensor data generated by failed sensors is called outliers and may arise in real cases. The proposed system utilizes outlier detection based on statistical and clustering approaches to filter out the outlier data. The proposed system was evaluated for system and gateway performance and tested on the kimchi supply chain in Korea. The results showed that the proposed system is capable of processing a massive input/output of sensor data efficiently when the number of sensors and clients increases. The current commercial smartphones are sufficiently capable of combining their normal operations with simultaneous performance as gateways for transmitting sensor data to the server. In addition, the outlier detection based on the 3-sigma and DBSCAN were used to successfully detect/classify outlier data as separate from normal sensor data. This study is expected to help those who are responsible for developing the real-time monitoring system and implementing critical strategies related to the perishable supply chain.</t>
  </si>
  <si>
    <t>[Alfian, Ganjar] Dongguk Univ, Nano Informat Technol Acad, U SCM Res Ctr, Seoul 100715, South Korea; [Syafrudin, Muhammad; Rhee, Jongtae] Dongguk Univ, Dept Ind &amp; Syst Engn, Seoul 100715, South Korea</t>
  </si>
  <si>
    <t>Dongguk University; Dongguk University</t>
  </si>
  <si>
    <t>Rhee, J (corresponding author), Dongguk Univ, Dept Ind &amp; Syst Engn, Seoul 100715, South Korea.</t>
  </si>
  <si>
    <t>ganjar@dongguk.edu; udin@dongguk.edu; jtrhee@dongguk.edu</t>
  </si>
  <si>
    <t>Alfian, Ganjar/P-5217-2018; Syafrudin, Muhammad/P-9657-2017</t>
  </si>
  <si>
    <t>Alfian, Ganjar/0000-0002-3273-1452; Syafrudin, Muhammad/0000-0002-5640-4413</t>
  </si>
  <si>
    <t>Ministry of Trade, Industry, and Energy (MOTIE); Korea Institute for Advancement of Technology (KIAT) through the International Cooperative RD program [N053100005]; Korea Evaluation Institute of Industrial Technology (KEIT) [N0002301] Funding Source: Korea Institute of Science &amp; Technology Information (KISTI), National Science &amp; Technology Information Service (NTIS)</t>
  </si>
  <si>
    <t>Ministry of Trade, Industry, and Energy (MOTIE); Korea Institute for Advancement of Technology (KIAT) through the International Cooperative RD program; Korea Evaluation Institute of Industrial Technology (KEIT)</t>
  </si>
  <si>
    <t>This study was financially supported by the Ministry of Trade, Industry, and Energy (MOTIE) and Korea Institute for Advancement of Technology (KIAT) through the International Cooperative R&amp;D program (Grant number: N053100005).</t>
  </si>
  <si>
    <t>10.3390/su9112073</t>
  </si>
  <si>
    <t>FO4EH</t>
  </si>
  <si>
    <t>WOS:000416793400153</t>
  </si>
  <si>
    <t>Duan, CQ; Xiu, GY; Zhang, YH</t>
  </si>
  <si>
    <t>Duan, Caiquan; Xiu, Guoyi; Zhang, Yunhui</t>
  </si>
  <si>
    <t>Coordinated Management Method of Information Contract in Port Logistics Service Supply Chain</t>
  </si>
  <si>
    <t>JOURNAL OF COASTAL RESEARCH</t>
  </si>
  <si>
    <t>Port logistics; service; supply chain; information; contract coordination management</t>
  </si>
  <si>
    <t>In order to realize the optimal scheduling and automatic identification of port logistics service supply chain information, it is necessary to design the contract coordination management of port logistics service supply chain information. A coordinated management model of port logistics service supply chain information contract based on grid area reconstruction learning clustering is proposed. The fuzzy association rule scheduling technology is used to sample the port logistics service supply chain information, and the port logistics service supply chain information collected by RFID is processed by information fusion. The autocorrelation statistical regression analysis method is used to extract the correlation statistical features of port logistics service supply chain information, and the matching filtering method is used to detect the redundant features of port logistics service supply chain information for interference suppression filtering. The purified port logistics service supply chain information is reconstructed by phase space reconstruction technology, and the reconstructed data is classified and identified by grid area reconstruction learning clustering classifier. The contract coordination management and automatic retrieval of port logistics service supply chain information are realized. The simulation results show that the automatic classification of port logistics service supply chain information contract coordination management is good, and the fuzzy clustering ability is strong, which improves the coordination management ability of port logistics service supply chain information contract.</t>
  </si>
  <si>
    <t>[Duan, Caiquan; Xiu, Guoyi; Zhang, Yunhui] Harbin Univ Sci &amp; Technol, Sch Econ &amp; Management, Harbin 150080, Heilongjiang, Peoples R China</t>
  </si>
  <si>
    <t>Harbin University of Science &amp; Technology</t>
  </si>
  <si>
    <t>Duan, CQ (corresponding author), Harbin Univ Sci &amp; Technol, Sch Econ &amp; Management, Harbin 150080, Heilongjiang, Peoples R China.</t>
  </si>
  <si>
    <t>duancaiquanHLG@163.com</t>
  </si>
  <si>
    <t>穆, 儒/HGC-6534-2022; Xiu, Guoyi/AAE-2688-2019; Duan, Caiquan/AAE-2515-2019; Ajmi, Ghalia Al/AAB-6467-2019</t>
  </si>
  <si>
    <t>Xiu, Guoyi/0000-0001-5907-4053; Duan, Caiquan/0000-0002-4607-3219</t>
  </si>
  <si>
    <t>National Statistical Science Research Project of National Bureau of Statistics of China Empirical Analysis of the Impact of Population Factors on Haze Pollution [2017LY29]; Youth Fund Project of Humanities and Social Sciences in Education Ministry of China [13YJCZH262]</t>
  </si>
  <si>
    <t>National Statistical Science Research Project of National Bureau of Statistics of China Empirical Analysis of the Impact of Population Factors on Haze Pollution; Youth Fund Project of Humanities and Social Sciences in Education Ministry of China</t>
  </si>
  <si>
    <t>This research was supported by National Statistical Science Research Project of National Bureau of Statistics of China Empirical Analysis of the Impact of Population Factors on Haze Pollution (No. 2017LY29); Youth Fund Project of Humanities and Social Sciences in Education Ministry of China - Financial Contract Mechanism Design of Supply Chain of Mechanical Equipment Products from the Perspective of Efficiency Priority (No. 13YJCZH262).</t>
  </si>
  <si>
    <t>COASTAL EDUCATION &amp; RESEARCH FOUNDATION</t>
  </si>
  <si>
    <t>COCONUT CREEK</t>
  </si>
  <si>
    <t>5130 NW 54TH STREET, COCONUT CREEK, FL 33073 USA</t>
  </si>
  <si>
    <t>0749-0208</t>
  </si>
  <si>
    <t>1551-5036</t>
  </si>
  <si>
    <t>J COASTAL RES</t>
  </si>
  <si>
    <t>J. Coast. Res.</t>
  </si>
  <si>
    <t>FAL</t>
  </si>
  <si>
    <t>10.2112/SI93-151.1</t>
  </si>
  <si>
    <t>Environmental Sciences; Geography, Physical; Geosciences, Multidisciplinary</t>
  </si>
  <si>
    <t>Environmental Sciences &amp; Ecology; Physical Geography; Geology</t>
  </si>
  <si>
    <t>JA7BW</t>
  </si>
  <si>
    <t>WOS:000487997100152</t>
  </si>
  <si>
    <t>Wang, J; Yue, HL</t>
  </si>
  <si>
    <t>Wang, Jing; Yue, Huili</t>
  </si>
  <si>
    <t>Food safety pre-warning system based on data mining for a sustainable food supply chain</t>
  </si>
  <si>
    <t>FOOD CONTROL</t>
  </si>
  <si>
    <t>Food safety; Food supply chain; Pre-warning system; Association rule</t>
  </si>
  <si>
    <t>QUALITY; TRACEABILITY; INTERNET; RISK</t>
  </si>
  <si>
    <t>In recent years, the food safety incidents happened frequently in china, and then the problems related to food quality and safety have attracted more and more social attention. Considering the concern with regard to quality sustainability in food supply chain, many companies have developed a real time data monitoring system to ensure products quality in the supply chain network. In this paper, we proposed a food safety pre-warning system, adopting association rule mining and Internet of Things technology, to timely monitor all the detection data of the whole supply chain and automatically pre-warn. The aim of pre-warning system is to help managers in food manufacturing firm to find food safety risk in advance, and to give some decision support information to maintain the quality and safety of food products. A case study of a dairy producer was conducted, and the results showed that the proposed pre-warning system can effectively identify safety risks and accurately determine whether a warning should be issued, depending on the expert analysis when an abnormality is detected by the system. In addition, implications of the proposed approach were discussed, and suggestions for future work were outlined. (C) 2016 Elsevier Ltd. All rights reserved.</t>
  </si>
  <si>
    <t>[Wang, Jing; Yue, Huili] Beijing Technol &amp; Business Univ, Sch Business, 33 Fucheng Rd, Beijing, Peoples R China</t>
  </si>
  <si>
    <t>Beijing Technology &amp; Business University</t>
  </si>
  <si>
    <t>Wang, J (corresponding author), Beijing Technol &amp; Business Univ, Sch Business, 33 Fucheng Rd, Beijing, Peoples R China.</t>
  </si>
  <si>
    <t>wangjingjob2010@l26.com; yuehuili55@l26.com</t>
  </si>
  <si>
    <t>Bahroun, Zied/F-6863-2019</t>
  </si>
  <si>
    <t>Bahroun, Zied/0000-0003-2832-3672</t>
  </si>
  <si>
    <t>National Social Science Fund [16CGL033]</t>
  </si>
  <si>
    <t>National Social Science Fund</t>
  </si>
  <si>
    <t>The research presented in this paper is supported by the National Social Science Fund (No.16CGL033).</t>
  </si>
  <si>
    <t>0956-7135</t>
  </si>
  <si>
    <t>1873-7129</t>
  </si>
  <si>
    <t>Food Control</t>
  </si>
  <si>
    <t>B</t>
  </si>
  <si>
    <t>10.1016/j.foodcont.2016.09.048</t>
  </si>
  <si>
    <t>EG3SU</t>
  </si>
  <si>
    <t>WOS:000390965800013</t>
  </si>
  <si>
    <t>Lin, J; Xu, X; Xu, DM</t>
  </si>
  <si>
    <t>Lin, Jie; Xu, Xu; Xu, Dongming</t>
  </si>
  <si>
    <t>Strategic Supplier Selection: A Domain Driven Data Mining Methodology</t>
  </si>
  <si>
    <t>INFORMATION-AN INTERNATIONAL INTERDISCIPLINARY JOURNAL</t>
  </si>
  <si>
    <t>supplier selection; optimization; domain driven data mining; analytic hierarchy process; set theory; association rule algorithm</t>
  </si>
  <si>
    <t>ANALYTIC HIERARCHY PROCESS; DECISION-SUPPORT-SYSTEM; KNOWLEDGE DISCOVERY; MODEL</t>
  </si>
  <si>
    <t>The fierce competitions in supply chain are changing the conventional buyer-seller relationship, which leads to undermine business strengths. To respond this transformation, strategic partnership has been gaining increasing attention. However, recent research points out that it still lacks the methodology to optimize the existing suppliers that would help buyer establish long-term relationship. This paper proposes a two-phase Domain Driven Data Mining (DDDM) methodology for strategic supplier selection. Phase one is termed domain knowledge acquisition and analysis, while phase two is supplier set optimization. Meanwhile, Analytic Hierarchy Process (AHP), set theory and association rule mining are included in the two phases. Furthermore, a case study is conducted to demonstrate the proposed supplier selection model. Simulation results indicate that it, is more efficient than single AHP or association rule algorithm. In short, the proposed model employs both qualitative subjective judgments and quantitative objective data to select strategic suppliers. It optimizes the existing suppliers, which would provide the basis for the buyer establishing long-term relationships with fewer suppliers.</t>
  </si>
  <si>
    <t>[Lin, Jie; Xu, Xu] Tongji Univ, Sch Econ &amp; Management, Shanghai 200092, Peoples R China; [Xu, Xu; Xu, Dongming] Univ Queensland, Sch Business, Brisbane, Qld, Australia</t>
  </si>
  <si>
    <t>Tongji University; University of Queensland</t>
  </si>
  <si>
    <t>Xu, X (corresponding author), Tongji Univ, Sch Econ &amp; Management, Shanghai 200092, Peoples R China.</t>
  </si>
  <si>
    <t>08xuxu@tongji.edu.cn</t>
  </si>
  <si>
    <t>Xu, Dongming/O-1554-2018</t>
  </si>
  <si>
    <t>Ministry of Education, China; National Natural Science Foundation, China [70832005, 71071114]; Program for New Century Excellent Talents in University, China [NCET-06-0377]; Research Fund for the Doctoral Program of Higher Education [200802470009]</t>
  </si>
  <si>
    <t>Ministry of Education, China(Ministry of Education, China); National Natural Science Foundation, China(National Natural Science Foundation of China (NSFC)); Program for New Century Excellent Talents in University, China(Program for New Century Excellent Talents in University (NCET)); Research Fund for the Doctoral Program of Higher Education(Research Fund for the Doctoral Program of Higher Education of China (RFDP))</t>
  </si>
  <si>
    <t>This study was supported by Young Scholar of Distinction for Doctoral Candidate of Ministry of Education, China, the National Natural Science Foundation, China (No.70832005 and No.71071114), Program for New Century Excellent Talents in University, China (No.NCET-06-0377), and the Research Fund for the Doctoral Program of Higher Education (No.200802470009).</t>
  </si>
  <si>
    <t>INT INFORMATION INST</t>
  </si>
  <si>
    <t>TOKYO</t>
  </si>
  <si>
    <t>FAC ENG, HOSEI UNIV, KOGANEI, TOKYO, 184-8584, JAPAN</t>
  </si>
  <si>
    <t>1343-4500</t>
  </si>
  <si>
    <t>INFORMATION-TOKYO</t>
  </si>
  <si>
    <t>Engineering, Multidisciplinary</t>
  </si>
  <si>
    <t>681SR</t>
  </si>
  <si>
    <t>WOS:000284339400024</t>
  </si>
  <si>
    <t>Xu, Z; Ying, ZH; Li, YQ; He, BS; Chen, Y</t>
  </si>
  <si>
    <t>Xu, Zhe; Ying, Zhihao; Li, Yuquan; He, Bishi; Chen, Yun</t>
  </si>
  <si>
    <t>Pressure prediction and abnormal working conditions detection of water supply network based on LSTM</t>
  </si>
  <si>
    <t>WATER SUPPLY</t>
  </si>
  <si>
    <t>anomaly detection; LSTM; pressure prediction; water supply network</t>
  </si>
  <si>
    <t>REAL-TIME</t>
  </si>
  <si>
    <t>In this study, a deep learning model based on LSTM (Long Short-Term Memory) is used to predict the state of a water supply network due to its highly complex nonlinearity. The inputs of the model include state information on the pressures at measuring points, as well as control information on the water supply pressure and flow at each entry point. In order to enhance the performance of the model in feature extraction and identification and improve prediction accuracy, a parallel LSTM tandem DNN deep neural network model (PLDNN) is proposed. The experimental results indicate that the model has better learning performance and accuracy compared with traditional prediction methods (artificial neural networks, support vector machines, etc.) and general LSTM models.</t>
  </si>
  <si>
    <t>[Xu, Zhe; Ying, Zhihao; Li, Yuquan; He, Bishi; Chen, Yun] Hangzhou Dianzi Univ, Hangzhou 310018, Peoples R China</t>
  </si>
  <si>
    <t>Hangzhou Dianzi University</t>
  </si>
  <si>
    <t>Xu, Z (corresponding author), Hangzhou Dianzi Univ, Hangzhou 310018, Peoples R China.</t>
  </si>
  <si>
    <t>xuzhe@hdu.edu.cn</t>
  </si>
  <si>
    <t>National Natural Science Foundation of China [U1509205]</t>
  </si>
  <si>
    <t>This work was funded by the National Natural Science Foundation of China (U1509205).</t>
  </si>
  <si>
    <t>IWA PUBLISHING</t>
  </si>
  <si>
    <t>REPUBLIC-EXPORT BLDG, UNITS 1 04 &amp; 1 05, 1 CLOVE CRESCENT, LONDON, ENGLAND</t>
  </si>
  <si>
    <t>1606-9749</t>
  </si>
  <si>
    <t>1607-0798</t>
  </si>
  <si>
    <t>Water Supply</t>
  </si>
  <si>
    <t>10.2166/ws.2020.013</t>
  </si>
  <si>
    <t>Engineering, Environmental; Environmental Sciences; Water Resources</t>
  </si>
  <si>
    <t>Engineering; Environmental Sciences &amp; Ecology; Water Resources</t>
  </si>
  <si>
    <t>LT7UG</t>
  </si>
  <si>
    <t>WOS:000537271000020</t>
  </si>
  <si>
    <t>Masciari, E</t>
  </si>
  <si>
    <t>Masciari, E.</t>
  </si>
  <si>
    <t>SMART: Stream Monitoring enterprise Activities by RFID Tags</t>
  </si>
  <si>
    <t>INFORMATION SCIENCES</t>
  </si>
  <si>
    <t>RFID tag; Object tracking; Outlier detection; Data stream; Data mining</t>
  </si>
  <si>
    <t>Datastreams are potentially infinite data sources that flow continuously while monitoring a physical phenomenon, like temperature levels or other kind of human activities, such as clickstreams, telephone call records, and so on. RFID technology has lead in recent years the generation of huge streams of data. Moreover, RFID based systems allow the effective management of items tagged by RFID tags, especially for supply chain management or objects tracking. In this paper we introduce SMART (Stream Monitoring enterprise Activities by RFID Tags) a system based on an outlier template definition for detecting anomalies in RFID streams. We describe SMART features and its application on a real life scenario that shows the effectiveness of the proposed method for enterprise management. Moreover, we describe an outlier detection approach we defined and effectively exploited in SMART. (C) 2012 Elsevier Inc. All rights reserved.</t>
  </si>
  <si>
    <t>ICAR CNR, I-87036 Arcavacata Di Rende, Italy</t>
  </si>
  <si>
    <t>Consiglio Nazionale delle Ricerche (CNR); Istituto di Calcolo e Reti ad Alte Prestazioni (ICAR-CNR)</t>
  </si>
  <si>
    <t>Masciari, E (corresponding author), ICAR CNR, Via P Bucci 41-C, I-87036 Arcavacata Di Rende, Italy.</t>
  </si>
  <si>
    <t>masciari@icar.cnr.it</t>
  </si>
  <si>
    <t>Masciari, Elio/0000-0002-1778-5321</t>
  </si>
  <si>
    <t>0020-0255</t>
  </si>
  <si>
    <t>1872-6291</t>
  </si>
  <si>
    <t>INFORM SCIENCES</t>
  </si>
  <si>
    <t>Inf. Sci.</t>
  </si>
  <si>
    <t>JUL 15</t>
  </si>
  <si>
    <t>10.1016/j.ins.2012.01.041</t>
  </si>
  <si>
    <t>929VC</t>
  </si>
  <si>
    <t>WOS:000303092800002</t>
  </si>
  <si>
    <t>Le, HQ; Arch-int, S; Nguyen, HX; Arch-int, N</t>
  </si>
  <si>
    <t>Hai Quoc Le; Arch-int, Somjit; Huy Xuan Nguyen; Arch-int, Ngamnij</t>
  </si>
  <si>
    <t>Association rule hiding in risk management for retail supply chain collaboration</t>
  </si>
  <si>
    <t>Association rule hiding; Risk management; Data sharing; Association rule mining; Retail supply chain collaboration</t>
  </si>
  <si>
    <t>ALGORITHMS; DISTORTION</t>
  </si>
  <si>
    <t>Association rule hiding is an efficient solution that helps enterprises avoid the risk caused by sensitive knowledge leakage when sharing data in their collaborations. This study examines how data sharing has the potential to create risk for enterprises in retail supply chain collaboration and proposes a new algorithm to remove sensitive knowledge from the released database based on the intersection lattice of frequent itemsets. The proposed algorithm specifies the victim item such that the modification of this item causes the least impact on frequent itemsets and the non-sensitive association rule. In the experiment described in this paper, this algorithm is used in risk avoidance for a retailer sharing data in retail supply chain collaboration. The results indicate that our approach is applicable in a real context and outperforms previous mechanisms. (C) 2013 Elsevier B.V. All rights reserved.</t>
  </si>
  <si>
    <t>[Hai Quoc Le; Arch-int, Somjit; Arch-int, Ngamnij] Khon Kaen Univ, Dept Comp Sci, Fac Sci, Khon Kaen 40002, Thailand; [Huy Xuan Nguyen] Inst Sci &amp; Technol Vietnam, Inst Informat Technol, Hanoi, Vietnam</t>
  </si>
  <si>
    <t>Khon Kaen University; Vietnam Academy of Science &amp; Technology (VAST)</t>
  </si>
  <si>
    <t>Le, HQ (corresponding author), Khon Kaen Univ, Dept Comp Sci, Fac Sci, Khon Kaen 40002, Thailand.</t>
  </si>
  <si>
    <t>hai_lq@qtttc.edu.vn; somjit@kku.ac.th; nxhuy564@gmail.com; ngamnij@kku.ac.th</t>
  </si>
  <si>
    <t>, Le Quoc Hai/ACA-3332-2022; Hải, Lê Quốc/ABA-2856-2020</t>
  </si>
  <si>
    <t>Le, Hai/0000-0002-1049-0264</t>
  </si>
  <si>
    <t>10.1016/j.compind.2013.04.011</t>
  </si>
  <si>
    <t>213SK</t>
  </si>
  <si>
    <t>WOS:000324080300002</t>
  </si>
  <si>
    <t>Dik, NY; Tsang, PWK; Chan, AP; Chu, WC</t>
  </si>
  <si>
    <t>Dik, Nga Yin; Tsang, Paul Wai Kei; Chan, Ah Pun; Chu, Wai Ching</t>
  </si>
  <si>
    <t>A novel approach in predicting virtual garment fitting sizes with psychographic characteristics and 3D body measurements using artificial neural network and visualizing fitted bodies using generative adversarial network</t>
  </si>
  <si>
    <t>3D virtual garment simulation; Artificial neural network; Generative adversarial network; Body measurement and fitting perception; Psychological segmentation</t>
  </si>
  <si>
    <t>ANTHROPOMETRIC DATA; MASS CUSTOMIZATION; TECHNOLOGIES; PREFERENCES; CONSUMERS; MODEL; EASE</t>
  </si>
  <si>
    <t>Advances in technology have brought accessibility to garment product fitting procedures with a virtual fitting environment and, in due course, improved the supply chain socially, economically, and environmentally. 3D body measurements, garment sizes, and ease allowance are the necessary factors to ensure end-user satisfaction in the apparel industry. However, designers find it challenging to recognize customers' motivations and emotions towards their preferred fit and define ease allowances in the virtual environment. This study investigates the variations of ease preferences for apparel sizes with body dimensions and psychological orientations by developing a virtual garment fitting prediction model. An artificial neural network (ANN) was employed to develop the model. The ANN model was proved to be effective in predicting ease preferences from two major components. A non-linear relationship was modeled among pattern parameters, body dimensions, and psychographic characteristics. Also, to visualize the fitted bodies, a generative adversarial network (GAN) was applied to generate 3D samples with the predicted pattern parameters from the ANN model. This project promotes mass customization using psychographic orientations and provides the perfect fit to the end users. New size-fitting data is generated for improved ease preference charts, and it enhances end-user satisfaction with garment fit.</t>
  </si>
  <si>
    <t>[Dik, Nga Yin; Tsang, Paul Wai Kei; Chu, Wai Ching] Technol &amp; Higher Educ Inst Hong Kong, Hong Kong, Peoples R China; [Chan, Ah Pun] Hong Kong Design Inst, Dept Fash &amp; Image Design, Hong Kong, Peoples R China; [Dik, Nga Yin] Hong Kong Polytech Univ, Sch Fash &amp; Text, Hong Kong, Peoples R China</t>
  </si>
  <si>
    <t>Hong Kong Polytechnic University</t>
  </si>
  <si>
    <t>Dik, NY (corresponding author), Technol &amp; Higher Educ Inst Hong Kong, Hong Kong, Peoples R China.</t>
  </si>
  <si>
    <t>nydik@thei.edu.hk</t>
  </si>
  <si>
    <t>Lo, Chris K. Y./L-8341-2015</t>
  </si>
  <si>
    <t>Lo, Chris K. Y./0000-0002-0145-7948</t>
  </si>
  <si>
    <t>Research Grants Council of the Hong Kong Special Administrative Region, China [UGC/FDS25/H05/21]</t>
  </si>
  <si>
    <t>Research Grants Council of the Hong Kong Special Administrative Region, China(Hong Kong Research Grants Council)</t>
  </si>
  <si>
    <t>Acknowledgements This work was fully supported by a grant from the Research Grants Council of the Hong Kong Special Administrative Region, China [Project No. UGC/FDS25/H05/21] .</t>
  </si>
  <si>
    <t>e17916</t>
  </si>
  <si>
    <t>10.1016/j.heliyon.2023.e17916</t>
  </si>
  <si>
    <t>P1KC3</t>
  </si>
  <si>
    <t>WOS:001048289000001</t>
  </si>
  <si>
    <t>Wu, MN; Liu, K; Yang, H</t>
  </si>
  <si>
    <t>Wu, Mengna; Liu, Ke; Yang, Hua</t>
  </si>
  <si>
    <t>Supply chain production and delivery scheduling based on data mining</t>
  </si>
  <si>
    <t>CLUSTER COMPUTING-THE JOURNAL OF NETWORKS SOFTWARE TOOLS AND APPLICATIONS</t>
  </si>
  <si>
    <t>Fast moving consumer goods; Delivery dispatch; Supply chain; Production</t>
  </si>
  <si>
    <t>RELIABILITY; ALGORITHM</t>
  </si>
  <si>
    <t>Aiming at many problems such as variable and uncertainty in problem modeling, and the phenomenon of big load in the distribution of FMCG, the idea of customer clustering and dynamic customer clustering is put forward. The data mining is used to model the distribution and scheduling problem of multi product and multi item products for the purchase of third party logistics and distribution services. At the same time, the classification method of customer clustering is studied. The general rules of dynamic customer clustering, the scope of application and the rules of application are proposed. In view of the fact that the needs of customers in real operation are dealt with instantaneously, the scheduling method based on qualitative and quantitative heuristic rules is discussed. The suggestion of customer clustering set is provided to supply the order rank of production place. The results show that the idea of customer clustering effectively reduces the difficulty of solving the model. The dynamic customer thought increases the flexibility of customer clustering thinking. It is suitable for the uncertainty of the practical application of enterprises, and further reduces the logistics cost of enterprises. This rule has a high reference value for the scheduling of enterprise products.</t>
  </si>
  <si>
    <t>[Wu, Mengna] Shandong Normal Univ, Sch Business, Jinan, Shandong, Peoples R China; [Wu, Mengna; Liu, Ke] China Natl Heavy Duty Truck Grp Co LTD, Jinan, Shandong, Peoples R China; [Yang, Hua] Jilin Univ, Sch Management, Changchun, Jilin, Peoples R China</t>
  </si>
  <si>
    <t>Shandong Normal University; Jilin University</t>
  </si>
  <si>
    <t>Wu, MN (corresponding author), Shandong Normal Univ, Sch Business, Jinan, Shandong, Peoples R China.;Wu, MN (corresponding author), China Natl Heavy Duty Truck Grp Co LTD, Jinan, Shandong, Peoples R China.</t>
  </si>
  <si>
    <t>wumengna123@126.com</t>
  </si>
  <si>
    <t>Fund Project: Youth Project from Ministry of Education, Two Level Automobile Supply Chain Scheduling Model Based on Grade Differentiation under Carbon Emission Restriction [2015YJC630134]; Outstanding Young Scientists of Shandong Province, Study on development evaluation and economic performance of Inclusive Finance in Shandong Province [BS2015SF018]</t>
  </si>
  <si>
    <t>Fund Project: Youth Project from Ministry of Education, Two Level Automobile Supply Chain Scheduling Model Based on Grade Differentiation under Carbon Emission Restriction; Outstanding Young Scientists of Shandong Province, Study on development evaluation and economic performance of Inclusive Finance in Shandong Province</t>
  </si>
  <si>
    <t>Dr. Mengna Wu acknowledges the Fund Project: Youth Project from Ministry of Education, Two Level Automobile Supply Chain Scheduling Model Based on Grade Differentiation under Carbon Emission Restriction (2015YJC630134). Outstanding Young Scientists of Shandong Province, Study on development evaluation and economic performance of Inclusive Finance in Shandong Province (BS2015SF018).</t>
  </si>
  <si>
    <t>233 SPRING ST, NEW YORK, NY 10013 USA</t>
  </si>
  <si>
    <t>1386-7857</t>
  </si>
  <si>
    <t>1573-7543</t>
  </si>
  <si>
    <t>CLUSTER COMPUT</t>
  </si>
  <si>
    <t>Cluster Comput.</t>
  </si>
  <si>
    <t>S8541</t>
  </si>
  <si>
    <t>S8552</t>
  </si>
  <si>
    <t>10.1007/s10586-018-1894-8</t>
  </si>
  <si>
    <t>Computer Science, Information Systems; Computer Science, Theory &amp; Methods</t>
  </si>
  <si>
    <t>JU9SH</t>
  </si>
  <si>
    <t>WOS:000502007000085</t>
  </si>
  <si>
    <t>Baciuliene, V; Bilan, Y; Navickas, V; Civin, L</t>
  </si>
  <si>
    <t>Baciuliene, Vaida; Bilan, Yuriy; Navickas, Valentinas; Civin, Lubomir</t>
  </si>
  <si>
    <t>The Aspects of Artificial Intelligence in Different Phases of the Food Value and Supply Chain</t>
  </si>
  <si>
    <t>artificial intelligence; food supply chain; artificial intelligence challenges</t>
  </si>
  <si>
    <t>MANAGEMENT</t>
  </si>
  <si>
    <t>The types of artificial intelligence, artificial intelligence integration to the food value and supply chain, other technologies embedded with artificial intelligence, artificial intelligence adoption barriers in the food value and supply chain, and solutions to overcome these barriers were analyzed by the authors. It was demonstrated by the analysis that artificial intelligence can be integrated vertically into the entire food supply and value chain, owing to its wide range of functions. Different phases of the chain are affected by developed technologies such as robotics, drones, and smart machines. Different capabilities are provided for different phases by the interaction of artificial intelligence with other technologies such as big data mining, machine learning, the Internet of services, agribots, industrial robots, sensors and drones, digital platforms, driverless vehicles and machinery, and nanotechnology, as revealed by a systematic literature analysis. However, the application of artificial intelligence is hindered by social, technological, and economic barriers. These barriers can be overcome by developing the financial and digital literacy of farmers and by disseminating good practices among the participants of the food supply and value chain.</t>
  </si>
  <si>
    <t>[Baciuliene, Vaida; Navickas, Valentinas] Kaunas Univ Technol, Sch Econ &amp; Business, LT-44249 Kaunas, Lithuania; [Bilan, Yuriy; Civin, Lubomir] Czech Univ Life Sci, Fac Econ &amp; Management, Prague 16500, Czech Republic; [Navickas, Valentinas] Lithuania Business Univ Appl Sci, LT-91249 Klaipeda, Lithuania</t>
  </si>
  <si>
    <t>Kaunas University of Technology; Czech University of Life Sciences Prague</t>
  </si>
  <si>
    <t>Bilan, Y (corresponding author), Czech Univ Life Sci, Fac Econ &amp; Management, Prague 16500, Czech Republic.</t>
  </si>
  <si>
    <t>vaida.baciuliene@ktu.edu; y.bilan@csr-pub.eu; valna@ktu.lt; civinl@pef.czu.cz</t>
  </si>
  <si>
    <t>10.3390/foods12081654</t>
  </si>
  <si>
    <t>E8GM5</t>
  </si>
  <si>
    <t>WOS:000977862500001</t>
  </si>
  <si>
    <t>da Silva, JBN; Senna, P; Chousa, A; Coelho, O</t>
  </si>
  <si>
    <t>Neves da Silva, Juliana Bonfim; Senna, Pedro; Chousa, Amanda; Coelho, Ormeu</t>
  </si>
  <si>
    <t>Data mining and operations research techniques in Supply Chain Risk Management: A bibliometric study</t>
  </si>
  <si>
    <t>BRAZILIAN JOURNAL OF OPERATIONS &amp; PRODUCTION MANAGEMENT</t>
  </si>
  <si>
    <t>Bibliometry; Supply Chain Risk Management; Data Science; Operations Research</t>
  </si>
  <si>
    <t>BUSINESS INTELLIGENCE; FUTURE-DIRECTIONS; CAPABILITIES; PREDICTION; ORIGINS; SCIENCE</t>
  </si>
  <si>
    <t>Goal: This paper aims to carry a bibliometric study to map how data mining and operations research techniques are being applied to Supply Chain Risk Management. Design/Methodology/Approach: We conducted a bibliometric analysis implemented in R language (bibliometrix package) using Systematic Literature Review approach to conduct the search. Results: As the main results we highlight the gap we found in the literature considering Data Mining techniques in Supply Chain Risk Management and we set a full panorama of this stream of research. Limitations of the Investigation: We used Scopus database which allows recovering peer-reviewed texts from dozens of strong databases, nevertheless, we can not guarantee that all relevant documents were recovered. In addition, we considered only full published papers published in English language. Practical Implications: Managers and companies that are related in a supply chain must gradually redesign processes to include Data Mining techniques to support SCRM processes and activities along the SC. Originality / Value: The paper showed the updated panorama of Data Mining implementation regarding SCRM. We did not find any similar studies, which shows our unique contribution.</t>
  </si>
  <si>
    <t>[Neves da Silva, Juliana Bonfim] Gama &amp; Souza Coll, Rio De Janeiro, RJ, Brazil; [Senna, Pedro; Chousa, Amanda; Coelho, Ormeu] CEFET RJ, Rio De Janeiro, RJ, Brazil</t>
  </si>
  <si>
    <t>Centro Federal de Educacao Tecnologica Celso Suckow da Fonseca (CEFET-RJ)</t>
  </si>
  <si>
    <t>Senna, P (corresponding author), CEFET RJ, Rio De Janeiro, RJ, Brazil.</t>
  </si>
  <si>
    <t>pedro.sennavieira@gmail.com</t>
  </si>
  <si>
    <t>Senna, Pedro/I-2749-2015; Coelho, Ormeu/JAZ-0121-2023; Senna, Pedro/AAZ-1074-2021</t>
  </si>
  <si>
    <t>Senna, Pedro/0000-0003-2501-2203;</t>
  </si>
  <si>
    <t>ASSOC BRASILEIRA ENGENHARIA PRODUCAO-ABEPRO</t>
  </si>
  <si>
    <t>SAO PAULO</t>
  </si>
  <si>
    <t>AV PROF ALMEIDA PRADO 531, 1O ANDAR, SALA 102, SAO PAULO, 05508-900, BRAZIL</t>
  </si>
  <si>
    <t>2237-8960</t>
  </si>
  <si>
    <t>BRAZ J OPER PROD MAN</t>
  </si>
  <si>
    <t>Braz. J. Oper. Prod. Manag.</t>
  </si>
  <si>
    <t>e2020966</t>
  </si>
  <si>
    <t>10.14488/BJOPM.2020.029</t>
  </si>
  <si>
    <t>OM4YM</t>
  </si>
  <si>
    <t>WOS:000586032300005</t>
  </si>
  <si>
    <t>Lavassani, KM; Iyengar, R; Movahedi, B</t>
  </si>
  <si>
    <t>Lavassani, Kayvan Miri; Iyengar, Raghavan; Movahedi, Bahar</t>
  </si>
  <si>
    <t>Multi-tier analysis of the medical equipment supply chain network: empirical analysis and simulation of a major rupture</t>
  </si>
  <si>
    <t>Medical equipment; Supply chain; COVID-19; China; Network centrality; Network analysis; Financial performance; Simulation</t>
  </si>
  <si>
    <t>HEALTH-CARE; RESILIENCE; MANAGEMENT; QUALITY; TECHNOLOGIES; PERFORMANCE; FRAMEWORK; DESIGN; MODEL; RISK</t>
  </si>
  <si>
    <t>Purpose While a global supply network can provide stability to address localized interruptions, however, the recent global pandemic materialized many concerns and risks associated with the global supply network. Considering the short-term and long-term effects of changes in the global supply chain, this research explores how the location characteristics of the firms across the supply chain affect their performance. Design/methodology/approach Using the mined data from five tiers of the backward supply chain of medical equipment, the authors constructed a large supply chain network consisting of close to 160,000 dyadic connections. The authors used various network centrality and clustering algorithms to measure the influence of each firm across the supply chain structure. Furthermore, the authors ran a scenario to simulate the elimination of Chinese firms from the global supply chain and recalculated all centralities. Regression analysis was used to measure the effect of supply chain network centralities on firms' performance across the supply chain with and without Chinese firms. Findings The complexity of global purchasing across global tiers of supply networks had been recognized as a source of uncertainty before the COVID-19 pandemic. This pandemic was the black swan that the medical supply chain professionals had noted its threat in recent years. While a global supply network can provide stability to address localized interruptions, however, the recent global pandemic materialized many concerns and risks associated with the global supply network. Considering the short-term and long-term effects of changes in the global supply chain, this research explores how the location characteristics of the firms across the supply chain affect their performance. Research limitations/implications This research has three main implications. First, it provides a benchmark for manufacturing firms and distributors around the world operating in the post-COVID-19 business environment to better understand the relationship of their supply chain strategy and firms' financial performance. Second, investors and asset managers can evaluate their portfolios in light of the changing relationship as a result of possible protectionism initiatives. Finally, policymakers can apply the research methodology of this work in various industries while reevaluating post-COVID-19 international relations and trades policies at the firm, industry and country levels. Practical implications Policymakers working on global connection can utilize the outcome of this research to explore the consequences of local and global policies on trade patterns, organizational performance as well as individuals' movements. Another implication of this study for policymakers is that it provides a powerful simulation and analytical tool to launch or combat the global ruptures, including trade wars and natural disasters stemming from natural events (e.g. climate change) and human-made events (e.g. wars, supply-chain interruptions, sanctions). Originality/value To the best of our knowledge, this is the first large-scale empirical study that measures the effect of supply chain structure across multiple (five) tiers of the global supply chain on firms' performance. The present study uses the original supply chain network data mined by the authors from financial publications.</t>
  </si>
  <si>
    <t>[Lavassani, Kayvan Miri; Iyengar, Raghavan; Movahedi, Bahar] North Carolina Cent Univ, Sch Business, Durham, NC 27707 USA</t>
  </si>
  <si>
    <t>University of North Carolina; North Carolina Central University</t>
  </si>
  <si>
    <t>Lavassani, KM (corresponding author), North Carolina Cent Univ, Sch Business, Durham, NC 27707 USA.</t>
  </si>
  <si>
    <t>klavassa@nccu.edu</t>
  </si>
  <si>
    <t>North Carolina Policy Collaboratory at the University of North Carolina at Chapel Hill; North Carolina Coronavirus Relief Funds; University of North Carolina at Chapel Hill</t>
  </si>
  <si>
    <t>The authors would like to convey their appreciation to the editors and anonymous reviewers for their valuable feedback and recommendations. Funding: This work was supported by the North Carolina Policy Collaboratory at the University of North Carolina at Chapel Hill with funding from the North Carolina Coronavirus Relief Funds and University of North Carolina at Chapel Hill. This project is part of the NCCU Advanced Center for COVID-Related Disparities (ACCORD).</t>
  </si>
  <si>
    <t>FEB 14</t>
  </si>
  <si>
    <t>10.1108/BIJ-02-2021-0095</t>
  </si>
  <si>
    <t>9C8LB</t>
  </si>
  <si>
    <t>WOS:000771602100001</t>
  </si>
  <si>
    <t>Goncalves, JNC; Cortez, P; Carvalho, MS</t>
  </si>
  <si>
    <t>Goncalves, Joao N. C.; Cortez, Paulo; Carvalho, M. Sameiro</t>
  </si>
  <si>
    <t>K-means clustering combined with principal component analysis for material profiling in automotive supply chains</t>
  </si>
  <si>
    <t>EUROPEAN JOURNAL OF INDUSTRIAL ENGINEERING</t>
  </si>
  <si>
    <t>supply chain; data mining; K-means clustering; principal component analysis; PCA</t>
  </si>
  <si>
    <t>MATRIX; COLLABORATION; REPLENISHMENT; COVARIANCE; VALIDATION; ALGORITHMS; MANAGEMENT; PARTS</t>
  </si>
  <si>
    <t>At a time where available data is rapidly increasing in both volume and variety, descriptive data mining (DM) can be an important tool to support meaningful decision-making processes in dynamic supply chain (SC) contexts. Up until now, however, scarce attention has been given to the application of DM techniques in the field of inventory management. Here, we take advantage of descriptive DM to detect and grasp important patterns among several features that coexist in a real-world automotive SC. Principal component analysis (PCA) is employed to analyse and understand the interrelations between ten quantitative and dependent variables in a multi-item/multi-supplier environment. Afterwards, the principal component scores are characterised via a K-means clustering, allowing us to classify the samples into four clusters and to derive different profiles for the multiple inventory items. This work provides evidence that descriptive DM contributes to find interesting feature-patterns, resulting in the identification of important risk profiles that may effectively leverage inventory management for improved SC performance.</t>
  </si>
  <si>
    <t>[Goncalves, Joao N. C.; Carvalho, M. Sameiro] Univ Minho, Dept Prod &amp; Syst, ALGORITMI Res Ctr, Braga, Portugal; [Cortez, Paulo] Univ Minho, Dept Informat Syst, ALGORITMI Res Ctr, Guimaraes, Portugal</t>
  </si>
  <si>
    <t>Universidade do Minho; Universidade do Minho</t>
  </si>
  <si>
    <t>Goncalves, JNC (corresponding author), Univ Minho, Dept Prod &amp; Syst, ALGORITMI Res Ctr, Braga, Portugal.</t>
  </si>
  <si>
    <t>jncostagoncalves@gmail.com; pcortez@dsi.uminho.pt; sameiro@dps.uminho.pt</t>
  </si>
  <si>
    <t>Cortez, Paulo/A-2674-2008; Carvalho, Maria/E-6812-2012; N.C. Gonçalves, João/GOE-5856-2022</t>
  </si>
  <si>
    <t>Cortez, Paulo/0000-0002-7991-2090; Carvalho, Maria/0000-0001-7057-6775; N.C. Gonçalves, João/0000-0002-0933-1995</t>
  </si>
  <si>
    <t>FCT - Fundacao para a Ciencia e Tecnologia within the RD Units Project [UIDB/00319/2020]</t>
  </si>
  <si>
    <t>FCT - Fundacao para a Ciencia e Tecnologia within the RD Units Project(Fundacao para a Ciencia e a Tecnologia (FCT))</t>
  </si>
  <si>
    <t>This work has been supported by FCT - Fundacao para a Ciencia e Tecnologia within the R&amp;D Units Project Scope: UIDB/00319/2020. The authors want to extend grateful thanks to the editors and reviewers, whose comments have greatly improved the quality of the paper.</t>
  </si>
  <si>
    <t>INDERSCIENCE ENTERPRISES LTD</t>
  </si>
  <si>
    <t>GENEVA</t>
  </si>
  <si>
    <t>WORLD TRADE CENTER BLDG, 29 ROUTE DE PRE-BOIS, CASE POSTALE 856, CH-1215 GENEVA, SWITZERLAND</t>
  </si>
  <si>
    <t>1751-5254</t>
  </si>
  <si>
    <t>1751-5262</t>
  </si>
  <si>
    <t>EUR J IND ENG</t>
  </si>
  <si>
    <t>Eur. J. Ind. Eng.</t>
  </si>
  <si>
    <t>10.1504/EJIE.2021.114009</t>
  </si>
  <si>
    <t>Engineering, Industrial; Operations Research &amp; Management Science</t>
  </si>
  <si>
    <t>RJ7QQ</t>
  </si>
  <si>
    <t>WOS:000637797100005</t>
  </si>
  <si>
    <t>Nofal, S; Alfarrarjeh, A; Abu Jabal, A</t>
  </si>
  <si>
    <t>Nofal, Samer; Alfarrarjeh, Abdullah; Abu Jabal, Amani</t>
  </si>
  <si>
    <t>A use case of anomaly detection for identifying unusual water consumption in Jordan</t>
  </si>
  <si>
    <t>anomaly detection; water consumption; water supply network</t>
  </si>
  <si>
    <t>We present a use case of anomaly detection for identifying the unusual water consumption of consumers. Unusual water consumption may be due to a faulty water meter, fraudulent tampering with a water meter, or a leak in the water pipes within the consumer's property. We apply several anomaly detection methods to a real dataset of 22,877 mechanical water meters located in Amman, the capital city of Jordan. The dataset is unlabeled such that no discrimination is given for any meter whether it records a normal water consumption or not. The objective of this study is to test the hypothesis of that abnormal water consumption (registered by a given water meter) can be identified based on previous records of water consumption measured by the same meter. We tested our hypothesis using well-known anomaly detection methods, namely: z-score (zs), local outlier factor (lof), density-based spatial clustering of applications with noise (dbscan), minimum covariance determinant (mcd), one-class support vector machine (ocsvm), and isolation forest (forest). In the settings of our experiments, we observed that zs, lof, ocsvm and forest support our hypothesis, on the contrary of dbscan and mcd.</t>
  </si>
  <si>
    <t>[Nofal, Samer; Alfarrarjeh, Abdullah; Abu Jabal, Amani] German Jordanian Univ, Dept Comp Sci, POB 35247, Amman 11180, Jordan</t>
  </si>
  <si>
    <t>German-Jordanian University</t>
  </si>
  <si>
    <t>Nofal, S (corresponding author), German Jordanian Univ, Dept Comp Sci, POB 35247, Amman 11180, Jordan.</t>
  </si>
  <si>
    <t>samer.nofal@gju.edu.jo</t>
  </si>
  <si>
    <t>Alfarrarjeh, Abdullah/HJI-7510-2023; Abu Jabal, Amani/HFI-3479-2022</t>
  </si>
  <si>
    <t>deanship of scientific research at the German Jordanian University [SEEIT 05/2020]</t>
  </si>
  <si>
    <t>deanship of scientific research at the German Jordanian University</t>
  </si>
  <si>
    <t>This study is supported by the deanship of scientific research at the German Jordanian University (project number SEEIT 05/2020). The authors thank Abedlrahman M.Kanan (from the Jordan company of water utility Miyahuna), Aya Aljaloudi, and Jack Abuzulof (from German Jordanian University) for the help in providing the dataset of this study.</t>
  </si>
  <si>
    <t>10.2166/ws.2021.210</t>
  </si>
  <si>
    <t>YN9TA</t>
  </si>
  <si>
    <t>WOS:000670011300001</t>
  </si>
  <si>
    <t>Dev, NK; Shankar, R; Gunasekaran, A; Thakur, LS</t>
  </si>
  <si>
    <t>Dev, Navin K.; Shankar, Ravi; Gunasekaran, Angappa; Thakur, Lakshman S.</t>
  </si>
  <si>
    <t>A hybrid adaptive decision system for supply chain reconfiguration</t>
  </si>
  <si>
    <t>supply chain management; agent-based discrete event simulation; data mining; entropy; decision support system</t>
  </si>
  <si>
    <t>DISTRIBUTED SIMULATION; LEAD TIME; INFORMATION; FRAMEWORK; NETWORK; MANAGEMENT; COORDINATION; PERFORMANCE; STRATEGIES; IMPACT</t>
  </si>
  <si>
    <t>Due to short product life cycle, it is expedient to reconfiguration an existing supply chain from time to time. Companies need to impose the standards on operational units for finding the best or the near best alternative configuration. Thus, it becomes imperative to effectively adapt various enablers in a supply chain by understanding the dynamics between them that help to reconfigure a supply chain for high levels of performance. This paper presents an integration of agent-based simulation and decision tree learning as the data mining techniques to determine adaptive decisions of operational units of a mobile phone supply chain. Agent-based simulation output is subjected to data mining analysis to understand system behaviour in terms of interactions and the factors influencing the performance. An entropy-based formulation is proposed as the basis for comparing different operational units in the supply chain. The insights obtained are then encapsulated as operational rules and guidelines supporting better decision-making.</t>
  </si>
  <si>
    <t>[Dev, Navin K.] Dayalbagh Educ Inst, Dept Mech Engn, Agra, Uttar Pradesh, India; [Shankar, Ravi] Indian Inst Technol Delhi, Dept Management Studies, New Delhi, India; [Gunasekaran, Angappa] Univ Massachusetts, Dept Decis &amp; Informat Sci, Dartmouth, MA USA; [Thakur, Lakshman S.] Univ Connecticut, Dept Operat &amp; Informat Management, Storrs, CT USA</t>
  </si>
  <si>
    <t>Dayalbagh Educational Institute (DEI); Indian Institute of Technology System (IIT System); Indian Institute of Technology (IIT) - Delhi; University of Massachusetts System; University Massachusetts Dartmouth; University of Connecticut</t>
  </si>
  <si>
    <t>Dev, NK (corresponding author), Dayalbagh Educ Inst, Dept Mech Engn, Agra, Uttar Pradesh, India.</t>
  </si>
  <si>
    <t>navinkumardev@yahoo.com</t>
  </si>
  <si>
    <t>Shankar, Ravi/HSF-1169-2023</t>
  </si>
  <si>
    <t>SHANKAR, RAVI/0000-0001-8724-593X</t>
  </si>
  <si>
    <t>10.1080/00207543.2015.1134842</t>
  </si>
  <si>
    <t>EA7HH</t>
  </si>
  <si>
    <t>WOS:000386800900014</t>
  </si>
  <si>
    <t>Chatzidimitriou, KC; Symeonidis, AL</t>
  </si>
  <si>
    <t>Chatzidimitriou, Kyriakos C.; Symeonidis, Andreas L.</t>
  </si>
  <si>
    <t>Data-Mining-Enhanced Agents in Dynamic Supply-Chain-Management Environments</t>
  </si>
  <si>
    <t>IEEE INTELLIGENT SYSTEMS</t>
  </si>
  <si>
    <t>[Chatzidimitriou, Kyriakos C.; Symeonidis, Andreas L.] Aristotle Univ Thessaloniki, Dept Elect &amp; Comp Engn, Thessaloniki, Greece; [Symeonidis, Andreas L.] Informat &amp; Telemat Inst, Thessaloniki, Greece</t>
  </si>
  <si>
    <t>Aristotle University of Thessaloniki</t>
  </si>
  <si>
    <t>Chatzidimitriou, KC (corresponding author), Aristotle Univ Thessaloniki, Dept Elect &amp; Comp Engn, Thessaloniki, Greece.</t>
  </si>
  <si>
    <t>kyrcha@issel.ee.auth.gr; asymeon@issel.ee.auth.gr</t>
  </si>
  <si>
    <t>Chatzidimitriou, Kyriakos/P-2505-2019; Symeonidis, Andreas/N-3313-2015</t>
  </si>
  <si>
    <t>Chatzidimitriou, Kyriakos/0000-0003-0715-1197; Symeonidis, Andreas/0000-0003-0235-6046</t>
  </si>
  <si>
    <t>IEEE COMPUTER SOC</t>
  </si>
  <si>
    <t>LOS ALAMITOS</t>
  </si>
  <si>
    <t>10662 LOS VAQUEROS CIRCLE, PO BOX 3014, LOS ALAMITOS, CA 90720-1314 USA</t>
  </si>
  <si>
    <t>1541-1672</t>
  </si>
  <si>
    <t>1941-1294</t>
  </si>
  <si>
    <t>IEEE INTELL SYST</t>
  </si>
  <si>
    <t>IEEE Intell. Syst.</t>
  </si>
  <si>
    <t>MAY-JUN</t>
  </si>
  <si>
    <t>10.1109/MIS.2009.51</t>
  </si>
  <si>
    <t>449KR</t>
  </si>
  <si>
    <t>WOS:000266330000010</t>
  </si>
  <si>
    <t>Kochakkashani, F; Kayvanfar, V; Haji, A</t>
  </si>
  <si>
    <t>Kochakkashani, Farid; Kayvanfar, Vahid; Haji, Alireza</t>
  </si>
  <si>
    <t>Supply chain planning of vaccine and pharmaceutical clusters under uncertainty: The case of COVID-19</t>
  </si>
  <si>
    <t>SOCIO-ECONOMIC PLANNING SCIENCES</t>
  </si>
  <si>
    <t>Pharmaceutical supply chain; Vaccine supply chain; Mathematical optimization; Stochastic programming; K-means clustering; COVID-19 epidemic; Cold chain</t>
  </si>
  <si>
    <t>INDUSTRIAL CLUSTERS; DEMAND HUB; HEALTH; NETWORK; FUTURE; DESIGN</t>
  </si>
  <si>
    <t>As an abrupt epidemic occurs, healthcare systems are shocked by the surge in the number of susceptible patients' demands, and decision-makers mostly rely on their frame of reference for urgent decision-making. Many reports have declared the COVID-19 impediments to trading and global economic growth. This study aims to provide a mathematical model to support pharmaceutical supply chain planning during the COVID-19 epidemic. Additionally, it aims to offer new insights into hospital supply chain problems by unifying cold and non-cold chains and considering a wide range of pharmaceuticals and vaccines. This approach is unprecedented and includes an analysis of various pharmaceutical features such as temperature, shelf life, priority, and clustering. To propose a model for planning the pharmaceutical supply chains, a mixed-integer linear programming (MILP) model is used for a four-echelon supply chain design. This model aims to minimize the costs involved in the pharmaceutical supply chain by maintaining an acceptable service level. Also, this paper considers uncertainty as an intrinsic part of the problem and addresses it through the wait-and-see method. Furthermore, an unexplored unsupervised learning method in the realm of supply chain planning has been used to cluster the pharmaceuticals and the vaccines and its merits and drawbacks are proposed. A case of Tehran hospitals with real data has been used to show the model's capabilities, as well. Based on the obtained results, the proposed approach is able to reach the optimum service level in the COVID conditions while maintaining a reduced cost. The experiment illustrates that the hospitals' adjacency and emergency orders alleviated the service level significantly. The proposed MILP model has proven to be efficient in providing a practical intuition for decision-makers. The clustering technique reduced the size of the problem and the time required to solve the model considerably.</t>
  </si>
  <si>
    <t>[Kochakkashani, Farid] George Washington Univ, Dept Elect &amp; Comp Engn, Washington, DC USA; [Kayvanfar, Vahid] Hamad Bin Khalifa Univ, Qatar Fdn, Coll Sci &amp; Engn, Div Engn Management &amp; Decis Sci, Doha, Qatar; [Haji, Alireza] Sharif Univ Technol, Dept Ind Engn, Tehran, Iran</t>
  </si>
  <si>
    <t>George Washington University; Qatar Foundation (QF); Hamad Bin Khalifa University-Qatar; Sharif University of Technology</t>
  </si>
  <si>
    <t>Kayvanfar, V (corresponding author), Hamad Bin Khalifa Univ, Qatar Fdn, Coll Sci &amp; Engn, Div Engn Management &amp; Decis Sci, Doha, Qatar.</t>
  </si>
  <si>
    <t>valikayvanfar@hbku.edu.qa</t>
  </si>
  <si>
    <t>Kayvanfar, Vahid/D-6879-2015</t>
  </si>
  <si>
    <t>Kayvanfar, Vahid/0000-0001-8268-9873</t>
  </si>
  <si>
    <t>0038-0121</t>
  </si>
  <si>
    <t>1873-6041</t>
  </si>
  <si>
    <t>SOCIO-ECON PLAN SCI</t>
  </si>
  <si>
    <t>Socio-Econ. Plan. Sci.</t>
  </si>
  <si>
    <t>10.1016/j.seps.2023.101602</t>
  </si>
  <si>
    <t>Economics; Management; Operations Research &amp; Management Science</t>
  </si>
  <si>
    <t>J5HC9</t>
  </si>
  <si>
    <t>WOS:001009917900001</t>
  </si>
  <si>
    <t>Chauhdary, SH; Alkatheiri, MS; Alqarni, MA; Saleem, S</t>
  </si>
  <si>
    <t>Chauhdary, Sajjad Hussain; Alkatheiri, Mohammed Saeed; Alqarni, Mohammed A.; Saleem, Sajid</t>
  </si>
  <si>
    <t>An efficient evolutionary deep learning-based attack prediction in supply chain management systems</t>
  </si>
  <si>
    <t>COMPUTERS &amp; ELECTRICAL ENGINEERING</t>
  </si>
  <si>
    <t>Supply chain management system; Attack prediction; Deep learning; Deep belief network; Extreme learning machine; Social spider optimization; Poor and rich optimization</t>
  </si>
  <si>
    <t>NOMA</t>
  </si>
  <si>
    <t>Supply Chain Management Systems (SCM) is the critical infrastructure that can be treated as a significant factor since it forms advancement in intelligent devices. The cyber-attacks against SCM are increasing day by day, and detecting these cyber-related attacks remains a challenging task. In general, deep learning algorithms are superior in handling complex datasets than machine learning approaches because of their layered structure and practical algorithms to extract the relevant information from the input training data. Deep Learning (DL) methodologies are rapidly being utilized to counter cyber-attacks on Supply Chain Management (SCM) systems. This research proposes a new method that leverages evolutionary and DL approaches to detect cyberattacks in a cloud-based SCM environment. The input data undergoes preprocessing to convert it to a suitable format. To reduce the complexity of high dimensional data and select the most relevant features, Evolution Social Spider Optimization (ESSO) is employed. A Deep Belief Network (DBM) trained by an Extreme Learning Machine (ELM) is then introduced to identify and classify cyber-attacks. The performance of the proposed network is improved through fine-tuning using Poor and Rich Optimization (PRO) algorithms. The proposed PRO-optimized ELM-trained DBM model aims to enhance security in the SCM environment by recognizing and classifying intrusions. The performance of the proposed model is experimented on benchmark datasets and compared with traditional approaches. The depicted results based on various measures show that the proposed ELMDBN-PRO in Blockchain of Things-Internet of Things (BoT-IoT) dataset achieves an average accuracy of 99%, mod bus dataset achieves 99.5% over recent approaches.</t>
  </si>
  <si>
    <t>[Chauhdary, Sajjad Hussain] Univ Jeddah, Coll Comp Sci &amp; Engn, Dept Comp Sci &amp; Artificial Intelligence, Jeddah, Saudi Arabia; [Alkatheiri, Mohammed Saeed] Univ Jeddah, Coll Comp Sci &amp; Engn, Dept Cybersecur, Jeddah, Saudi Arabia; [Alqarni, Mohammed A.] Univ Jeddah, Coll Comp Sci &amp; Engn, Dept Software Engn, Jeddah, Saudi Arabia; [Saleem, Sajid] Univ Jeddah, Coll Comp Sci &amp; Engn, Dept Comp &amp; Network Engn, Jeddah, Saudi Arabia</t>
  </si>
  <si>
    <t>University of Jeddah; University of Jeddah; University of Jeddah; University of Jeddah</t>
  </si>
  <si>
    <t>Chauhdary, SH (corresponding author), Univ Jeddah, Coll Comp Sci &amp; Engn, Dept Comp Sci &amp; Artificial Intelligence, Jeddah, Saudi Arabia.</t>
  </si>
  <si>
    <t>shussain1@uj.edu.sa</t>
  </si>
  <si>
    <t>Chauhdary, Sajjad Hussain/H-8708-2014</t>
  </si>
  <si>
    <t>Chauhdary, Sajjad Hussain/0000-0001-8552-5786</t>
  </si>
  <si>
    <t>Deputyship for Research &amp; Innovation, Ministry of Education in Saudi Arabia [MoE-IFG-20-6]</t>
  </si>
  <si>
    <t>Deputyship for Research &amp; Innovation, Ministry of Education in Saudi Arabia</t>
  </si>
  <si>
    <t>The authors extend their appreciation to the Deputyship for Research &amp; Innovation, Ministry of Education in Saudi Arabia for funding this research work through the project number MoE-IFG-20-6.</t>
  </si>
  <si>
    <t>0045-7906</t>
  </si>
  <si>
    <t>1879-0755</t>
  </si>
  <si>
    <t>COMPUT ELECTR ENG</t>
  </si>
  <si>
    <t>Comput. Electr. Eng.</t>
  </si>
  <si>
    <t>A</t>
  </si>
  <si>
    <t>10.1016/j.compeleceng.2023.108768</t>
  </si>
  <si>
    <t>Computer Science, Hardware &amp; Architecture; Computer Science, Interdisciplinary Applications; Engineering, Electrical &amp; Electronic</t>
  </si>
  <si>
    <t>J0OL7</t>
  </si>
  <si>
    <t>WOS:001006685100001</t>
  </si>
  <si>
    <t>Ma, JZ; Zhan, GY; Yang, F; Chen, XP</t>
  </si>
  <si>
    <t>Ma Jingze; Zhan Guoye; Yang Fan; Chen Xingpei</t>
  </si>
  <si>
    <t>Data-Driven Information Management Method of Power Supply Chains Using Mobile Cloud Computing</t>
  </si>
  <si>
    <t>JOURNAL OF INTERCONNECTION NETWORKS</t>
  </si>
  <si>
    <t>Cloud platform; power grid materials; supply chain; proximity matrix; anomaly detection; information management</t>
  </si>
  <si>
    <t>Based on the spring, spring MVC and MyBatis structures of the cloud platform SSM framework, an information management platform for power grid material supply chain is built. The data layer uses a variety of sensors to collect power grid material supply chain information, and the information is fed back to the data storage layer after being integrated by the logical reorganization function of the persistence layer. The data storage layer uses the multi-sensor supply chain information fusion method based on paste progress to fuse the information and store it in the database. The business logic layer calls the information in the database and uses the improved k-means clustering algorithm to detect the abnormal supply chain data information. After calculation and data control by the control layer, the data management results are displayed through the presentation layer. The experimental results show that the absolute error of data fusion is very low. It can effectively cluster data information and distinguish outlier anomaly information at the same time, and the effect of information management is good.</t>
  </si>
  <si>
    <t>[Ma Jingze; Zhan Guoye; Yang Fan; Chen Xingpei] Yunnan Power Grid Mat Co Ltd, Kunming 650000, Yunnan, Peoples R China</t>
  </si>
  <si>
    <t>Zhan, GY (corresponding author), Yunnan Power Grid Mat Co Ltd, Kunming 650000, Yunnan, Peoples R China.</t>
  </si>
  <si>
    <t>ncepumjz@163.com; ng7421888pan@163.com; 962068593@qq.com; 3226385407@qq.com</t>
  </si>
  <si>
    <t>WORLD SCIENTIFIC PUBL CO PTE LTD</t>
  </si>
  <si>
    <t>SINGAPORE</t>
  </si>
  <si>
    <t>5 TOH TUCK LINK, SINGAPORE 596224, SINGAPORE</t>
  </si>
  <si>
    <t>0219-2659</t>
  </si>
  <si>
    <t>1793-6713</t>
  </si>
  <si>
    <t>J INTERCONNECT NETW</t>
  </si>
  <si>
    <t>J. Interconnect. Netw.</t>
  </si>
  <si>
    <t>2022 NOV 21</t>
  </si>
  <si>
    <t>10.1142/S0219265922420026</t>
  </si>
  <si>
    <t>6J3SC</t>
  </si>
  <si>
    <t>WOS:000886744200002</t>
  </si>
  <si>
    <t>Gumte, K; Pantula, PD; Miriyala, SS; Mitra, K</t>
  </si>
  <si>
    <t>Gumte, Kapil; Pantula, Priyanka Devi; Miriyala, Srinivas Soumitri; Mitra, Kishalay</t>
  </si>
  <si>
    <t>Achieving wealth from bio-waste in a nationwide supply chain setup under uncertain environment through data driven robust optimization approach</t>
  </si>
  <si>
    <t>Machine learning; Robust optimization; Supply chain uncertainty; Bio-waste; Neuro fuzzy clustering; MILP</t>
  </si>
  <si>
    <t>NETWORK DESIGN; BIOFUEL PRODUCTION; BIOENERGY; OIL; SUSTAINABILITY; ETHANOL; IMPACT</t>
  </si>
  <si>
    <t>Addressing dual crisis of fossil fuels i.e. environmental as well as gradually decreasing reserves, design of a nationwide robust supply chain network based on bio-energy has been presented in this work. The four echelon supply chain caters the target of blending 20% bio fuels with conventional fuel during 2018 e2026. The mixed integer linear programming model considers handling of multiple types of feed sources, products, transport options while performing the techno, economic and environmental analysis of the supply chain to optimally determine the operational and design decisions. The uncertainty in demand, import product price and biomass feed supply has been tackled using data driven robust optimization approach developed using fuzzy transcription of discontinuous uncertain parameter space using machine learning based unsupervised learning methods. To handle a-50% increase in overall biofuel demand over the nine-year planning horizon, the deterministic model shows a dynamically changing supply chain with a-20% increase in the newly added locations; however, the worst case robust optimization results are reported to be 6% leaner than the results obtained for the deterministic model. The sensitivity analysis of biomass availability on net present value indicates the need of 43% and above biomass feed supply to run such bio supply chain sector to survive. (c) 2021 Elsevier Ltd. All rights reserved.</t>
  </si>
  <si>
    <t>[Gumte, Kapil; Pantula, Priyanka Devi; Miriyala, Srinivas Soumitri; Mitra, Kishalay] Indian Inst Technol Hyderabad, Dept Chem Engn, Global Optimizat &amp; Knowledge Unearthing Lab, Medak 502285, Telangana, India</t>
  </si>
  <si>
    <t>Indian Institute of Technology System (IIT System); Indian Institute of Technology (IIT) - Hyderabad</t>
  </si>
  <si>
    <t>Mitra, K (corresponding author), Indian Inst Technol Hyderabad, Dept Chem Engn, Global Optimizat &amp; Knowledge Unearthing Lab, Medak 502285, Telangana, India.</t>
  </si>
  <si>
    <t>kishalay@che.iith.ac.in</t>
  </si>
  <si>
    <t>gumte, kapil/AGE-9923-2022; Mitra, Kishalay/T-2361-2019</t>
  </si>
  <si>
    <t>gumte, kapil/0000-0001-8151-8554; Mitra, Kishalay/0000-0001-5660-6878</t>
  </si>
  <si>
    <t>Ministry of Human Resource Development (MHRD), Government of India [SPARC/2018-2019/P1084/SL]; Department of Biotechnology, Government of India [BT/PR34209/AI/133/19/2019]</t>
  </si>
  <si>
    <t>Ministry of Human Resource Development (MHRD), Government of India(Ministry of Human Resource Development (MHRD), Government of India); Department of Biotechnology, Government of India(Department of Biotechnology (DBT) India)</t>
  </si>
  <si>
    <t>The authors acknowledge the support provided by the Ministry of Human Resource Development (MHRD), Government of India [SPARC/2018-2019/P1084/SL] and the Department of Biotechnology, Government of India [BT/PR34209/AI/133/19/2019] for this work.</t>
  </si>
  <si>
    <t>APR 1</t>
  </si>
  <si>
    <t>10.1016/j.jclepro.2020.125702</t>
  </si>
  <si>
    <t>JAN 2021</t>
  </si>
  <si>
    <t>QQ7AK</t>
  </si>
  <si>
    <t>WOS:000624673800010</t>
  </si>
  <si>
    <t>Holimchayachotikul, P; Derrouiche, R; Damand, D; Leksakul, K</t>
  </si>
  <si>
    <t>Holimchayachotikul, Pongsak; Derrouiche, Ridha; Damand, David; Leksakul, Komgrit</t>
  </si>
  <si>
    <t>Value creation through collaborative supply chain: holistic performance enhancement road map</t>
  </si>
  <si>
    <t>supply chain collaboration; value creation; holistic performance enhancement road map K-Means; particle swarm intelligence; association rules</t>
  </si>
  <si>
    <t>FRAMEWORK; TRUST</t>
  </si>
  <si>
    <t>This paper proposes an integrated novel framework between B2B-SCM using data mining techniques such as K-Means based on particle swarm intelligence (particle swarm optimisation) and association rule. It constructs relationship rules of holistic performance enhancement road map. The data-set of relationships between enterprise and its direct customers of the case study organisations in France was used for demonstration. The experiment results show how domain managers powerfully utilise the graphical analysis results to provide the holistic performance improvement and weakness resolution relationship rules. In the long run, organisations are able to use this framework to design and adjust their units to conform the exact customer needs. This paper introduces and explains a new idea of measuring value added along the supply chain from a collaborative perspective. The extended model is adapted from our previous model and from balanced scorecard model. It provides a tool to measure tangible and intangible value between partners.</t>
  </si>
  <si>
    <t>[Holimchayachotikul, Pongsak; Leksakul, Komgrit] Chiang Mai Univ, Dept Ind Engn, Fac Engn, Chiang Mai 50200, Thailand; [Derrouiche, Ridha] St Etienne Sch Management ESC, UMR 5600, F-42009 St Etienne, France; [Damand, David] HuManis EM Strasbourg Business Sch, F-67085 Strasbourg, France</t>
  </si>
  <si>
    <t>Chiang Mai University; Centre National de la Recherche Scientifique (CNRS); CNRS - Institute of Ecology &amp; Environment (INEE); Ecole Normale Superieure de Lyon (ENS de LYON); Institut National des Sciences Appliquees de Lyon - INSA Lyon; Universite Jean Monnet; Universite Jean Moulin Lyon 3; Universite Lyon 2</t>
  </si>
  <si>
    <t>Derrouiche, R (corresponding author), St Etienne Sch Management ESC, UMR 5600, 51-52 Cours Fauriel,BP 29, F-42009 St Etienne, France.</t>
  </si>
  <si>
    <t>ridha_derrouiche@esc-saint-etienne.fr</t>
  </si>
  <si>
    <t>Leksakul, K./AAL-4496-2021; Ridha, Derrouiche/AAA-1644-2020</t>
  </si>
  <si>
    <t>Derrouiche, Ridha/0000-0003-2877-1264</t>
  </si>
  <si>
    <t>Thailand Research Fund (TRF) through the Royal Golden Jubilee (RGJ) PhD Program [PHD/0090/2553]</t>
  </si>
  <si>
    <t>Thailand Research Fund (TRF) through the Royal Golden Jubilee (RGJ) PhD Program(Thailand Research Fund (TRF))</t>
  </si>
  <si>
    <t>Financial support was provided by the Thailand Research Fund (TRF) through the Royal Golden Jubilee (RGJ) PhD Program (PHD/0090/2553).</t>
  </si>
  <si>
    <t>10.1080/09537287.2013.780313</t>
  </si>
  <si>
    <t>AJ4FL</t>
  </si>
  <si>
    <t>WOS:000337627600004</t>
  </si>
  <si>
    <t>Afify, AA; Dimov, SS; Naim, M; Valeva, V; Shukla, V</t>
  </si>
  <si>
    <t>Afify, A. A.; Dimov, S. S.; Naim, M.; Valeva, V.; Shukla, V.</t>
  </si>
  <si>
    <t>Data mining: a tool for detecting cyclical disturbances in supply networks</t>
  </si>
  <si>
    <t>PROCEEDINGS OF THE INSTITUTION OF MECHANICAL ENGINEERS PART B-JOURNAL OF ENGINEERING MANUFACTURE</t>
  </si>
  <si>
    <t>data mining; supply chains; uncertainty; time series; spectral analysis; incremental k-means clustering; rule induction</t>
  </si>
  <si>
    <t>INFORMATION DISTORTION; CHAIN; ALGORITHM; UNCERTAINTY; DEMAND</t>
  </si>
  <si>
    <t>Disturbances in supply chains may be either exogenous or endogenous. The ability automatically to detect, diagnose, and distinguish between the causes of disturbances is of prime importance to decision makers in order to avoid uncertainty. The spectral principal component analysis (SPCA) technique has been utilized to distinguish between real and rogue disturbances in a steel supply network. The data set used was collected from four different business units in the network and consists of 43 variables; each is described by 72 data points. The present paper will utilize the same data set to test an alternative approach to SPCA in detecting the disturbances. The new approach employs statistical data pre-processing, clustering, and classification learning techniques to analyse the supply network data. In particular, the incremental k-means clustering and the RULES-6 classification rule-learning algorithms, developed by the present authors' team, have been applied to identify important patterns in the data set. Results show that the proposed approach has the capability automatically to detect and characterize network-wide cyclical disturbances and generate hypotheses about their root cause.</t>
  </si>
  <si>
    <t>[Afify, A. A.; Dimov, S. S.; Valeva, V.] Cardiff Univ, Mfg Engn Ctr, Innovat Mfg Res Ctr, Cardiff CF24 3AA, S Glam, Wales; [Naim, M.; Shukla, V.] Cardiff Univ, Innovat Mfg Res Ctr, Logist Syst Dynam Grp, Cardiff, S Glam, Wales</t>
  </si>
  <si>
    <t>Cardiff University; Cardiff University</t>
  </si>
  <si>
    <t>Dimov, SS (corresponding author), Cardiff Univ, Mfg Engn Ctr, Innovat Mfg Res Ctr, Queens Bldg, Cardiff CF24 3AA, S Glam, Wales.</t>
  </si>
  <si>
    <t>Dimov@cardiff.ac.uk</t>
  </si>
  <si>
    <t>Dimov, Stefan S/N-3222-2015</t>
  </si>
  <si>
    <t>Dimov, Stefan S/0000-0001-5173-7414</t>
  </si>
  <si>
    <t>0954-4054</t>
  </si>
  <si>
    <t>2041-1975</t>
  </si>
  <si>
    <t>P I MECH ENG B-J ENG</t>
  </si>
  <si>
    <t>Proc. Inst. Mech. Eng. Part B-J. Eng. Manuf.</t>
  </si>
  <si>
    <t>10.1243/09544054JEM879</t>
  </si>
  <si>
    <t>Engineering, Manufacturing; Engineering, Mechanical</t>
  </si>
  <si>
    <t>255CH</t>
  </si>
  <si>
    <t>Green Submitted, Green Accepted</t>
  </si>
  <si>
    <t>WOS:000252633800013</t>
  </si>
  <si>
    <t>Panjehfouladgaran, H; Lim, SFWT</t>
  </si>
  <si>
    <t>Panjehfouladgaran, Hamidreza; Lim, Stanley Frederick W. T.</t>
  </si>
  <si>
    <t>Reverse logistics risk management: identification, clustering and risk mitigation strategies</t>
  </si>
  <si>
    <t>MANAGEMENT DECISION</t>
  </si>
  <si>
    <t>Reverse logistics; Supply chain management; Risk management; Clustering; Self-organising map; Risk factors</t>
  </si>
  <si>
    <t>SUPPLY CHAIN RISK; SELF-ORGANIZING MAP; UTILIZING CONDITIONAL VALUE; SOM NEURAL-NETWORK; QUANTITATIVE MODELS; FRAMEWORK; DESIGN; PERSPECTIVES; PERFORMANCE; BARRIERS</t>
  </si>
  <si>
    <t>Purpose Reverse logistics (RL), an inseparable aspect of supply chain management, returns used products to recovery processes with the aim of reducing waste generation. Enterprises, however, seem reluctant to apply RL due to various types of risks which are perceived as posing an economic threat to businesses. This paper draws on a synthesis of supply chain and risk management literature to identify and cluster RL risk factors and to recommend risk mitigation strategies for reducing the negative impact of risks on RL implementation. Design/methodology/approach The authors identify and cluster risk factors in RL by using risk management theory. Experts in RL and supply chain risk management validated the risk factors via a questionnaire. An unsupervised data mining method, self-organising map, is utilised to cluster RL risk factors into homogeneous categories. Findings A total of 41 risk factors in the context of RL were identified and clustered into three different groups: strategic, tactical and operational. Risk mitigation strategies are recommended to mitigate the RL risk factors by drawing on supply chain risk management approaches. Originality/value This paper studies risks in RL and recommends risk management strategies to control and mitigate risk factors to implement RL successfully.</t>
  </si>
  <si>
    <t>[Panjehfouladgaran, Hamidreza] Liverpool John Moores Univ, Liverpool Business Sch, Liverpool, Merseyside, England; [Lim, Stanley Frederick W. T.] Univ San Diego, Sch Business, San Diego, CA 92110 USA</t>
  </si>
  <si>
    <t>University of Liverpool; Liverpool John Moores University; University of San Diego</t>
  </si>
  <si>
    <t>Panjehfouladgaran, H (corresponding author), Liverpool John Moores Univ, Liverpool Business Sch, Liverpool, Merseyside, England.</t>
  </si>
  <si>
    <t>h.r.panjehfouladgaran@ljmu.ac.uk; stanleylim@sandiego.edu</t>
  </si>
  <si>
    <t>Panjeh Fouladgaran, Hamid Reza/E-5730-2014</t>
  </si>
  <si>
    <t>Panjeh Fouladgaran, Hamid Reza/0000-0002-2952-8007</t>
  </si>
  <si>
    <t>0025-1747</t>
  </si>
  <si>
    <t>1758-6070</t>
  </si>
  <si>
    <t>MANAGE DECIS</t>
  </si>
  <si>
    <t>Manag. Decis.</t>
  </si>
  <si>
    <t>JUL 13</t>
  </si>
  <si>
    <t>10.1108/MD-01-2018-0010</t>
  </si>
  <si>
    <t>NP0NK</t>
  </si>
  <si>
    <t>WOS:000526359300001</t>
  </si>
  <si>
    <t>Ellis, SC; Rao, S; Raju, D; Goldsby, TJ</t>
  </si>
  <si>
    <t>Ellis, Scott C.; Rao, Shashank; Raju, Dheeraj; Goldsby, Thomas J.</t>
  </si>
  <si>
    <t>RFID Tag Performance: Linking the Laboratory to the Field through Unsupervised Learning</t>
  </si>
  <si>
    <t>PRODUCTION AND OPERATIONS MANAGEMENT</t>
  </si>
  <si>
    <t>RFID performance; data mining; unsupervised learning</t>
  </si>
  <si>
    <t>ASSOCIATION RULES; CLUSTER-ANALYSIS; MANAGEMENT; IMPUTATION</t>
  </si>
  <si>
    <t>Despite the promise that the technology offers, RFID adoption continues to lag behind initial projections. Industry studies intimate that, in part, this lag is attributable to the RFID performance gap - the difference between desired RFID tag read-rates and those experienced in the field. To explore this phenomena, we employ a mixed research methodology involving intensive case studies of three major retailers as well as large-scale laboratory and field data collection and analysis. Our case studies indicate that major retailers are incurring several operational inefficiencies, including slowed processing times, manual counts to verify inventory levels, and use of safety factors, to overcome RFID tag read failures. The practical significance of these findings motivates our subsequent investigation of laboratory test criteria that, when passed, result in RFID tags that perform reliably in the field. To facilitate quantitative analyses, we apply unsupervised learning techniques - i.e., the sequential application of cluster analysis and association rules - to a dataset of 45,416 observations that merge RFID tag laboratory test performance data with read-rate performance data collected from retail supply chains. Our findings identify a pool of RFID tags in which over 99% of the tags have at least a 99% read-rate. Thus, for academics, our study advances a novel unsupervised learning protocol that can be applied to big data to gain insights into meaningful supply chain issues, such as RFID tag performance. For practitioners, we establish laboratory test criteria that can be used to identify RFID tags that operate reliably in real-world applications.</t>
  </si>
  <si>
    <t>[Ellis, Scott C.] Georgia Southern Univ, Dept Logist &amp; Supply Chain Management, Coll Business, Box 8036, Statesboro, GA 30460 USA; [Rao, Shashank] Auburn Univ, Raymond J Harbert Coll Business, Dept Syst &amp; Technol, 435 Lowder Business Bldg, Auburn, AL 36849 USA; [Raju, Dheeraj] Univ Alabama Birmingham, Sch Nursing, 1720 2nd Ave South,NB 1019F, Birmingham, AL 35294 USA; [Goldsby, Thomas J.] Ohio State Univ, Fisher Coll Business, Dept Mkt &amp; Logist, 536 Fisher Hall,2100 Neil Ave, Columbus, OH 43210 USA</t>
  </si>
  <si>
    <t>University System of Georgia; Georgia Southern University; Auburn University System; Auburn University; University of Alabama System; University of Alabama Birmingham; University System of Ohio; Ohio State University</t>
  </si>
  <si>
    <t>Ellis, SC (corresponding author), Georgia Southern Univ, Dept Logist &amp; Supply Chain Management, Coll Business, Box 8036, Statesboro, GA 30460 USA.</t>
  </si>
  <si>
    <t>sellis@georgiasouthern.edu; shashank.rao@auburn.edu; Seeth001@uab.edu; goldsby_2@fisher.osu.edu</t>
  </si>
  <si>
    <t>Raju, Dheeraj/0000-0002-6571-3410</t>
  </si>
  <si>
    <t>1059-1478</t>
  </si>
  <si>
    <t>1937-5956</t>
  </si>
  <si>
    <t>PROD OPER MANAG</t>
  </si>
  <si>
    <t>Prod. Oper. Manag.</t>
  </si>
  <si>
    <t>10.1111/poms.12785</t>
  </si>
  <si>
    <t>Engineering, Manufacturing; Operations Research &amp; Management Science</t>
  </si>
  <si>
    <t>GW7PO</t>
  </si>
  <si>
    <t>WOS:000447161000007</t>
  </si>
  <si>
    <t>Tsolaki, K; Vafeiadis, T; Nizamis, A; Ioannidis, D; Tzovaras, D</t>
  </si>
  <si>
    <t>Tsolaki, Kalliopi; Vafeiadis, Thanasis; Nizamis, Alexandros; Ioannidis, Dimosthenis; Tzovaras, Dimitrios</t>
  </si>
  <si>
    <t>Utilizing machine learning on freight transportation and logistics applications: A review</t>
  </si>
  <si>
    <t>ICT EXPRESS</t>
  </si>
  <si>
    <t>Machine learning; Data mining; Intermodal freight transportation; Logistics 4; 0; Supply chain; Literature review</t>
  </si>
  <si>
    <t>MODEL; OPTIMIZATION; TIME; PREDICTION; DEMAND</t>
  </si>
  <si>
    <t>This review article explores and locates the current state-of-the-art related to application areas from freight transportation, supply chain and logistics that focuses on arrival time, demand forecasting, industrial processes optimization, traffic flow and location prediction, the vehicle routing problem and anomaly detection on transportation data. This review categorizes the related works according to machine learning methodologies so as to present the methods' evolution through time, their combinations and their connection with the various applications in the specified fields. Thus, a reader would effortlessly get insights about the current state-of-the-art related to machine learning in freight transportation and related application areas.&amp; COPY; 2022 The Authors. Published by Elsevier B.V. on behalf of The Korean Institute of Communications and Information Sciences. This is an open access article under the CC BY license (http://creativecommons.org/licenses/by/4.0/).</t>
  </si>
  <si>
    <t>[Tsolaki, Kalliopi; Vafeiadis, Thanasis; Nizamis, Alexandros; Ioannidis, Dimosthenis; Tzovaras, Dimitrios] Informat Technol Inst, Ctr Res &amp; Technol Hellas, Thessaloniki 57001, Greece</t>
  </si>
  <si>
    <t>Centre for Research &amp; Technology Hellas</t>
  </si>
  <si>
    <t>Vafeiadis, T (corresponding author), Informat Technol Inst, Ctr Res &amp; Technol Hellas, Thessaloniki 57001, Greece.</t>
  </si>
  <si>
    <t>ktsolaki@iti.gr; thanvaf@iti.gr; alnizami@iti.gr; djoannid@iti.gr; dimitrios.tzovaras@iti.gr</t>
  </si>
  <si>
    <t>General Secretariat for Research and Innovation (GSRI), Greece [T9EPA3-00013]</t>
  </si>
  <si>
    <t>General Secretariat for Research and Innovation (GSRI), Greece</t>
  </si>
  <si>
    <t>This work has received funding from General Secretariat for Research and Innovation (GSRI) , Greece with code T9EPA3-00013, for the project Big-Smart-Log. This article reflects only the authors' views and the GSRI is not responsible for any use that may be made of the information it contains.</t>
  </si>
  <si>
    <t>2405-9595</t>
  </si>
  <si>
    <t>ICT Express</t>
  </si>
  <si>
    <t>10.1016/j.icte.2022.02.001</t>
  </si>
  <si>
    <t>M2PI2</t>
  </si>
  <si>
    <t>WOS:001028647700001</t>
  </si>
  <si>
    <t>Alfian, G; Syafrudin, M; Yoon, B; Rhee, J</t>
  </si>
  <si>
    <t>Alfian, Ganjar; Syafrudin, Muhammad; Yoon, Bohan; Rhee, Jongtae</t>
  </si>
  <si>
    <t>False Positive RFID Detection Using Classification Models</t>
  </si>
  <si>
    <t>APPLIED SCIENCES-BASEL</t>
  </si>
  <si>
    <t>RFID; RSS; machine learning; classification; false positive; outlier detection</t>
  </si>
  <si>
    <t>LOCAL OUTLIER FACTOR; COMPONENT ANALYSIS</t>
  </si>
  <si>
    <t>Radio frequency identification (RFID) is an automated identification technology that can be utilized to monitor product movements within a supply chain in real-time. However, one problem that occurs during RFID data capturing is false positives (i.e., tags that are accidentally detected by the reader but not of interest to the business process). This paper investigates using machine learning algorithms to filter false positives. Raw RFID data were collected based on various tagged product movements, and statistical features were extracted from the received signal strength derived from the raw RFID data. Abnormal RFID data or outliers may arise in real cases. Therefore, we utilized outlier detection models to remove outlier data. The experiment results showed that machine learning-based models successfully classified RFID readings with high accuracy, and integrating outlier detection with machine learning models improved classification accuracy. We demonstrated the proposed classification model could be applied to real-time monitoring, ensuring false positives were filtered and hence not stored in the database. The proposed model is expected to improve warehouse management systems by monitoring delivered products to other supply chain partners.</t>
  </si>
  <si>
    <t>[Alfian, Ganjar] Dongguk Univ, U SCM Res Ctr, Nano Informat Technol Acad, Seoul 04626, South Korea; [Syafrudin, Muhammad; Yoon, Bohan; Rhee, Jongtae] Dongguk Univ, Dept Ind &amp; Syst Engn, Seoul 04620, South Korea</t>
  </si>
  <si>
    <t>Rhee, J (corresponding author), Dongguk Univ, Dept Ind &amp; Syst Engn, Seoul 04620, South Korea.</t>
  </si>
  <si>
    <t>ganjar@dongguk.edu; udin@dongguk.edu; yi92run@dongguk.edu; jtrhee@dongguk.edu</t>
  </si>
  <si>
    <t>Alfian, Ganjar/0000-0002-3273-1452; Syafrudin, Muhammad/0000-0002-5640-4413; Yoon, Bohan/0000-0001-8537-0235</t>
  </si>
  <si>
    <t>RAMP;D Convergence Center Support Program of the Ministry of Food, Agriculture, Forestry, and Fisheries, Republic of Korea [710013-03]</t>
  </si>
  <si>
    <t>RAMP;D Convergence Center Support Program of the Ministry of Food, Agriculture, Forestry, and Fisheries, Republic of Korea</t>
  </si>
  <si>
    <t>This study was supported by the R&amp;D Convergence Center Support Program of the Ministry of Food, Agriculture, Forestry, and Fisheries, Republic of Korea (710013-03).</t>
  </si>
  <si>
    <t>2076-3417</t>
  </si>
  <si>
    <t>APPL SCI-BASEL</t>
  </si>
  <si>
    <t>Appl. Sci.-Basel</t>
  </si>
  <si>
    <t>MAR 2</t>
  </si>
  <si>
    <t>10.3390/app9061154</t>
  </si>
  <si>
    <t>Chemistry, Multidisciplinary; Engineering, Multidisciplinary; Materials Science, Multidisciplinary; Physics, Applied</t>
  </si>
  <si>
    <t>Chemistry; Engineering; Materials Science; Physics</t>
  </si>
  <si>
    <t>HU1FG</t>
  </si>
  <si>
    <t>WOS:000465017200112</t>
  </si>
  <si>
    <t>Tsai, CY</t>
  </si>
  <si>
    <t>Tsai, Chih-Yang</t>
  </si>
  <si>
    <t>On a holistic view of supply chain financial performance and strategic position</t>
  </si>
  <si>
    <t>ENGINEERING ECONOMIST</t>
  </si>
  <si>
    <t>TIME-SERIES PROPERTIES; CASH FLOW MANAGEMENT; ACCOUNTING EARNINGS; ANALYTICS; FORECASTS; ANALYSTS; METRICS; MODELS</t>
  </si>
  <si>
    <t>Measuring corporate financial performance is an essential task in many supply chain decisions, such as supply chain strategic positioning and partner selection. This study introduces an analytical approach that can quickly scan financial data of many companies and produce a summary measure for each company. The approach offers organizations a less wearing way to obtain a holistic view of all target companies' financial performance patterns, which imply the underlying supply chain strategies. The strategy map, a two-dimensional representation of the summary, provides a comprehensible means to apprehend the relative strategic position and measure the similarity between companies. The approach relies on three popular machine learning models, forecasting, clustering, and classification. It takes multi-year, multi-variate financial time series from the three standard financial statements, learns the patterns from the data, and tunes model parameters to configure the final settings for future applications. The input data needed are relatively easy to obtain and the self-learning modules only require modest domain knowledge to apply the approach. Its noise reduction, outlier detection, and feature selection functions ensure a consistent and robust performance. The empirical test using data from all US manufacturers and traders listed on NYSE and NASDAQ demonstrates the efficacy of the approach.</t>
  </si>
  <si>
    <t>[Tsai, Chih-Yang] State Univ New York New Paltz, Sch Business, New Paltz, NY 12561 USA</t>
  </si>
  <si>
    <t>State University of New York (SUNY) System; SUNY New Paltz</t>
  </si>
  <si>
    <t>Tsai, CY (corresponding author), State Univ New York New Paltz, Sch Business, New Paltz, NY 12561 USA.</t>
  </si>
  <si>
    <t>tsaic@newpaltz.edu</t>
  </si>
  <si>
    <t>0013-791X</t>
  </si>
  <si>
    <t>1547-2701</t>
  </si>
  <si>
    <t>ENG ECON</t>
  </si>
  <si>
    <t>Eng. Econ.</t>
  </si>
  <si>
    <t>10.1080/0013791X.2022.2077492</t>
  </si>
  <si>
    <t>MAY 2022</t>
  </si>
  <si>
    <t>Business; Engineering, Industrial; Management; Operations Research &amp; Management Science</t>
  </si>
  <si>
    <t>Business &amp; Economics; Engineering; Operations Research &amp; Management Science</t>
  </si>
  <si>
    <t>4H0RR</t>
  </si>
  <si>
    <t>WOS:000799118800001</t>
  </si>
  <si>
    <t>Ting, SL; Tse, YK; Ho, GTS; Chung, SH; Pang, G</t>
  </si>
  <si>
    <t>Ting, S. L.; Tse, Y. K.; Ho, G. T. S.; Chung, S. H.; Pang, G.</t>
  </si>
  <si>
    <t>Mining logistics data to assure the quality in a sustainable food supply chain: A case in the red wine industry</t>
  </si>
  <si>
    <t>Quality sustainability; Supply chain quality; Wine industry; Association rule</t>
  </si>
  <si>
    <t>PRODUCT QUALITY; MANAGEMENT; SYSTEM; HACCP</t>
  </si>
  <si>
    <t>In recent years, food supply chains have faced increased quality risk, caused by the extended global supply chain and increased consumer demands on quality and safety. Given the concern regarding quality sustainability in the food supply chain, much attention is being paid to continuous planning and monitoring of quality assurance practices in the supply chain network. In this research, we propose a supply chain quality sustainability decision support system (QSDSS), adopting association rule mining and Dempster's rule of combination techniques. The aim of QSDSS is to support managers in food manufacturing firms to define good logistics plans in order to maintain the quality and safety of food products. We conduct a case study of a Hong Kong red wine company in order to illustrate the applicability and effectiveness of QSDSS. Implications of the proposed approach are discussed, and suggestions for future work are outlined. (C) 2013 Elsevier B.V. All rights reserved.</t>
  </si>
  <si>
    <t>[Ting, S. L.; Ho, G. T. S.; Chung, S. H.] Hong Kong Polytech Univ, Dept Ind &amp; Syst Engn, Kowloon, Hong Kong, Peoples R China; [Tse, Y. K.] Univ York, York Management Sch, York YO10 5GD, N Yorkshire, England; [Pang, G.] Newcastle Univ, Sch Business, Newcastle Upon Tyne NE1 4SE, Tyne &amp; Wear, England</t>
  </si>
  <si>
    <t>Hong Kong Polytechnic University; University of York - UK; Newcastle University - UK</t>
  </si>
  <si>
    <t>Tse, YK (corresponding author), Univ York, York Management Sch, Freboys Lane, York YO10 5GD, N Yorkshire, England.</t>
  </si>
  <si>
    <t>mike.tse@york.ac.uk</t>
  </si>
  <si>
    <t>Tse, Ying Kei (Mike)/0000-0001-6174-0326; Pang, Gu/0000-0002-5929-7051; CHUNG, Sai Ho/0000-0002-0534-7930; Ho, G.T.S./0000-0002-8550-4974</t>
  </si>
  <si>
    <t>Seed Corn Research Fund - CILT(UK)</t>
  </si>
  <si>
    <t>This research was supported in part by the Seed Corn Research Fund - CILT(UK) 2013.</t>
  </si>
  <si>
    <t>10.1016/j.ijpe.2013.12.010</t>
  </si>
  <si>
    <t>AI2NX</t>
  </si>
  <si>
    <t>WOS:000336696300016</t>
  </si>
  <si>
    <t>Deng, CN; Liu, YJ</t>
  </si>
  <si>
    <t>Deng, Chuning; Liu, Yongji</t>
  </si>
  <si>
    <t>A Deep Learning-Based Inventory Management and Demand Prediction Optimization Method for Anomaly Detection</t>
  </si>
  <si>
    <t>WIRELESS COMMUNICATIONS &amp; MOBILE COMPUTING</t>
  </si>
  <si>
    <t>The rapid development of emerging technologies such as machine learning and data mining promotes a lot of smart applications, e.g., Internet of things (IoT). The supply chain management and communication are a key research direction in the IoT environment, while the inventory management (IM) has increasingly become a core part of the whole life cycle management process of the supply chain. However, the current situations of a long supply chain life cycle, complex supply chain management, and frequently changing user demands all lead to a sharp rise in logistics and communication cost. Hence, as the core part of the supply chain, effective and predictable IM becomes particularly important. In this way, this work intends to reduce the cost during the life cycle of the supply chain by optimizing the IM process. Specifically, the IM process is firstly formulated as a mathematical model, in which the objective is to jointly minimize the logistic cost and maximize the profit. On this basis, a deep inventory management (DIM) method is proposed to address this model by using the long short-term memory (LSTM) theory of deep learning (DL). In particular, DIM transforms the time series problem into a supervised learning one and it is trained using the back propagation pattern, such that the training process can be finished efficiently. The experimental results show that the average inventory demand prediction accuracy of DIM exceeds about 80%, which can reduce the inventory cost by about 25% compared with the other state-of-the-art methods and detect the anomaly inventory actions quickly.</t>
  </si>
  <si>
    <t>[Deng, Chuning; Liu, Yongji] Liaoning Tech Univ, Sch Business Adm, Huludao 125105, Liaoning, Peoples R China</t>
  </si>
  <si>
    <t>Liaoning Technical University</t>
  </si>
  <si>
    <t>Liu, YJ (corresponding author), Liaoning Tech Univ, Sch Business Adm, Huludao 125105, Liaoning, Peoples R China.</t>
  </si>
  <si>
    <t>chuningd@163.com; liuyongji@lntu.edu.cn</t>
  </si>
  <si>
    <t>Nasarian, Elham/ISB-6863-2023</t>
  </si>
  <si>
    <t>WILEY-HINDAWI</t>
  </si>
  <si>
    <t>ADAM HOUSE, 3RD FL, 1 FITZROY SQ, LONDON, WIT 5HE, ENGLAND</t>
  </si>
  <si>
    <t>1530-8669</t>
  </si>
  <si>
    <t>1530-8677</t>
  </si>
  <si>
    <t>WIREL COMMUN MOB COM</t>
  </si>
  <si>
    <t>Wirel. Commun. Mob. Comput.</t>
  </si>
  <si>
    <t>10.1155/2021/9969357</t>
  </si>
  <si>
    <t>Computer Science, Information Systems; Engineering, Electrical &amp; Electronic; Telecommunications</t>
  </si>
  <si>
    <t>Computer Science; Engineering; Telecommunications</t>
  </si>
  <si>
    <t>XP2PB</t>
  </si>
  <si>
    <t>WOS:000730711800006</t>
  </si>
  <si>
    <t>Kara, ME; Firat, SÜO; Ghadge, A</t>
  </si>
  <si>
    <t>Kara, Merve Er; Firat, Seniye Umit Oktay; Ghadge, Abhijeet</t>
  </si>
  <si>
    <t>A data mining-based framework for supply chain risk management</t>
  </si>
  <si>
    <t>Data mining; Data analytics; Decision support system; Supply chain risk management</t>
  </si>
  <si>
    <t>BUSINESS INTELLIGENCE; DECISION-MAKING; BANKRUPTCY PREDICTION; CHURN PREDICTION; MITIGATION; SYSTEM</t>
  </si>
  <si>
    <t>Increased risk exposure levels, technological developments and the growing information overload in supply chain networks drive organizations to embrace data-driven approaches in Supply Chain Risk Management (SCRM). Data Mining (DM) employs multiple analytical techniques for intelligent and timely decision making; however, its potential is not entirely explored for SCRM. The paper aims to develop a DM-based framework for the identification, assessment and mitigation of different type of risks in supply chains. A holistic approach integrates DM and risk management activities in a unique framework for effective risk management. The framework is validated with a case study based on a series of semi-structured interviews, discussions and a focus group study. The study showcases how DM supports in discovering hidden and useful information from unstructured risk data for making intelligent risk management decisions.</t>
  </si>
  <si>
    <t>[Kara, Merve Er; Firat, Seniye Umit Oktay] Marmara Univ, Fac Engn, Ind Engn Dept, TR-34722 Istanbul, Turkey; [Ghadge, Abhijeet] Cranfield Univ, Ctr Logist &amp; Supply Chain Management, Sch Management, Cranfield MK43 0AL, Beds, England</t>
  </si>
  <si>
    <t>Marmara University; Cranfield University</t>
  </si>
  <si>
    <t>Ghadge, A (corresponding author), Cranfield Univ, Ctr Logist &amp; Supply Chain Management, Sch Management, Cranfield MK43 0AL, Beds, England.</t>
  </si>
  <si>
    <t>merve.er@marmara.edu.tr; suofirat@marmara.edu.tr; Abhijeet.Ghadge@Cranfield.ac.uk</t>
  </si>
  <si>
    <t>Fırat, Seniye Ümit/E-4490-2016; Ghadge, Abhijeet/B-2249-2012; Er, Merve/N-6630-2016</t>
  </si>
  <si>
    <t>Fırat, Seniye Ümit/0000-0002-0271-5865; Ghadge, Abhijeet/0000-0002-0310-2761; Er, Merve/0000-0003-3167-2961</t>
  </si>
  <si>
    <t>Marmara University Scientific Research Project Coordination Unit (BAPKO) [FEN-C-DRP-100914-0339]</t>
  </si>
  <si>
    <t>Marmara University Scientific Research Project Coordination Unit (BAPKO)(Marmara University)</t>
  </si>
  <si>
    <t>This study was supported by Marmara University Scientific Research Project Coordination Unit (BAPKO) with FEN-C-DRP-100914-0339 project number.</t>
  </si>
  <si>
    <t>10.1016/j.cie.2018.12.017</t>
  </si>
  <si>
    <t>KG2PE</t>
  </si>
  <si>
    <t>WOS:000509784000075</t>
  </si>
  <si>
    <t>Hu, CR; Zhang, XB; Reardon, T; Hernandez, R</t>
  </si>
  <si>
    <t>Hu, Chaoran; Zhang, Xiaobo; Reardon, Thomas; Hernandez, Ricardo</t>
  </si>
  <si>
    <t>Value-chain clusters and aquaculture innovation in Bangladesh</t>
  </si>
  <si>
    <t>FOOD POLICY</t>
  </si>
  <si>
    <t>Clustering; Supply chain; Technology adoption; Innovation; Bangladesh</t>
  </si>
  <si>
    <t>TECHNOLOGY ADOPTION</t>
  </si>
  <si>
    <t>Farmers adopting and implementing innovations, such as new technologies and new products, often require collaborative inter-segment innovation by other actors in other segments of the value chain, such as wholesalers implementing new product innovations such as supply of commercial fish feed and chemicals and buying and marketing non-traditional fish species. We tested whether the clustering, and thus economies of agglomeration with implied lower transaction costs, encourage and facilitate farmers to innovate. That potential determinant of farmer choices has not been studied in agriculture or aquaculture or indeed the food sector. We use a unique data set from our own primary survey of the aquaculture value chain in Bangladesh, including micro data for 1500 fish farm households and 20 districts (77 villages) for meso level data. We calculate an index to include both horizontal agglomeration and vertical interconnections among actors in the value chain. We find being in an area with a high clustering index is associated with a higher probability of farmers using more modern inputs and growing non-traditional commodity fish species, controlling for farmers' other characteristics as well as proximity to cities.</t>
  </si>
  <si>
    <t>[Hu, Chaoran; Reardon, Thomas] Michigan State Univ, E Lansing, MI 48824 USA; [Zhang, Xiaobo] Int Food Policy Res Inst, Washington, DC 20036 USA; [Zhang, Xiaobo] Peking Univ, Beijing, Peoples R China; [Hernandez, Ricardo] Int Food Policy Res Inst Dhaka, Dhaka, Bangladesh</t>
  </si>
  <si>
    <t>Michigan State University; CGIAR; International Food Policy Research Institute (IFPRI); Peking University; CGIAR; International Food Policy Research Institute (IFPRI)</t>
  </si>
  <si>
    <t>Hu, CR (corresponding author), Michigan State Univ, E Lansing, MI 48824 USA.</t>
  </si>
  <si>
    <t>huchaora@msu.edu</t>
  </si>
  <si>
    <t>zhang, xiaobo/0000-0002-4981-9565</t>
  </si>
  <si>
    <t>United States Agency for International Development (USAID) via the Policy Research and Strategy Support Program (PRSSP)</t>
  </si>
  <si>
    <t>United States Agency for International Development (USAID) via the Policy Research and Strategy Support Program (PRSSP)(United States Agency for International Development (USAID))</t>
  </si>
  <si>
    <t>We are grateful for the very useful comments from two reviewers. This study was undertaken as part of the work done by the International Food Policy Research Institute (IFPRI) in Bangladesh, in collaboration with Michigan State University, with funding provided by United States Agency for International Development (USAID) via the Policy Research and Strategy Support Program (PRSSP).</t>
  </si>
  <si>
    <t>0306-9192</t>
  </si>
  <si>
    <t>1873-5657</t>
  </si>
  <si>
    <t>Food Policy</t>
  </si>
  <si>
    <t>10.1016/j.foodpol.2017.07.009</t>
  </si>
  <si>
    <t>Agricultural Economics &amp; Policy; Economics; Food Science &amp; Technology; Nutrition &amp; Dietetics</t>
  </si>
  <si>
    <t>Agriculture; Business &amp; Economics; Food Science &amp; Technology; Nutrition &amp; Dietetics</t>
  </si>
  <si>
    <t>HS8AN</t>
  </si>
  <si>
    <t>WOS:000464090500030</t>
  </si>
  <si>
    <t>Xiao, T; Zhang, T; Zhang, N</t>
  </si>
  <si>
    <t>Xiao, Tao; Zhang, Tao; Zhang, Ning</t>
  </si>
  <si>
    <t>Research on energy supply chain risk prediction based on the fuzzy C-means clustering algorithm</t>
  </si>
  <si>
    <t>INTERNATIONAL JOURNAL OF GLOBAL ENERGY ISSUES</t>
  </si>
  <si>
    <t>fuzzy C-means; clustering; energy supply chain; risk prediction</t>
  </si>
  <si>
    <t>OBSERVERS</t>
  </si>
  <si>
    <t>In order to improve the ability of risk prediction, a risk prediction method of energy supply chain based on fuzzy C-means clustering algorithm is proposed. Based on the regression analysis results of risk data samples, panel data fusion is carried out to extract the correlation feature of risk panel data of energy supply chain. Using the prior information distributed detection method to construct the statistical characteristic quantity of energy supply chain risk prediction. According to the prior sample regression analysis results of risk prediction of energy supply chain, the risk characteristics of energy supply chain are extracted, and the fuzzy C-means clustering method is used to cluster the risk characteristics, and the risk prediction of energy supply chain is carried out. The simulation results show that this method has high accuracy and credibility for energy supply chain risk prediction, and improves the risk management ability of energy supply chain.</t>
  </si>
  <si>
    <t>[Xiao, Tao] Hebei Agr Univ, Coll Sci, Baoding 071001, Hebei, Peoples R China; [Zhang, Tao] Hebei Agr Univ, Youth League Comm, Baoding 071001, Hebei, Peoples R China; [Zhang, Ning] Tianjin Univ, Renai Coll, Dept Comp Sci &amp; Technol, Tianjin 301636, Peoples R China</t>
  </si>
  <si>
    <t>Hebei Agricultural University; Hebei Agricultural University; Tianjin University</t>
  </si>
  <si>
    <t>Xiao, T (corresponding author), Hebei Agr Univ, Coll Sci, Baoding 071001, Hebei, Peoples R China.</t>
  </si>
  <si>
    <t>taoxiao753@126.com; daibo1967@sina.com; 3201592539@qq.com</t>
  </si>
  <si>
    <t>natural science foundation of Hebei [A2016204057]; fuzzy mathematics curriculum reform project based on research learning concept of Hebei Agricultural University [2017Y15]; research and practice on the reform of the teaching mode of complex function and integral transform course of Hebei Agricultural University [2018YB35]</t>
  </si>
  <si>
    <t>natural science foundation of Hebei(Natural Science Foundation of Hebei Province); fuzzy mathematics curriculum reform project based on research learning concept of Hebei Agricultural University; research and practice on the reform of the teaching mode of complex function and integral transform course of Hebei Agricultural University</t>
  </si>
  <si>
    <t>This work was supported by natural science foundation of Hebei under grant no. A2016204057, fuzzy mathematics curriculum reform project based on research learning concept of Hebei Agricultural University under grant no. 2017Y15 and research and practice on the reform of the teaching mode of complex function and integral transform course of Hebei Agricultural University under grant no. 2018YB35.</t>
  </si>
  <si>
    <t>0954-7118</t>
  </si>
  <si>
    <t>1741-5128</t>
  </si>
  <si>
    <t>INT J GLOBAL ENERGY</t>
  </si>
  <si>
    <t>Int. J. Glob. Energy Issue</t>
  </si>
  <si>
    <t>Environmental Studies</t>
  </si>
  <si>
    <t>YV9TB</t>
  </si>
  <si>
    <t>WOS:000753064500004</t>
  </si>
  <si>
    <t>Altintas, N; Trick, M</t>
  </si>
  <si>
    <t>Altintas, Nihat; Trick, Michael</t>
  </si>
  <si>
    <t>A data mining approach to forecast behavior</t>
  </si>
  <si>
    <t>Data mining; Automotive industry; Forecasting</t>
  </si>
  <si>
    <t>MODEL</t>
  </si>
  <si>
    <t>This study presents a data mining analysis of forecasting patterns in a supply chain. Multiple customers who are auto manufacturers order from a large auto parts supplier. The auto manufacturers provide forecasts for future orders and update them before the due date. The supplier uses these forecasts to plan production in advance. The accuracy of the forecasts varies from customer to customer. We provide a framework to analyze the forecast performance of the customers. There are different complexities in forecasts that are captured from our data set. Daily flow analysis helps to transform data and obtain accuracy ratios of forecasts. Customers are then classified based on their forecast performances. We demonstrate the application of some recent developments in clustering and pattern recognition analysis to performance analysis of customers.</t>
  </si>
  <si>
    <t>[Altintas, Nihat] Credit Suisse, New York, NY 10010 USA; [Trick, Michael] Carnegie Mellon Univ, Tepper Sch Business, Pittsburgh, PA 15213 USA</t>
  </si>
  <si>
    <t>Carnegie Mellon University</t>
  </si>
  <si>
    <t>Altintas, N (corresponding author), Credit Suisse, 11 Madison Ave, New York, NY 10010 USA.</t>
  </si>
  <si>
    <t>nihat.altintas@credit-suisse.com; trick@cmu.edu</t>
  </si>
  <si>
    <t>Trick, Michael/D-3914-2009</t>
  </si>
  <si>
    <t>Trick, Michael/0000-0002-9357-4681</t>
  </si>
  <si>
    <t>10.1007/s10479-012-1236-9</t>
  </si>
  <si>
    <t>AI8PT</t>
  </si>
  <si>
    <t>WOS:000337183500002</t>
  </si>
  <si>
    <t>Yan, YR; Wang, XP; Zhao, SD; Zhang, Y</t>
  </si>
  <si>
    <t>Yan, Yiran; Wang, Xingping; Zhao, Sidong; Zhang, Yang</t>
  </si>
  <si>
    <t>Spatial structure and influencing factors of regional city supply networks in manufacturing: A case study of Shandong, China</t>
  </si>
  <si>
    <t>city supply network; supply chain; spatial characteristic; influencing factor; manufacturing; quadratic assignment procedure (QAP); regional planning; social network analysis (SNA)</t>
  </si>
  <si>
    <t>CHAIN MANAGEMENT; URBAN NETWORKS; GLOBAL-NETWORK; LOGISTICS; EVOLUTION; SYSTEMS; ZONE</t>
  </si>
  <si>
    <t>COVID-19 has driven the formation of regional supply chains. In addition, cities became the basic units of intra-regional supply chain organization under urban administrative economies. Based on the data mining of the buyer-supplier relationship of listed manufacturing firms, this study explores the spatial characteristics of city supply networks within Shandong by the indexes of degree centrality, closeness centrality, betweenness centrality, eigenvector centrality, and a community detection algorithm using the social network analysis (SNA) method and ArcGIS software. It investigates the influencing factors of city supply networks by the correlation and regression of the quadratic assignment procedure (QAP). The results show the following: 1) Shandong has formed a multi-center city supply network with Jinan, Qingdao, Yantai-Weihai, and the distribution pattern of city centrality measured by different centrality indicators shows differences. 2) Cities belonging to the same network community show a coexistence of spatial proximity and enclave  distribution. 3) Geographic proximity, convenient transportation links, administrative district economy, similarity of business environments represented by development zones, export-oriented or domestic market-oriented division of labor between cities, value chain division of labor between cities, and land price differences between cities promote the formation of regional city supply networks. Conversely, differences in local market size and wage levels between cities hinder the formation of city supply networks. This study attempts to apply the analysis results to regional planning from the perspective of regional industrial synergy development. Additionally, as it is based on typical Chinese provinces, it can provide policy references for national administrative regions and countries/regions at similar spatial scales for manufacturing supply chains, as well as for regional spatial layout decisions of manufacturing enterprises.</t>
  </si>
  <si>
    <t>[Yan, Yiran; Wang, Xingping; Zhao, Sidong; Zhang, Yang] Southeast Univ, Sch Architecture, Nanjing, Peoples R China; [Yan, Yiran; Zhang, Yang] Minist Nat Resources, Key Lab Spatial Intelligent Planning Technol, Shanghai, Peoples R China</t>
  </si>
  <si>
    <t>Southeast University - China; Ministry of Natural Resources of the People's Republic of China</t>
  </si>
  <si>
    <t>Wang, XP (corresponding author), Southeast Univ, Sch Architecture, Nanjing, Peoples R China.</t>
  </si>
  <si>
    <t>wxpsx@seu.edu.cn</t>
  </si>
  <si>
    <t>zhao, sidong/HHS-4416-2022</t>
  </si>
  <si>
    <t>National Natural Science Foundation of China [52078115]</t>
  </si>
  <si>
    <t>Funding This research was funded by the National Natural Science Foundation of China, grant number 52078115.</t>
  </si>
  <si>
    <t>10.3389/fenvs.2023.1107835</t>
  </si>
  <si>
    <t>9F1NM</t>
  </si>
  <si>
    <t>WOS:000937241600001</t>
  </si>
  <si>
    <t>Chen, YM; Chen, TY; Li, JS</t>
  </si>
  <si>
    <t>Chen, Yuh-Min; Chen, Tsung-Yi; Li, Jyun-Sian</t>
  </si>
  <si>
    <t>A Machine Learning-Based Anomaly Detection Method and Blockchain- Based Secure Protection Technology in Collaborative Food Supply Chain</t>
  </si>
  <si>
    <t>INTERNATIONAL JOURNAL OF E-COLLABORATION</t>
  </si>
  <si>
    <t>Anomaly detection; Blockchain; Food safety; Food supply chain; Machine learning</t>
  </si>
  <si>
    <t>TRACEABILITY; MANAGEMENT; AGRICULTURE; CHALLENGES; QUALITY</t>
  </si>
  <si>
    <t>The complexity of the collaborative food supply chain has resulted in the frequent occurrence of food safety incidents, which harm people's health and life. Therefore, the maintenance of food safety has become a key value. This study expects to solve the food safety problem and bring more benefits to people using intelligent systems. To meet the safety needs of the collaborative food supply chain, this study designed a food safety protection system architecture which collects the supply and sales data of various suppliers, as well as the data of equipment used in production. The architecture can carry out anomaly detections with machine learning to make a preliminary judgement on whether a problem has occurred in this batch of food during the transaction, and then implement in-depth anomaly detections with the supplier's equipment to determine the stage at which this problem occurred. The proposed system can help food operators achieve effective food monitoring, prediction, prevention, and improvement, thereby improving food safety.</t>
  </si>
  <si>
    <t>[Chen, Yuh-Min; Li, Jyun-Sian] Natl Cheng Kung Univ, Tainan, Taiwan; [Chen, Tsung-Yi] Nanhua Univ, Chiayi, Taiwan</t>
  </si>
  <si>
    <t>National Cheng Kung University; Nanhua University</t>
  </si>
  <si>
    <t>Chen, TY (corresponding author), Nanhua Univ, Chiayi, Taiwan.</t>
  </si>
  <si>
    <t>IGI GLOBAL</t>
  </si>
  <si>
    <t>HERSHEY</t>
  </si>
  <si>
    <t>701 E CHOCOLATE AVE, STE 200, HERSHEY, PA 17033-1240 USA</t>
  </si>
  <si>
    <t>1548-3673</t>
  </si>
  <si>
    <t>1548-3681</t>
  </si>
  <si>
    <t>INT J E-COLLAB</t>
  </si>
  <si>
    <t>Int. J. e-Collab.</t>
  </si>
  <si>
    <t>10.4018/IJeC.315789</t>
  </si>
  <si>
    <t>9Y7XX</t>
  </si>
  <si>
    <t>WOS:000950668800004</t>
  </si>
  <si>
    <t>Wang, F; Lin, L</t>
  </si>
  <si>
    <t>Wang, Fang; Lin, Lin</t>
  </si>
  <si>
    <t>Spare parts supply chain network modeling based on a novel scale-free network and replenishment path optimization with Q learning</t>
  </si>
  <si>
    <t>10th International Symposium on Intelligent Manufacturing and Service Systems (IMSS)</t>
  </si>
  <si>
    <t>SEP 09-11, 2019</t>
  </si>
  <si>
    <t>Sakarya, TURKEY</t>
  </si>
  <si>
    <t>Spare parts supply chain network; Scale-free network; Q learning algorithm; Random customer demands</t>
  </si>
  <si>
    <t>CENTRALITY; TOPOLOGY</t>
  </si>
  <si>
    <t>The efficiency of inventory management determines the customers' buying experience, so a supply chain network with a shorter replenishment time is needed. The supply chain network is hoped to be robust to the stock-out of some distributors in the network under random customer demands. At the same time, replenishment path optimization method with the objective of minimizing the replenishment time is required. After reviewing previous work done in the field of supply network topology, scale-free network is proven to be efficient when it was used to model supply network. In addition, multi-agent based collaborative replenishment model is smarter. But, there is rare research on multi-agent based collaborative replenishment in the supply chain modelled by scale-free network. In this study, we proposed a spare parts supply chain network model based on a novel scale-free network. In this network growth process, the connection probability function of connecting new distributor to the existing distributors in the network, is constructed considering the connection number (for an existing distributor, its connection number means the number of other distributors which have collaborative relationship with it) and inventory capacity of the existing distributors and the transit time between new distributor and existing distributors. The connection probability function is built from the standpoints of both new distributor and the existing distributors. Furthermore, different selection policies are discussed in the network growth process to improve the efficiency. Unlike other replenishment path optimization methods, Q learning takes the advantage of interacting with the environment to make a dynamic decision. So, Q learning is selected to optimize the replenishment path in supply chain network. In the experiment, network static and dynamic performance is analyzed using the indicators: degree distribution, clustering coefficient, centrality and response time. Experimental results showed that the replenishment time of supply chain network which are optimized by Q learning is reduced by approximately 40%. So, the shorter replenishment time of the supply chain network is verified.</t>
  </si>
  <si>
    <t>[Wang, Fang; Lin, Lin] Harbin Inst Technol, Sch Mechatron Engn, Harbin, Peoples R China</t>
  </si>
  <si>
    <t>Harbin Institute of Technology</t>
  </si>
  <si>
    <t>Lin, L (corresponding author), Harbin Inst Technol, Sch Mechatron Engn, Harbin, Peoples R China.</t>
  </si>
  <si>
    <t>waiwaiyl@hit.edu.cn</t>
  </si>
  <si>
    <t>National Key Research and Development Program of China [2018YFB1700902]; National Natural Science Foundation of China [51775132]</t>
  </si>
  <si>
    <t>National Key Research and Development Program of China; National Natural Science Foundation of China(National Natural Science Foundation of China (NSFC))</t>
  </si>
  <si>
    <t>This work was supported by National Key Research and Development Program of China (grant numbers 2018YFB1700902), and National Natural Science Foundation of China (grant numbers 51775132).</t>
  </si>
  <si>
    <t>10.1016/j.cie.2021.107312</t>
  </si>
  <si>
    <t>Science Citation Index Expanded (SCI-EXPANDED); Conference Proceedings Citation Index - Science (CPCI-S)</t>
  </si>
  <si>
    <t>SO7HY</t>
  </si>
  <si>
    <t>WOS:000659146800003</t>
  </si>
  <si>
    <t>Mohanty, M; Singh, R; Shankar, R</t>
  </si>
  <si>
    <t>Mohanty, Mahamaya; Singh, Rashmi; Shankar, Ravi</t>
  </si>
  <si>
    <t>Improving the operational efficiency of outbound retail logistics using clustering of retailers and consumers</t>
  </si>
  <si>
    <t>JOURNAL OF MODELLING IN MANAGEMENT</t>
  </si>
  <si>
    <t>Clustering; Operational efficiency; Retail logistics; Consumer durables; Kohenon self-organizing map; Training algorithm</t>
  </si>
  <si>
    <t>CHAIN NETWORK DESIGN; SELF-ORGANIZING MAP; SUPPLY CHAIN; SEGMENTATION; DEMAND</t>
  </si>
  <si>
    <t>Purpose The purpose of this paper is to investigate ways to improve operational efficiency of outbound retail logistics considering retailers and consumers by using clustering approach. The retailers are allocated to serve a cluster of consumers. This study demonstrates economic and environment benefits that are achieved in terms of reduced delivery time, transportation cost and carbon emissions. Design/methodology/approach This study is based on modeling the outbound logistics of a retail chain by using Kohonen self-organizing map (KSOM). KSOM is an unsupervised learning and data analysis method for vector quantization, which is based on Euclidean distance method to form clusters. Findings Appropriate clustering of retailers and consumers provides efficient locations of retailers that are identified using the KSOM training algorithm. It provides optimum distance with lesser delivery time, transportation cost and carbon emissions. Research limitations/implications The implication of research includes modeling of operational procedures in a retail supply chain, which is a crucial task for a business. These operations positively affect the reduction in inventory and distribution costs, improvement in customer service and responsiveness to the ever-changing markets of consumer durables. Overall results are insightful and practical in the sense that implementation would result in consumer convenience, eco-friendly environment, etc. Originality/value There is not enough research available on outbound retail logistics considering retailers and consumers using clustering approach.</t>
  </si>
  <si>
    <t>[Mohanty, Mahamaya; Singh, Rashmi; Shankar, Ravi] Indian Inst Technol Delhi, Dept Management Studies, New Delhi, India</t>
  </si>
  <si>
    <t>Indian Institute of Technology System (IIT System); Indian Institute of Technology (IIT) - Delhi</t>
  </si>
  <si>
    <t>Mohanty, M (corresponding author), Indian Inst Technol Delhi, Dept Management Studies, New Delhi, India.</t>
  </si>
  <si>
    <t>mahamayamohanty@gmail.com</t>
  </si>
  <si>
    <t>1746-5664</t>
  </si>
  <si>
    <t>1746-5672</t>
  </si>
  <si>
    <t>J MODEL MANAG</t>
  </si>
  <si>
    <t>J. Model. Manag.</t>
  </si>
  <si>
    <t>10.1108/JM2-12-2016-0137</t>
  </si>
  <si>
    <t>GW9OU</t>
  </si>
  <si>
    <t>WOS:000447320900007</t>
  </si>
  <si>
    <t>Zhou, HJ; Sun, G; Fu, S; Fan, XP; Jiang, WD; Hu, ST; Li, LJ</t>
  </si>
  <si>
    <t>Zhou, Hangjun; Sun, Guang; Fu, Sha; Fan, Xiaoping; Jiang, Wangdong; Hu, Shuting; Li, Lingjiao</t>
  </si>
  <si>
    <t>A Distributed Approach of Big Data Mining for Financial Fraud Detection in a Supply Chain</t>
  </si>
  <si>
    <t>CMC-COMPUTERS MATERIALS &amp; CONTINUA</t>
  </si>
  <si>
    <t>Big data mining; deep learning; fraud detection; supply chain; Internet of Things</t>
  </si>
  <si>
    <t>RISK-MANAGEMENT; DRIVEN; SYSTEM</t>
  </si>
  <si>
    <t>Supply Chain Finance (SCF) is important for improving the effectiveness of supply chain capital operations and reducing the overall management cost of a supply chain. In recent years, with the deep integration of supply chain and Internet, Big Data, Artificial Intelligence, Internet of Things, Blockchain, etc., the efficiency of supply chain financial services can be greatly promoted through building more customized risk pricing models and conducting more rigorous investment decision-making processes. However, with the rapid development of new technologies, the SCF data has been massively increased and new financial fraud behaviors or patterns are becoming more covertly scattered among normal ones. The lack of enough capability to handle the big data volumes and mitigate the financial frauds may lead to huge losses in supply chains. In this article, a distributed approach of big data mining is proposed for financial fraud detection in a supply chain, which implements the distributed deep learning model of Convolutional Neural Network (CNN) on big data infrastructure of Apache Spark and Hadoop to speed up the processing of the large dataset in parallel and reduce the processing time significantly. By training and testing on the continually updated SCF dataset, the approach can intelligently and automatically classify the massive data samples and discover the fraudulent financing behaviors, so as to enhance the financial fraud detection with high precision and recall rates, and reduce the losses of frauds in a supply chain.</t>
  </si>
  <si>
    <t>[Zhou, Hangjun; Sun, Guang; Fu, Sha; Fan, Xiaoping; Jiang, Wangdong; Hu, Shuting; Li, Lingjiao] Hunan Univ Finance &amp; Econ, Changsha 410205, Peoples R China; [Sun, Guang] Univ Alabama, Coll Engn, Tuscaloosa, AL USA</t>
  </si>
  <si>
    <t>University of Alabama System; University of Alabama Tuscaloosa</t>
  </si>
  <si>
    <t>Zhou, HJ (corresponding author), Hunan Univ Finance &amp; Econ, Changsha 410205, Peoples R China.</t>
  </si>
  <si>
    <t>zhjnudt@gmail.com</t>
  </si>
  <si>
    <t>Hunan Provincial Education Science 13th Five-Year Plan [XJK016BXX001]; Social Science Foundation of Hunan Province [17YBA049]; Open Foundation for University Innovation Platform from Hunan Province, China [18K103]</t>
  </si>
  <si>
    <t>Hunan Provincial Education Science 13th Five-Year Plan; Social Science Foundation of Hunan Province; Open Foundation for University Innovation Platform from Hunan Province, China</t>
  </si>
  <si>
    <t>This research work is supported by Hunan Provincial Education Science 13th Five-Year Plan (Grant No. XJK016BXX001, Zhou, H., http://jyt.hunan.gov.cn/jyt/sjyt/jky/index.html), Social Science Foundation of Hunan Province (Grant No. 17YBA049, Zhou, H., https://sk.rednet.cn/channel/7862.html).The work is also supported by Open Foundation for University Innovation Platform from Hunan Province, China (Grand No. 18K103, Sun, G., http://kxjsc.gov.hnedu.cn/).</t>
  </si>
  <si>
    <t>TECH SCIENCE PRESS</t>
  </si>
  <si>
    <t>HENDERSON</t>
  </si>
  <si>
    <t>871 CORONADO CENTER DR, SUTE 200, HENDERSON, NV 89052 USA</t>
  </si>
  <si>
    <t>1546-2218</t>
  </si>
  <si>
    <t>1546-2226</t>
  </si>
  <si>
    <t>CMC-COMPUT MATER CON</t>
  </si>
  <si>
    <t>CMC-Comput. Mat. Contin.</t>
  </si>
  <si>
    <t>10.32604/cmc.2020.09834</t>
  </si>
  <si>
    <t>Computer Science, Information Systems; Materials Science, Multidisciplinary</t>
  </si>
  <si>
    <t>Computer Science; Materials Science</t>
  </si>
  <si>
    <t>LY8AJ</t>
  </si>
  <si>
    <t>WOS:000540749400024</t>
  </si>
  <si>
    <t>Wu, HY; Su, NL; Ma, CG; Liao, PD; Li, DW</t>
  </si>
  <si>
    <t>Wu, Hongyu; Su, Nianle; Ma, Chunguang; Liao, Pengda; Li, Dawei</t>
  </si>
  <si>
    <t>A privacy protection solution based on NLPCA for blockchain supply chain financial system</t>
  </si>
  <si>
    <t>INTERNATIONAL JOURNAL OF FINANCIAL ENGINEERING</t>
  </si>
  <si>
    <t>Blockchain; supply chain finance; privacy protection</t>
  </si>
  <si>
    <t>Many supply chain finance problems can be fundamentally solved by using blockchain. The current technical challenge of applying blockchain in supply chain finance is the lack of systematic privacy protection architecture. Based on the architecture of Julongchain, through the nonlinear principal component analysis in private data feature extraction, this paper proposed a new type of privacy protection architecture based on specific supply chain financial system. This privacy protection solution split privacy data by decision machine, then mixed data using mixed mechanism, finally determined the characteristic weight of privacy data by applying the decentralized decision institution.</t>
  </si>
  <si>
    <t>[Wu, Hongyu; Su, Nianle; Liao, Pengda; Li, Dawei] Dingxuan Cryptog Testing Co Ltd, Shenzhen, Guangdong, Peoples R China; [Wu, Hongyu] Harbin Engn Univ, Harbin, Heilongjiang, Peoples R China; [Ma, Chunguang] Shandong Univ Sci &amp; Technol, Qingdao, Shandong, Peoples R China</t>
  </si>
  <si>
    <t>Harbin Engineering University; Shandong University of Science &amp; Technology</t>
  </si>
  <si>
    <t>Ma, CG (corresponding author), Shandong Univ Sci &amp; Technol, Qingdao, Shandong, Peoples R China.</t>
  </si>
  <si>
    <t>machunguang@sdust.edu.cn</t>
  </si>
  <si>
    <t>2424-7863</t>
  </si>
  <si>
    <t>2424-7944</t>
  </si>
  <si>
    <t>INT J FINANC ENG</t>
  </si>
  <si>
    <t>Int. J. Financ. Eng.</t>
  </si>
  <si>
    <t>10.1142/S242478632050019X</t>
  </si>
  <si>
    <t>OE2NQ</t>
  </si>
  <si>
    <t>WOS:000580374200001</t>
  </si>
  <si>
    <t>Jabbarzadeh, A; Fahimnia, B; Sabouhi, F</t>
  </si>
  <si>
    <t>Jabbarzadeh, Armin; Fahimnia, Behnam; Sabouhi, Fatemeh</t>
  </si>
  <si>
    <t>Resilient and sustainable supply chain design: sustainability analysis under disruption risks</t>
  </si>
  <si>
    <t>resilience; sustainability; disruption; supply chain design; sustainability performance scoring; stochastic programming; fuzzy c-means clustering method; supplier selection</t>
  </si>
  <si>
    <t>EPSILON-CONSTRAINT METHOD; FACILITY LOCATION PROBLEM; NETWORK DESIGN; DECISION-MAKING; PROGRAMMING APPROACH; QUANTITY DISCOUNT; CUSTOMER ORDERS; SERVICE LEVEL; MODEL; OPTIMIZATION</t>
  </si>
  <si>
    <t>Resilience to disruptions and sustainability are both of paramount importance to supply chains. However, the interactions between the two have not been thoroughly explored in the academic literature.We attempt to contribute to this area by presenting a hybrid methodology for the design of a sustainable supply network that performs resiliently in the face of random disruptions. A stochastic bi-objective optimisation model is developed that utilises a fuzzy c-means clustering method to quantify and assess the sustainability performance of the suppliers. The proposed model determines outsourcing decisions and resilience strategies that minimise the expected total cost and maximise the overall sustainability performance in disruptions. Important managerial insights and practical implications are obtained from the model implementation in a case study of plastic pipe industry.</t>
  </si>
  <si>
    <t>[Jabbarzadeh, Armin; Sabouhi, Fatemeh] Iran Univ Sci &amp; Technol, Dept Ind Engn, Tehran, Iran; [Fahimnia, Behnam] Univ Sydney, Business Sch, ITLS, Sydney, NSW, Australia</t>
  </si>
  <si>
    <t>Iran University Science &amp; Technology; University of Sydney</t>
  </si>
  <si>
    <t>Fahimnia, B (corresponding author), Univ Sydney, Business Sch, ITLS, Sydney, NSW, Australia.</t>
  </si>
  <si>
    <t>behnam.fahimnia@sydney.edu.au</t>
  </si>
  <si>
    <t>Fahimnia, Behnam/JAX-2065-2023; Fahimnia, Behnam/D-1461-2010; jabbarzadeh, armin/S-8809-2018</t>
  </si>
  <si>
    <t>Fahimnia, Behnam/0000-0002-8974-9928; Jabbarzadeh, Armin/0000-0001-5109-7736</t>
  </si>
  <si>
    <t>10.1080/00207543.2018.1461950</t>
  </si>
  <si>
    <t>GZ5YY</t>
  </si>
  <si>
    <t>WOS:000449509100019</t>
  </si>
  <si>
    <t>El Baz, J; Cherrafi, A; Benabdellah, AC; Zekhnini, K; Nguema, JNBB; Derrouiche, R</t>
  </si>
  <si>
    <t>El Baz, Jamal; Cherrafi, Anass; Benabdellah, Abla Chaouni; Zekhnini, Kamar; Nguema, Jean Noel Beka Be; Derrouiche, Ridha</t>
  </si>
  <si>
    <t>Environmental Supply Chain Risk Management for Industry 4.0: A Data Mining Framework and Research Agenda</t>
  </si>
  <si>
    <t>environmental risk management; sustainability; data mining; framework; mitigation strategies</t>
  </si>
  <si>
    <t>DECISION-MAKING MODELS; OF-THE-ART; LITERATURE-REVIEWS; FUTURE; SMART; KNOWLEDGE; SYSTEMS; SUSTAINABILITY; DESIGN; CAPABILITIES</t>
  </si>
  <si>
    <t>Smart technologies have dramatically improved environmental risk perception and altered the way organizations share knowledge and communicate. As a result of the increasing amount of data, there is a need for using business intelligence and data mining (DM) approaches to supply chain risk management. This paper proposes a novel environmental supply chain risk management (ESCRM) framework for Industry 4.0, supported by data mining (DM), to identify, assess, and mitigate environmental risks. Through a systematic literature review, this paper conceptualizes Industry 4.0 ESCRM using a DM framework by providing taxonomies for environmental risks, levels, consequences, and strategies to address them. This study proposes a comprehensive guide to systematically identify, gather, monitor, and assess environmental risk data from various sources. The DM framework helps identify environmental risk indicators, develop risk data warehouses, and elaborate a specific module for assessing environmental risks, all of which can generate useful insights for academics and practitioners.</t>
  </si>
  <si>
    <t>[El Baz, Jamal] Ibn Zohr Univ, Ecole Natl Commerce Gest ENCG, Management Digital Innovat &amp; Logist MADILOG, Agadir 80000, Morocco; [Cherrafi, Anass] Cadi Ayyad Univ, Ecole Super Technol Safi EST, Safi 46000, Morocco; [Benabdellah, Abla Chaouni; Nguema, Jean Noel Beka Be] Univ Int Rabat, Rabat Business Sch, Rabat 11100, Morocco; [Zekhnini, Kamar] Moulay Ismail Univ, Ecole Natl Super Arts &amp; Metiers ENSAM, Meknes 50000, Morocco; [Derrouiche, Ridha] EM Strasbourg Business Sch, Humanis, F-67000 Strasbourg, France</t>
  </si>
  <si>
    <t>Ibn Zohr University of Agadir; Cadi Ayyad University of Marrakech; Universite Internationale de Rabat; Moulay Ismail University of Meknes</t>
  </si>
  <si>
    <t>El Baz, J (corresponding author), Ibn Zohr Univ, Ecole Natl Commerce Gest ENCG, Management Digital Innovat &amp; Logist MADILOG, Agadir 80000, Morocco.</t>
  </si>
  <si>
    <t>j.elbaz@uiz.ac.ma</t>
  </si>
  <si>
    <t>zekhnini, kamar/ABZ-7592-2022; chaouni Benabdellah, Abla/IQS-8758-2023; CHERRAFI, ANASS/W-6516-2019; EL BAZ, Jamal/F-6611-2017</t>
  </si>
  <si>
    <t>chaouni Benabdellah, Abla/0000-0003-2953-9109; ANASS, CHERRAFI/0000-0003-2106-6909; EL BAZ, Jamal/0000-0003-1224-3504; Derrouiche, Ridha/0000-0003-2877-1264</t>
  </si>
  <si>
    <t>10.3390/systems11010046</t>
  </si>
  <si>
    <t>8A7KU</t>
  </si>
  <si>
    <t>WOS:000916414700001</t>
  </si>
  <si>
    <t>Khoo, LP; Yin, XF</t>
  </si>
  <si>
    <t>An extended graph-based virtual clustering-enhanced approach to supply chain optimisation</t>
  </si>
  <si>
    <t>INTERNATIONAL JOURNAL OF ADVANCED MANUFACTURING TECHNOLOGY</t>
  </si>
  <si>
    <t>supply chain optimisation; virtual clustering; graph representation</t>
  </si>
  <si>
    <t>This paper describes the work that led to the realisation of an extended graph-based virtual clustering-enhanced approach to supply chain optimisation. The Supply-Chain Operations Reference (SCOR) model defined by the Supply-Chain Council in Pittsburgh, PA, USA is used to denote a typical supply chain, which may include geographically distributed suppliers, warehouses, factories, distribution centres (DCs), transportation and customers. A graph representation is proposed to represent and analyse the business processes of the SCOR model from customer orders to suppliers. Furthermore, logical relationships are superimposed onto the graph. This extended graph enables the complex relationships between the nodes of two adjoining layers to be described. By so doing, it is able to model a complex supply chain with multiple level assembly, various types of transportations and a multiple split and merge of orders. In order to handle a large-scale supply chain optimisation problem, the extended graph is enhanced by virtual clustering so as to realise an approach that is able to downscale the optimisation problem and reduce the search space. A case study is used to illustrate the effectiveness of the proposed approach. The details of the SCOR model, the extended graph, the virtual clustering, the proposed approach and the case study are presented in this paper.</t>
  </si>
  <si>
    <t>Nanyang Technol Univ, Sch Mech &amp; Prod Engn, Singapore 639798, Singapore; Singapore Inst Mfg Technol, Singapore 638075, Singapore</t>
  </si>
  <si>
    <t>Nanyang Technological University &amp; National Institute of Education (NIE) Singapore; Nanyang Technological University; Agency for Science Technology &amp; Research (A*STAR); A*STAR - Singapore Institute of Manufacturing Technology (SIMTech)</t>
  </si>
  <si>
    <t>Khoo, LP (corresponding author), Nanyang Technol Univ, Sch Mech &amp; Prod Engn, 50 Nanyang Ave, Singapore 639798, Singapore.</t>
  </si>
  <si>
    <t>mlpkhoo@ntu.edu.sg</t>
  </si>
  <si>
    <t>Khoo, Li Pheng/A-3817-2011</t>
  </si>
  <si>
    <t>0268-3768</t>
  </si>
  <si>
    <t>1433-3015</t>
  </si>
  <si>
    <t>INT J ADV MANUF TECH</t>
  </si>
  <si>
    <t>Int. J. Adv. Manuf. Technol.</t>
  </si>
  <si>
    <t>11-12</t>
  </si>
  <si>
    <t>10.1007/s00170-003-1605-2</t>
  </si>
  <si>
    <t>Automation &amp; Control Systems; Engineering, Manufacturing</t>
  </si>
  <si>
    <t>Automation &amp; Control Systems; Engineering</t>
  </si>
  <si>
    <t>752CH</t>
  </si>
  <si>
    <t>WOS:000187129000009</t>
  </si>
  <si>
    <t>Zhou, GL; Zhu, LY</t>
  </si>
  <si>
    <t>Zhou, Guanglan; Zhu, Luyao</t>
  </si>
  <si>
    <t>Distribution Characteristics and Influencing Factors of Supply Chain Innovation Firms: A Case Study of Zhejiang Province</t>
  </si>
  <si>
    <t>supply chain innovation; point density estimation; Moran index; standard deviational ellipse</t>
  </si>
  <si>
    <t>The establishment of supply chain innovation enterprises is conducive to maximizing production efficiency, deepening the division of labor mechanism in all links, and promoting supply-side structural reform. In order to study the factors related to the distribution of supply chain innovation enterprises, this study was based on the pilot list of the first and second batches of supply chain innovation enterprises in Zhejiang Province from 2017 to 2019, and based on the geographical location points of 187 enterprises. The POI data were analyzed with the GeoDa 1.20 and ArcMap 10.8 systems, using tools such as the Moran index, nearest neighbor index, point density estimation, standard deviational ellipse, etc. The analysis results show that the distribution characteristics and influencing factors of supply chain innovation enterprises in Zhejiang Province demonstrate global autocorrelation and a high degree of local aggregation, forming a one main multi-point distribution with Hangzhou as the center. The influencing factors are mainly affected by employment density and local economy, and there are multi-factor interactions. Finally, this study puts forward suggestions for the improvement of supply chain innovation enterprises, hoping to promote the sustainable development of supply chain innovation enterprises.</t>
  </si>
  <si>
    <t>[Zhou, Guanglan] Zhejiang Gongshang Univ, Contemporary Business &amp; Trade Res Ctr, Hangzhou 310018, Peoples R China; [Zhou, Guanglan] Acad Zhejiang Culture Ind Innovat &amp; Dev, Hangzhou 310018, Peoples R China; [Zhu, Luyao] Zhejiang Gongshang Univ, Sch Management Engn &amp; E Commerce, Hangzhou 310018, Peoples R China</t>
  </si>
  <si>
    <t>Zhejiang Gongshang University; Zhejiang Gongshang University</t>
  </si>
  <si>
    <t>Zhu, LY (corresponding author), Zhejiang Gongshang Univ, Sch Management Engn &amp; E Commerce, Hangzhou 310018, Peoples R China.</t>
  </si>
  <si>
    <t>guanglanzhou@zjgsu.edu.cn; ZLYzjgsu@126.com</t>
  </si>
  <si>
    <t>Zhu, Luyao/0000-0001-7913-1385</t>
  </si>
  <si>
    <t>China Social Science Key Fund [21ZD154]</t>
  </si>
  <si>
    <t>China Social Science Key Fund</t>
  </si>
  <si>
    <t>China Social Science Key Fund: 21 &amp; ZD154.</t>
  </si>
  <si>
    <t>10.3390/su14042210</t>
  </si>
  <si>
    <t>ZW1NU</t>
  </si>
  <si>
    <t>WOS:000770987700001</t>
  </si>
  <si>
    <t>Ni, M; Xu, X; Deng, S</t>
  </si>
  <si>
    <t>Ni, M.; Xu, X.; Deng, S.</t>
  </si>
  <si>
    <t>Extended QFD and data-mining-based methods for supplier selection in mass customization</t>
  </si>
  <si>
    <t>INTERNATIONAL JOURNAL OF COMPUTER INTEGRATED MANUFACTURING</t>
  </si>
  <si>
    <t>supply-chain management; mass customization; supplier selection; quality-function deployment; house of quality; data mining</t>
  </si>
  <si>
    <t>CRITERIA; MODELS</t>
  </si>
  <si>
    <t>In mass customization, different kinds of customer requirements should be satisfied by the manufacturer. Supplier selection is one important task in supply-chain management. Effective supplier selection calls for robust analytical methods and decision-support tools. This research aims to develop a supplier selection methodology based on extended quality function deployment (QFD) and data-mining (DM) techniques. Through considering customer requirement and performance of components in a product's full life-cycle, the manufacturer can use data-mining techniques to find out quality requirements correlated to customer categories, product usage patterns, and frequent fault patterns in order to select the proper combination of suppliers. In this way, the manufacturer can decrease costs, raise product quality, and improve customer satisfaction. Related data-mining algorithms for supplier selection are presented. Customer requirement analysis is also studied in the paper, and transcendental and empirical customer requirement analysis methods are put forward. A case study is provided in detail. Finally, as a part of the supply-chain management system, a supplier selection prototype system is designed and implemented. Evaluation of experiments in an automobile manufacturing enterprise verifies the feasibility and efficiency of our method.</t>
  </si>
  <si>
    <t>Harbin Inst Technol, Dept Comp Sci &amp; Engn, Harbin 150001, Peoples R China</t>
  </si>
  <si>
    <t>Ni, M (corresponding author), Harbin Inst Technol, Dept Comp Sci &amp; Engn, Harbin 150001, Peoples R China.</t>
  </si>
  <si>
    <t>nimin@sina.com.cn</t>
  </si>
  <si>
    <t>0951-192X</t>
  </si>
  <si>
    <t>1362-3052</t>
  </si>
  <si>
    <t>INT J COMPUT INTEG M</t>
  </si>
  <si>
    <t>Int. J. Comput. Integr. Manuf.</t>
  </si>
  <si>
    <t>MAR-MAY</t>
  </si>
  <si>
    <t>2-3</t>
  </si>
  <si>
    <t>10.1080/09511920601150651</t>
  </si>
  <si>
    <t>Computer Science, Interdisciplinary Applications; Engineering, Manufacturing; Operations Research &amp; Management Science</t>
  </si>
  <si>
    <t>162DX</t>
  </si>
  <si>
    <t>WOS:000246068100016</t>
  </si>
  <si>
    <t>Ouyang, F</t>
  </si>
  <si>
    <t>Ouyang, Fei</t>
  </si>
  <si>
    <t>Construction of Integrated Management Model of Port Logistics Supply Chain Based on Big Data</t>
  </si>
  <si>
    <t>Big data; port logistics; supply chain; integrated management</t>
  </si>
  <si>
    <t>DATA FUSION</t>
  </si>
  <si>
    <t>Port logistics supply chain management is an integrated management idea and method, which performs the functions of logistics planning and control from supplier to end user in supply chain, an integrated management model of port logistics supply chain based on big data is proposed. The big data regression analysis model of integrated management of port logistics supply chain is constructed by statistical analysis method. The constraint index parameter set of optimization of integrated management mode of port logistics supply chain is analyzed in port logistics supply chain, and the big data fusion of integrated management model of port logistics supply chain is carried out by using correlation detection method. Combined with cumulative variance analysis, big data clustering is carried out for port logistics supply chain integrated management model. According to the clustering results, the quantitative distribution set of port logistics supply chain integrated management model is constructed. Combined with big data fuzzy clustering control and information fusion method, the port logistics supply chain integrated management model is constructed. The results of empirical analysis show that the data fusion of port logistics supply chain integrated management model selection by this method is good, which shows that the rationality of port logistics supply chain integrated management mode selection is more accurate, and the integrated management ability of port logistics supply chain under the environment of Internet of things is improved.</t>
  </si>
  <si>
    <t>[Ouyang, Fei] Henan Inst Econ &amp; Trade, Sch Business Adm, Zhengzhou 450018, Henan, Peoples R China</t>
  </si>
  <si>
    <t>Ouyang, F (corresponding author), Henan Inst Econ &amp; Trade, Sch Business Adm, Zhengzhou 450018, Henan, Peoples R China.</t>
  </si>
  <si>
    <t>ouyangfei666@126.com</t>
  </si>
  <si>
    <t>穆, 儒/HGC-6534-2022</t>
  </si>
  <si>
    <t>Henan Province Education Department of Henan Province, Philosophy and Social Science Research Project [2016-ZC-1048]; Key Research Projects of Colleges and Universities in Henan Province [18B790006]</t>
  </si>
  <si>
    <t>Henan Province Education Department of Henan Province, Philosophy and Social Science Research Project; Key Research Projects of Colleges and Universities in Henan Province</t>
  </si>
  <si>
    <t>This work is supported by 2016 Henan Province Education Department of Henan Province, Philosophy and Social Science Research Project (No. 2016-ZC-1048) and 2017 Key Research Projects of Colleges and Universities in Henan Province (No. 18B790006).</t>
  </si>
  <si>
    <t>10.2112/SI93-152.1</t>
  </si>
  <si>
    <t>WOS:000487997100153</t>
  </si>
  <si>
    <t>Chattopadhyay, M; Sengupta, S; Sahay, BS</t>
  </si>
  <si>
    <t>Chattopadhyay, Manojit; Sengupta, Sourav; Sahay, B. S.</t>
  </si>
  <si>
    <t>Visual hierarchical clustering of supply chain using growing hierarchical self-organising map algorithm</t>
  </si>
  <si>
    <t>growing hierarchical self-organising map; supply chain clustering; grouping efficacy; cellular manufacturing; visual clustering</t>
  </si>
  <si>
    <t>MANUFACTURING CELL-FORMATION; GROUP-TECHNOLOGY; GENETIC ALGORITHM; OPTIMIZATION; FRAMEWORK; SELECTION; STRATEGY; MODEL</t>
  </si>
  <si>
    <t>The study identifies a need for efficient and robust visual clustering approach that can potentially deal with complex supply chain clustering problems. Based on the underlying philosophy of group technology, a growing hierarchical self-organising map algorithm (GHSOM) is proposed to identify a lower two-dimension visual clustering map that can effectively address supply chain clustering problems. The proposed approach provides optimal solutions by decomposing a large-sized supply chain problem into independent, small, manageable problems. It facilitates simple decision-making by exploring similar clusters that are represented by the neighbouring branches in the GHSOM map structure. Unlike other approaches in literature, the proposed approach can further attain good topological ordered representations of the various work order families, to be processed by clusters of supply units along with information on hierarchical sub-cell formation as identifiable from the visually navigable map. The proposed approach has been successfully applied on 16 benchmarked problems. The performance of GHSOM based on grouping efficacy measure outperformed the best results in literature.</t>
  </si>
  <si>
    <t>[Chattopadhyay, Manojit; Sahay, B. S.] Indian Inst Management Raipur, Operat &amp; Syst Area, Raipur, Madhya Pradesh, India; [Sengupta, Sourav] Indian Inst Technol, IITB Monash Res Acad, Bombay 400076, Maharashtra, India</t>
  </si>
  <si>
    <t>Indian Institute of Management (IIM System); Indian Institute of Management Raipur; Indian Institute of Technology System (IIT System); Indian Institute of Technology (IIT) - Bombay</t>
  </si>
  <si>
    <t>Chattopadhyay, M (corresponding author), Indian Inst Management Raipur, Operat &amp; Syst Area, Raipur, Madhya Pradesh, India.</t>
  </si>
  <si>
    <t>mjc02@rediffmail.com</t>
  </si>
  <si>
    <t>Sengupta, Sourav/HIU-0459-2022</t>
  </si>
  <si>
    <t>MAY 2</t>
  </si>
  <si>
    <t>10.1080/00207543.2015.1101175</t>
  </si>
  <si>
    <t>DI6TE</t>
  </si>
  <si>
    <t>WOS:000373632300003</t>
  </si>
  <si>
    <t>Tokito, S</t>
  </si>
  <si>
    <t>Tokito, Shohei</t>
  </si>
  <si>
    <t>Environmentally-Targeted Sectors and Linkages in the Global Supply-Chain Complexity of Transport Equipment</t>
  </si>
  <si>
    <t>ECOLOGICAL ECONOMICS</t>
  </si>
  <si>
    <t>Global supply chain complexity; CO2 emissions; Input-output clustering analysis; Structural path betweenness analysis; International trade; Climate mitigation policy</t>
  </si>
  <si>
    <t>INPUT-OUTPUT DATABASE; INTERNATIONAL-TRADE; CLUSTERS</t>
  </si>
  <si>
    <t>This study combined the input-output clustering analysis and structural path betweenness analysis, and identified critical sectors belonging to important emission clusters in the global supply chain networks associated with final demand of transport equipment in five countries (United States, China, Germany, Japan, and France). Clustering analysis can divide the groups constructing the strong connecting supply chain with large emissions from the global supply chain network, and structural path betweenness represents how much CO2 emissions from the supply chain paths a sector has in global supply chain network. I applied the combined method to the EORA database which covers 189 countries and focused on the whole global supply chain networks in detail. The results demonstrate that the global supply chain networks of transport equipment were well separated into emission clusters with higher emissions that consist of sectors with higher structural path betweenness. Chinese emission clusters were identified from the global supply chain networks for the five countries in question and the betweenness of Chinese sectors tend to be higher values in the supply chain networks. In this study, I suggested supply chain management of high priority sectors for a reduction in CO2 emissions of transport equipment in the producing countries.</t>
  </si>
  <si>
    <t>[Tokito, Shohei] Kyushu Univ, Fac Econ, Higashi Ku, 6-19-1 Hakozaki, Fukuoka, Fukuoka 8128581, Japan</t>
  </si>
  <si>
    <t>Kyushu University</t>
  </si>
  <si>
    <t>Tokito, S (corresponding author), Kyushu Univ, Fac Econ, Higashi Ku, 6-19-1 Hakozaki, Fukuoka, Fukuoka 8128581, Japan.</t>
  </si>
  <si>
    <t>3EC17108N@s.kyushu-u.ac.jp</t>
  </si>
  <si>
    <t>Tokito, Shohei/0000-0002-2850-4505</t>
  </si>
  <si>
    <t>[JP17J03786]; Grants-in-Aid for Scientific Research [17J03786] Funding Source: KAKEN</t>
  </si>
  <si>
    <t>; Grants-in-Aid for Scientific Research(Ministry of Education, Culture, Sports, Science and Technology, Japan (MEXT)Japan Society for the Promotion of ScienceGrants-in-Aid for Scientific Research (KAKENHI))</t>
  </si>
  <si>
    <t>This research was supported by Grant-in-Aid for JSPS Research Fellow JP17J03786.</t>
  </si>
  <si>
    <t>0921-8009</t>
  </si>
  <si>
    <t>1873-6106</t>
  </si>
  <si>
    <t>ECOL ECON</t>
  </si>
  <si>
    <t>Ecol. Econ.</t>
  </si>
  <si>
    <t>10.1016/j.ecolecon.2018.04.017</t>
  </si>
  <si>
    <t>Ecology; Economics; Environmental Sciences; Environmental Studies</t>
  </si>
  <si>
    <t>Environmental Sciences &amp; Ecology; Business &amp; Economics</t>
  </si>
  <si>
    <t>GT2XQ</t>
  </si>
  <si>
    <t>WOS:000444364000015</t>
  </si>
  <si>
    <t>Blackhurst, J; Rungtusanatham, MJ; Scheibe, K; Ambulkar, S</t>
  </si>
  <si>
    <t>Blackhurst, Jennifer; Rungtusanatham, M. Johnny; Scheibe, Kevin; Ambulkar, Saurabh</t>
  </si>
  <si>
    <t>Supply chain vulnerability assessment: A network based visualization and clustering analysis approach</t>
  </si>
  <si>
    <t>JOURNAL OF PURCHASING AND SUPPLY MANAGEMENT</t>
  </si>
  <si>
    <t>Supply chain risk management; Supply chain vulnerability; Supply chain design; Petri net; Supply chain disruptions</t>
  </si>
  <si>
    <t>RISK-MANAGEMENT; PREDICTIVE ANALYTICS; MANAGING RISK; PETRI NETS; BIG DATA; RESILIENCE; DISRUPTIONS; UNCERTAINTY; PROPAGATION; PERFORMANCE</t>
  </si>
  <si>
    <t>Supply chains are large, complex, and often unpredictable. Purchasing and supply managers and supply chain risk managers need methods and tools to enable them to quickly understand how unexpected disruptions in the supply chain start and grow and to what extent will they negatively impact the flow of goods and services. This paper introduces a methodological approach that can be used by both researchers and managers to quickly visualize a supply chain, map out the propagation path of disruptive events from the supply side to the end customer and understand potential weaknesses in the supply chain design; taking into account the structure, connectivity, and dependence within the supply chain. The approach incorporates a Petri net and Triangularization Clustering Algorithm to offer insights into a supply chain network's vulnerabilities and can be used to efficiently assess supply chain disruption mitigation strategies, especially in complex and difficulty to analyze supply chain systems.</t>
  </si>
  <si>
    <t>[Blackhurst, Jennifer] Univ Iowa, Iowa City, IA 52242 USA; [Rungtusanatham, M. Johnny] Ohio State Univ, Columbus, OH 43210 USA; [Scheibe, Kevin] Iowa State Univ, Ames, IA USA; [Ambulkar, Saurabh] Northeastern Univ, Boston, MA 02115 USA</t>
  </si>
  <si>
    <t>University of Iowa; University System of Ohio; Ohio State University; Iowa State University; Northeastern University</t>
  </si>
  <si>
    <t>Blackhurst, J (corresponding author), Univ Iowa, Iowa City, IA 52242 USA.</t>
  </si>
  <si>
    <t>jennifer-blackhurst@uiowa.edu</t>
  </si>
  <si>
    <t>Scheibe, Kevin/J-8979-2019</t>
  </si>
  <si>
    <t>Scheibe, Kevin/0000-0001-6687-9618</t>
  </si>
  <si>
    <t>1478-4092</t>
  </si>
  <si>
    <t>1873-6505</t>
  </si>
  <si>
    <t>J PURCH SUPPLY MANAG</t>
  </si>
  <si>
    <t>J. Purch. Supply Manag.</t>
  </si>
  <si>
    <t>10.1016/j.pursup.2017.10.004</t>
  </si>
  <si>
    <t>FU2AZ</t>
  </si>
  <si>
    <t>WOS:000423651900002</t>
  </si>
  <si>
    <t>Wang, C</t>
  </si>
  <si>
    <t>Wang, Can</t>
  </si>
  <si>
    <t>A BIBLIOMETRIC ANALYSIS OF THE APPLICATION OF SOCIAL NETWORK ANALYSIS IN SUPPLY CHAIN MANAGEMENT</t>
  </si>
  <si>
    <t>LOGFORUM</t>
  </si>
  <si>
    <t>social network analysis; supply chain management; bibliometric analysis; CiteSpace</t>
  </si>
  <si>
    <t>KNOWLEDGE DOMAIN; SUSTAINABILITY; DESIGN</t>
  </si>
  <si>
    <t>Background: This paper presents a bibliometric overview of research published application of social network analysis in supply chain management in recent decades. It may be useful for showing the most important problems in this area. With this aim, Citespace is used to analyse the literature on the application of social network analysis in supply chain management to clarify the development and research trend. Bibliometric analysis is the quantitative study of bibliographic material. It provides a general picture of a research field that can be classified by papers, authors, and journals. The main objective of this study is to investigate the knowledge domain about application social network analysis in the supply chain field and reveal the thematic patterns and topics of high interest to researchers to predict emerging trends in the literature. Methods: To investigate the growth of studies about the applicable social network in supply chain management, 647 articles were reviewed by CiteSpace software. These papers were collected from the Core Collection of Thomson Reuters and published in 16 journals in operations research and management science from 2004 to 2021. Document co-citation analysis, clustering analysis, and citation burst detection were conducted to investigate and examine the thematic patterns, emerging trends, and critical articles of the knowledge domain. Results: Social network approaches are increasingly popular in the supply chain. Four major clusters are discussed in detail, namely multi-objective optimization, sustainable supply chain, supply network, and circular economy. Three research trends of supply chain network design, structural characteristics, and supplier selection and evaluation were identified based on citation bursts analysis. Conclusions: The present study offers a new approach to visualizing relevant data to synthesize scientific research findings of the application of social network analysis in supply chain management. Additionally, directions for future research in this area are presented.</t>
  </si>
  <si>
    <t>[Wang, Can] Zhongnan Univ Econ &amp; Law, Wuhan, Peoples R China</t>
  </si>
  <si>
    <t>Zhongnan University of Economics &amp; Law</t>
  </si>
  <si>
    <t>Wang, C (corresponding author), Zhongnan Univ Econ &amp; Law, Sch Business Adm, Wuhan, Peoples R China.</t>
  </si>
  <si>
    <t>wangcan@stu.zuel.edu.cn</t>
  </si>
  <si>
    <t>Wang, Can/0000-0001-8493-9258</t>
  </si>
  <si>
    <t>POZNAN SCH LOGISTICS</t>
  </si>
  <si>
    <t>POZNAN</t>
  </si>
  <si>
    <t>UL E ESTKOWSKIEGO 6, POZNAN, 61-755, POLAND</t>
  </si>
  <si>
    <t>1895-2038</t>
  </si>
  <si>
    <t>1734-459X</t>
  </si>
  <si>
    <t>LogForum</t>
  </si>
  <si>
    <t>10.17270/J.LOG.2022.676</t>
  </si>
  <si>
    <t>5F9ZV</t>
  </si>
  <si>
    <t>WOS:000866669200001</t>
  </si>
  <si>
    <t>Liu, YM; Zhang, S; Chen, M; Wu, YC; Chen, ZX</t>
  </si>
  <si>
    <t>Liu, Yunmei; Zhang, Shuai; Chen, Min; Wu, Yenchun; Chen, Zhengxian</t>
  </si>
  <si>
    <t>The Sustainable Development of Financial Topic Detection and Trend Prediction by Data Mining</t>
  </si>
  <si>
    <t>blockchain technology; financial sector; topic detection; artificial intelligence; bionic algorithm</t>
  </si>
  <si>
    <t>BLOCKCHAIN TECHNOLOGY; GOVERNANCE; SCHEME; IMPACT</t>
  </si>
  <si>
    <t>Blockchain technology is the most cutting-edge technology in the field of financial technology, which has attracted extensive attention from governments, financial institutions and investors of various countries. Blockchain and finance, as an interdisciplinary, cross-technology and cross-field topic, has certain limitations in both theory and application. Based on the bibliometrics data of Web of Science, this paper conducts data mining on 759 papers related to blockchain technology in the financial field by means of co-word analysis, bi-clustering algorithm and strategic coordinate analysis, so as to explore hot topics in this field and predict the future development trend. The experimental results found ten research topics in the field of blockchain combined with finance, including blockchain crowdfunding, Fintech, encryption currency, consensus mechanism, the Internet of Things, digital financial, medical insurance, supply chain finance, intelligent contract and financial innovation. Among them, blockchain crowdfunding, Fintech, encryption currency and supply chain finance are the key research directions in this research field. Finally, this paper also analyzes the opportunities and risks of blockchain development in the financial field and puts forward targeted suggestions for the government and financial institutions.</t>
  </si>
  <si>
    <t>[Liu, Yunmei; Zhang, Shuai] Wuhan Univ, Sch Informat Management, Wuhan 430072, Peoples R China; [Liu, Yunmei; Zhang, Shuai] Wuhan Univ, Ctr Studies Informat Resources, Wuhan 430072, Peoples R China; [Chen, Min] Wenzhou Univ, Acad Financial Res, Sch Business, Wenzhou 325035, Peoples R China; [Wu, Yenchun] Natl Taiwan Normal Univ, Grad Inst Global Business &amp; Strategy, Taipei 106, Taiwan; [Wu, Yenchun] Ming Chuan Univ, Leisure &amp; Recreat Adm Dept, Taipei 111, Taiwan; [Chen, Zhengxian] Purdue Univ, Sch Elect &amp; Comp Engn, W Lafayette, IN 47907 USA</t>
  </si>
  <si>
    <t>Wuhan University; Wuhan University; Wenzhou University; National Taiwan Normal University; Ming Chuan University; Purdue University System; Purdue University; Purdue University West Lafayette Campus</t>
  </si>
  <si>
    <t>Chen, M (corresponding author), Wenzhou Univ, Acad Financial Res, Sch Business, Wenzhou 325035, Peoples R China.;Wu, YC (corresponding author), Natl Taiwan Normal Univ, Grad Inst Global Business &amp; Strategy, Taipei 106, Taiwan.;Wu, YC (corresponding author), Ming Chuan Univ, Leisure &amp; Recreat Adm Dept, Taipei 111, Taiwan.</t>
  </si>
  <si>
    <t>emily19950904@whu.edu.cn; szhang@whu.edu.cn; minchen@wzu.edu.cn; ycwu@ntnu.edu.tw; chen3869@purdue.edu</t>
  </si>
  <si>
    <t>Chen, Min/AAD-4064-2019; 吳, 書平/GXG-9770-2022</t>
  </si>
  <si>
    <t>Zhang, Shuai/0000-0002-5792-877X; liu, yun mei/0000-0002-8921-0826</t>
  </si>
  <si>
    <t>National Natural Science Foundation of China [71420107026, 71661167007]; project of Executives' Dynamic Relationship Network, System Differences, and Chinese Enterprises' Internationalization Strategy: Internal Mechanism and Empirical Test (2021 Philosophy and Social Science Project of Zhejiang Province) [21NDJC144YB]</t>
  </si>
  <si>
    <t>National Natural Science Foundation of China(National Natural Science Foundation of China (NSFC)); project of Executives' Dynamic Relationship Network, System Differences, and Chinese Enterprises' Internationalization Strategy: Internal Mechanism and Empirical Test (2021 Philosophy and Social Science Project of Zhejiang Province)</t>
  </si>
  <si>
    <t>This research was funded by National Natural Science Foundation of China (grant number 71420107026 and 71661167007). This research was also supported by the project ofExecutives' Dynamic Relationship Network, System Differences, and Chinese Enterprises' Internationalization Strategy: Internal Mechanism and Empirical Test (Grant No.: 21NDJC144YB) (2021 Philosophy and Social Science Project of Zhejiang Province).</t>
  </si>
  <si>
    <t>10.3390/su13147585</t>
  </si>
  <si>
    <t>TO4YK</t>
  </si>
  <si>
    <t>WOS:000676918900001</t>
  </si>
  <si>
    <t>Zhang, YQ; Bi, X; Tang, NAS; Qu, AN</t>
  </si>
  <si>
    <t>Zhang, Yanqing; Bi, Xuan; Tang, Niansheng; Qu, Annie</t>
  </si>
  <si>
    <t>Dynamic Tensor Recommender Systems</t>
  </si>
  <si>
    <t>JOURNAL OF MACHINE LEARNING RESEARCH</t>
  </si>
  <si>
    <t>Contextual information; Dynamic recommender systems; Polynomial spline approximation; Prediction interval; Product sales forecasting</t>
  </si>
  <si>
    <t>FACTORIZATION</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</si>
  <si>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t>
  </si>
  <si>
    <t>[Zhang, Yanqing; Tang, Niansheng] Yunnan Univ, Dept Stat, Kunming 650504, Yunnan, Peoples R China; [Bi, Xuan] Univ Minnesota, Carlson Sch Management, Minneapolis, MN 55455 USA; [Qu, Annie] Univ Calif Irvine, Dept Stat, Irvine, CA 92697 USA</t>
  </si>
  <si>
    <t>Yunnan University; University of Minnesota System; University of Minnesota Twin Cities; University of California System; University of California Irvine</t>
  </si>
  <si>
    <t>Zhang, YQ (corresponding author), Yunnan Univ, Dept Stat, Kunming 650504, Yunnan, Peoples R China.</t>
  </si>
  <si>
    <t>ZHANGYANQING@YNU.EDU.CN; XBI@UMN.EDU; NSTANG@YNU.EDU.CN; AQU2@UCI.EDU</t>
  </si>
  <si>
    <t>National Science Foundation [DMS1821198, DMS1613190, DMS1952402]; National Natural Science Foundation of P.R. China [11731011, 11671349, 12001479]; Natural Science Foundation of Yunnan Province of China [2019FD068]</t>
  </si>
  <si>
    <t>National Science Foundation(National Science Foundation (NSF)); National Natural Science Foundation of P.R. China(National Natural Science Foundation of China (NSFC)); Natural Science Foundation of Yunnan Province of China(Natural Science Foundation of Yunnan Province)</t>
  </si>
  <si>
    <t>We would like to thank the action editors and referees for insightful comments and suggestions which improve the article significantly. We would like to acknowledge support for this project from the National Science Foundation Grants (DMS1821198, DMS1613190 and DMS1952402), National Natural Science Foundation of P.R. China (11731011, 11671349 and 12001479), and Natural Science Foundation of Yunnan Province of China (2019FD068). We would like to thank IRI for making the data available. All estimates and analysis in this paper based on data provided by IRI are by the authors and not by the IRI.</t>
  </si>
  <si>
    <t>MICROTOME PUBL</t>
  </si>
  <si>
    <t>BROOKLINE</t>
  </si>
  <si>
    <t>31 GIBBS ST, BROOKLINE, MA 02446 USA</t>
  </si>
  <si>
    <t>1532-4435</t>
  </si>
  <si>
    <t>J MACH LEARN RES</t>
  </si>
  <si>
    <t>J. Mach. Learn. Res.</t>
  </si>
  <si>
    <t>Automation &amp; Control Systems; Computer Science, Artificial Intelligence</t>
  </si>
  <si>
    <t>SK6YZ</t>
  </si>
  <si>
    <t>WOS:000656365000001</t>
  </si>
  <si>
    <t>Ding, SS; Cui, TX; Wu, XL; Du, M</t>
  </si>
  <si>
    <t>Ding, Shusheng; Cui, Tianxiang; Wu, Xiangling; Du, Min</t>
  </si>
  <si>
    <t>Supply chain management based on volatility clustering: The effect of CBDC volatility</t>
  </si>
  <si>
    <t>RESEARCH IN INTERNATIONAL BUSINESS AND FINANCE</t>
  </si>
  <si>
    <t>CBDC; Volatility clustering; Machine learning; Digital currency; Supply chain management</t>
  </si>
  <si>
    <t>PRICE VOLATILITY; BLOCKCHAIN; BITCOIN; GARCH; RISK; UNCERTAINTY; DESIGN; MODELS</t>
  </si>
  <si>
    <t>A Central Bank Digital Currency (CBDC) launched by the Bank of England could enable businesses to directly make electronic payments. It can be argued that digital payment is helpful in supply chain management applications. However, the adoption of CBDC in the supply chain could bring new turbulence since the CBDC value may fluctuate. Therefore, this paper intends to optimize the production plan of manufacturing supply chain based on a volatility clustering model by reducing CBDC value uncertainty. We apply both GARCH model and machine learning model to depict the CBDC volatility clustering. Empirically, we employed Baltic Dry Index, Bitcoin and exchange rate as main variables with sample period from 2015 to 2021 to evaluate the performance of the two models. On this basis, we reveal that our machine learning model overwhelmingly outperforms the GARCH model. Consequently, our result implies that manufacturing companies' performance can be strengthened through CBDC uncertainty reduction.</t>
  </si>
  <si>
    <t>[Ding, Shusheng; Wu, Xiangling] Ningbo Univ, Sch Business, Ningbo, Zhejiang, Peoples R China; [Cui, Tianxiang] Univ Nottingham Ningbo China, Sch Comp Sci, Ningbo, Zhejiang, Peoples R China; [Du, Min] Edinburgh Napier Univ, Business Sch, Edinburgh, Scotland</t>
  </si>
  <si>
    <t>Ningbo University; University of Nottingham Ningbo China; Edinburgh Napier University</t>
  </si>
  <si>
    <t>Du, M (corresponding author), Edinburgh Napier Univ, Business Sch, Edinburgh, Scotland.</t>
  </si>
  <si>
    <t>dingshusheng@nbu.edu.cn; tianxiang.cui@nottingham.edu.cn; wuxiangling@nbu.edu.cn; a.du@napier.ac.uk</t>
  </si>
  <si>
    <t>Du, Anna Min/0000-0002-1715-8774; Cui, Tianxiang/0000-0002-0102-2581</t>
  </si>
  <si>
    <t>Academy of Longyuan Construction Financial Research Grant [LYZDB2004]; International Research Center for Sustainable Finance</t>
  </si>
  <si>
    <t>Academy of Longyuan Construction Financial Research Grant; International Research Center for Sustainable Finance</t>
  </si>
  <si>
    <t>This paper is supported by the Academy of Longyuan Construction Financial Research Grant (Grant Number: LYZDB2004) and is also supported by International Research Center for Sustainable Finance.</t>
  </si>
  <si>
    <t>0275-5319</t>
  </si>
  <si>
    <t>1878-3384</t>
  </si>
  <si>
    <t>RES INT BUS FINANC</t>
  </si>
  <si>
    <t>Res. Int. Bus. Financ.</t>
  </si>
  <si>
    <t>10.1016/j.ribaf.2022.101690</t>
  </si>
  <si>
    <t>2F6DM</t>
  </si>
  <si>
    <t>WOS:000812998100007</t>
  </si>
  <si>
    <t>Ma, RF; Wang, YY</t>
  </si>
  <si>
    <t>Ma Rongfei; Wang Yiyong</t>
  </si>
  <si>
    <t>Innovation in modern collaborative logistics management based on the internet of things</t>
  </si>
  <si>
    <t>AGRO FOOD INDUSTRY HI-TECH</t>
  </si>
  <si>
    <t>Innovation; modern logistics; collaborative management; Internet of Things</t>
  </si>
  <si>
    <t>In this study, we present a data mining method for supplier and supply chain collaborative management based on the Internet of things. This new business model provides more business opportunities, which are inevitably necessary for new logistics. The needs of the user are first determined to design a user-friendly, interactive, easy-to-operate, and simple interface. We intend to use a high-dimensional real dataset of suppliers from a supplier base and handle outliers in our future work. In this study, the real business processes of a supply chain management system are used to find relevant data mining methods and techniques. The supplier categorization problem is solved to effectively support supply chain operation, and a method for modern collaborative logistics management based on the Internet of things is established.</t>
  </si>
  <si>
    <t>[Ma Rongfei; Wang Yiyong] Zhejiang Tech Inst Econ, Inst Digital Informat, Hangzhou 310018, Zhejiang, Peoples R China</t>
  </si>
  <si>
    <t>Ma, RF (corresponding author), Zhejiang Tech Inst Econ, Inst Digital Informat, Hangzhou 310018, Zhejiang, Peoples R China.</t>
  </si>
  <si>
    <t>project of soft science research project of Zhejiang Province [2016C35036]</t>
  </si>
  <si>
    <t>project of soft science research project of Zhejiang Province</t>
  </si>
  <si>
    <t>The study was supported by the project of soft science research project of Zhejiang Province (2016C35036).</t>
  </si>
  <si>
    <t>TEKNOSCIENZE PUBL</t>
  </si>
  <si>
    <t>MILANO</t>
  </si>
  <si>
    <t>VIALE BRIANZA 22, 20127 MILANO, ITALY</t>
  </si>
  <si>
    <t>1722-6996</t>
  </si>
  <si>
    <t>2035-4606</t>
  </si>
  <si>
    <t>AGRO FOOD IND HI TEC</t>
  </si>
  <si>
    <t>Agro Food Ind. Hi-Tech</t>
  </si>
  <si>
    <t>JAN-FEB</t>
  </si>
  <si>
    <t>Biotechnology &amp; Applied Microbiology; Food Science &amp; Technology</t>
  </si>
  <si>
    <t>FB2SA</t>
  </si>
  <si>
    <t>WOS:000405992300039</t>
  </si>
  <si>
    <t>Agarwal, R; Dixit, A</t>
  </si>
  <si>
    <t>Agarwal, Reshu; Dixit, Adarsh</t>
  </si>
  <si>
    <t>Water Supply Chain Resource Management in Cities Using Data Mining Techniques</t>
  </si>
  <si>
    <t>INTERNATIONAL JOURNAL OF INFORMATION RETRIEVAL RESEARCH</t>
  </si>
  <si>
    <t>Data Mining; Smart Water Supply Chain Automation; Statistical Analysis; Water resources management; WEKA; WQI (Water Quality Index)</t>
  </si>
  <si>
    <t>QUALITY</t>
  </si>
  <si>
    <t>This paper presents a comparative research study between a number of data mining techniques, knowledge discovery tools, data analysis and software packages to be used in a Decision Support System (DSS) for Smart water supply chain resources management. The case study deals with the evaluation and comparative research of water quality of city water supply within New Delhi city area. In the case of New-Delhi water supply alternative actions for improving of water supply and quality are defined for efficient supply in distributed area. The real time water quality monitor uses given standards by Water Quality Index (WQI) and Statistical analysis done on it suggests the shortest path between supply station and local area distribution Centre by used WEKA mining tool (decision tree) and OLAP. The results show that the city water isn't supplied efficiently in the city and not within the standard quality criteria of (WHO) standards and Indian standards. Leanings and research challenges observed during this comparative study have also been enumerated.</t>
  </si>
  <si>
    <t>[Agarwal, Reshu; Dixit, Adarsh] Amity Univ, Amity Inst Informat Technol, Noida, India</t>
  </si>
  <si>
    <t>Amity University Noida</t>
  </si>
  <si>
    <t>Agarwal, R (corresponding author), Amity Univ, Amity Inst Informat Technol, Noida, India.</t>
  </si>
  <si>
    <t>AGARWAL, RESHU/0000-0002-7106-6141</t>
  </si>
  <si>
    <t>2155-6377</t>
  </si>
  <si>
    <t>2155-6385</t>
  </si>
  <si>
    <t>INT J INF RETR RES</t>
  </si>
  <si>
    <t>Int. J. Inf. Retr. Res.</t>
  </si>
  <si>
    <t>10.4018/IJIRR.317087</t>
  </si>
  <si>
    <t>9V5DC</t>
  </si>
  <si>
    <t>WOS:000948412100002</t>
  </si>
  <si>
    <t>Stefanovic, N</t>
  </si>
  <si>
    <t>Stefanovic, Nenad</t>
  </si>
  <si>
    <t>Collaborative Predictive Business Intelligence Model for Spare Parts Inventory Replenishment</t>
  </si>
  <si>
    <t>COMPUTER SCIENCE AND INFORMATION SYSTEMS</t>
  </si>
  <si>
    <t>predictive analytics; supply chain inventory management; data mining; collaborative business intelligence; web portal</t>
  </si>
  <si>
    <t>PERFORMANCE-MEASUREMENT; BIG DATA; ANALYTICS</t>
  </si>
  <si>
    <t>In today's volatile and turbulent business environment, supply chains face great challenges when making supply and demand decisions. Making optimal inventory replenishment decision became critical for successful supply chain management. Existing traditional inventory management approaches and technologies showed as inadequate for these tasks. Current business environment requires new methods that incorporate more intelligent technologies and tools capable to make fast, accurate and reliable predictions. This paper deals with data mining applications for the supply chain inventory management. It describes the unified business intelligence semantic model, coupled with a data warehouse to employ data mining technology to provide accurate and up-to-date information for better inventory management decisions and to deliver this information to relevant decision makers in a user-friendly manner. Experiments carried out with the real data set, from the automotive industry, showed very good accuracy and performance of the model which makes it suitable for collaborative and more informed inventory decision making.</t>
  </si>
  <si>
    <t>Fac Tech Sci, Cacak 32000, Serbia</t>
  </si>
  <si>
    <t>Stefanovic, N (corresponding author), Fac Tech Sci, Svetog Save 65, Cacak 32000, Serbia.</t>
  </si>
  <si>
    <t>nenads@kg.ac.rs</t>
  </si>
  <si>
    <t>Stefanovic, Nenad/Q-9913-2019</t>
  </si>
  <si>
    <t>Stefanovic, Nenad/0000-0002-0339-3474</t>
  </si>
  <si>
    <t>Ministry of Science and Technological Development of Republic of Serbia [III-44010]</t>
  </si>
  <si>
    <t>Ministry of Science and Technological Development of Republic of Serbia(Ministry of Education, Science &amp; Technological Development, Serbia)</t>
  </si>
  <si>
    <t>Research presented in this paper was supported by Ministry of Science and Technological Development of Republic of Serbia, Grant III-44010, Title: Intelligent Systems for Software Product Development and Business Support based on Models.</t>
  </si>
  <si>
    <t>COMSIS CONSORTIUM</t>
  </si>
  <si>
    <t>NOVI SAD</t>
  </si>
  <si>
    <t>UNIV NOVI SAD, FAC TECH SCI, TRG DOSITEJA OBRADOVICA 6, NOVI SAD, 21000, SERBIA</t>
  </si>
  <si>
    <t>1820-0214</t>
  </si>
  <si>
    <t>COMPUT SCI INF SYST</t>
  </si>
  <si>
    <t>Comput. Sci. Inf. Syst.</t>
  </si>
  <si>
    <t>10.2298/CSIS141101034S</t>
  </si>
  <si>
    <t>Computer Science, Information Systems; Computer Science, Software Engineering</t>
  </si>
  <si>
    <t>CP8IX</t>
  </si>
  <si>
    <t>WOS:000360138100002</t>
  </si>
  <si>
    <t>Tang, FX; Mao, BM; Fadlullah, ZM; Liu, JJ; Kato, N</t>
  </si>
  <si>
    <t>Tang, Fengxiao; Mao, Bomin; Fadlullah, Zubair Md; Liu, Jiajia; Kato, Nei</t>
  </si>
  <si>
    <t>ST-DeLTA: A Novel Spatial-Temporal Value Network Aided Deep Learning Based Intelligent Network Traffic Control System</t>
  </si>
  <si>
    <t>IEEE TRANSACTIONS ON SUSTAINABLE COMPUTING</t>
  </si>
  <si>
    <t>Deep learning; Training; Heuristic algorithms; Network topology; Routing protocols; Control systems; Feature extraction; Network traffic control; packets forwarding; deep learning; convolutional neural network (CNN); deep belief network (DBN)</t>
  </si>
  <si>
    <t>CHANNEL ESTIMATION; ASSIGNMENT</t>
  </si>
  <si>
    <t>Deep learning has emerged as a popular Artificial Intelligence (AI) technique to make conventional cyber physical systems become intelligent and sustainable. Recently, deep learning has been widely used in the network domain. With the aid of powerful deep neural networks, the communication network can carry out packets forwarding actions intelligently to avoid possible failure and congestion. However, with the high computing cost and process limitation in only the static network scenario, the existing deep learning based network traffic control algorithms cannot satisfy the sustainable requirement of next generation large scale dynamic network. To conquer the existing problems, a novel spatial-temporal value network aided deep learning based intelligent traffic control algorithm referred as ST-DeLTA is proposed in this paper. In ST-DeLTA, the value matrix and spatial temporal training model (ST model) are employed to intelligently extract the spatial as well as temporal features of traffic patterns and make adaptive packets forwarding decision in large scale and dynamic networks. The mathematical analysis gives the computing cost reduction of our proposal, and the computer simulation demonstrates that our proposal has significantly better training and network performance compared with traditional algorithms in terms of training accuracy, transmission throughput, and average packets loss rate.</t>
  </si>
  <si>
    <t>[Tang, Fengxiao; Mao, Bomin; Fadlullah, Zubair Md; Kato, Nei] Tohoku Univ, Grad Sch Informat Sci GSIS, Sendai, Miyagi 9808577, Japan; [Liu, Jiajia] Northwestern Polytech Univ, Sch Cyberspace Secur, Xian, Peoples R China</t>
  </si>
  <si>
    <t>Tohoku University; Northwestern Polytechnical University</t>
  </si>
  <si>
    <t>Mao, BM (corresponding author), Tohoku Univ, Grad Sch Informat Sci GSIS, Sendai, Miyagi 9808577, Japan.</t>
  </si>
  <si>
    <t>fengxiao.tang@it.is.tohoku.ac.jp; bomin.mao@it.is.tohoku.ac.jp; zubair@it.is.tohoku.ac.jp; liujiajia@nwpu.edu.cn; kato@it.is.tohoku.ac.jp</t>
  </si>
  <si>
    <t>liu, jiajia/IUN-0901-2023; Tang, Fengxiao/ABD-9673-2021; LIU, JIAJIA/HMD-9871-2023; li, jiawei/HOA-5023-2023; Li, Jiaxi/HTS-3430-2023; wang, ya/HQZ-7558-2023; Tang, Fengxiao/AFN-7960-2022; liu, jia/HKE-9796-2023; Mao, Bomin/AFI-2258-2022; liu, jiayu/JCP-0511-2023; Yu, Kun/IAP-9807-2023; liu, jia/JAC-7852-2023; liu, jiajia/ISS-0316-2023; Liu, Jiayu/JCO-5073-2023</t>
  </si>
  <si>
    <t>LIU, JIAJIA/0000-0003-4273-8866; Li, Jiaxi/0000-0002-8197-8590; Mao, Bomin/0000-0001-7780-5972</t>
  </si>
  <si>
    <t>2377-3782</t>
  </si>
  <si>
    <t>IEEE T SUST COMPUT</t>
  </si>
  <si>
    <t>IEEE Trans. Sustain. Comput.</t>
  </si>
  <si>
    <t>OCT-DEC</t>
  </si>
  <si>
    <t>10.1109/TSUSC.2019.2929935</t>
  </si>
  <si>
    <t>Computer Science, Hardware &amp; Architecture; Computer Science, Information Systems; Telecommunications</t>
  </si>
  <si>
    <t>UN5AN</t>
  </si>
  <si>
    <t>WOS:000694028000009</t>
  </si>
  <si>
    <t>Ali, MFB; Ariffin, MKAB; Bin Mustapha, F; Bin Supeni, EE</t>
  </si>
  <si>
    <t>Mad Ali, Mohd Fahmi Bin; Ariffin, Mohd Khairol Anuar Bin Mohd; Bin Mustapha, Faizal; Bin Supeni, Eris Elianddy</t>
  </si>
  <si>
    <t>An Unsupervised Machine Learning-Based Framework for Transferring Local Factories into Supply Chain Networks</t>
  </si>
  <si>
    <t>food supply chain; food distribution; design supply chain; unsupervised machine learning</t>
  </si>
  <si>
    <t>K-HARMONIC MEANS; CELL-FORMATION; PERMISSIBLE DELAY; FASHION INDUSTRY; SYSTEMS; MODEL; INVESTMENT; MANAGEMENT; ALGORITHM; IMPACT</t>
  </si>
  <si>
    <t>Transferring a local manufacturing company to a national-wide supply chain network with wholesalers and retailers is a significant problem in manufacturing systems. In this research, a hybrid PCA-K-means is used to transfer a local chocolate manufacturing firm near Kuala Lumpur into a national-wide supply chain. For this purpose, the appropriate locations of the wholesaler's center points were found according to the geographical and population features of the markets in Malaysia. To this end, four wholesalers on the left island of Malaysia are recognized, which were located in the north area, right area, middle area, and south area. Similarly, two wholesalers were identified on the right island, which were in Sarawak and WP Labuan. In order to evaluate the performance of the proposed method, its outcomes are compared with other unsupervised-learning methods such as the WARD and CLINK methods. The outcomes indicated that K-means could successfully determine the best locations for the wholesalers in the supply chain network with a higher score (0.812).</t>
  </si>
  <si>
    <t>[Mad Ali, Mohd Fahmi Bin; Ariffin, Mohd Khairol Anuar Bin Mohd; Bin Mustapha, Faizal; Bin Supeni, Eris Elianddy] Univ Putra Malaysia, Dept Mech &amp; Mfg Engn, Serdang 43400, Malaysia</t>
  </si>
  <si>
    <t>Universiti Putra Malaysia</t>
  </si>
  <si>
    <t>Ariffin, MKAB (corresponding author), Univ Putra Malaysia, Dept Mech &amp; Mfg Engn, Serdang 43400, Malaysia.</t>
  </si>
  <si>
    <t>madali.fahmi@gmail.com; Khairol@upm.edu.my; faizalms@upm.edu.my; eris@upm.edu.my</t>
  </si>
  <si>
    <t>SUPENI, ERIS ELIANDDY/0000-0001-8611-6431; mohd ariffin, mohd khairol anuar/0000-0002-5390-8202</t>
  </si>
  <si>
    <t>10.3390/math9233114</t>
  </si>
  <si>
    <t>YE9MX</t>
  </si>
  <si>
    <t>WOS:000741443400001</t>
  </si>
  <si>
    <t>Daie, P; Li, S</t>
  </si>
  <si>
    <t>Daie, Pooya; Li, Simon</t>
  </si>
  <si>
    <t>Hierarchical clustering for structuring supply chain network in case of product variety</t>
  </si>
  <si>
    <t>JOURNAL OF MANUFACTURING SYSTEMS</t>
  </si>
  <si>
    <t>Supply chain network; Hierarchical clustering; Modular design; Coupling analysis; Postponement</t>
  </si>
  <si>
    <t>MODEL ASSEMBLY SYSTEMS; MANUFACTURING COMPLEXITY; DESIGN; POSTPONEMENT; DIFFERENTIATION; CONFIGURATION; SEQUENCES</t>
  </si>
  <si>
    <t>To compete in the market, manufacturers often need to offer multiple product variants to different customers. Given such a challenge of product variety to supply chain, the postponement strategy has been adapted that the differentiating modules are handled at the later stage of the process to minimize the impacts from demand variations. Given the information of product variants and their mix ratios, this paper focuses on the problem of structuring supply chain network that indicates the precedence orders of suppliers and sub-assemblers. The solution approach is based on hierarchical clustering, in which the tree structure is applied to construct the supply chain network. One core technique is to investigate the coupling values between the modules by characterizing the grouping condition the structuring process. A complexity measure is also adopted to compare the quality of resulting supply chain networks. Five numerical examples are utilized to demonstrate the applicability and effectiveness of the proposed clustering method. (C) 2015 The Society of Manufacturing Engineers. Published by Elsevier Ltd. All rights reserved.</t>
  </si>
  <si>
    <t>[Daie, Pooya] Concordia Univ, Dept Mech &amp; Ind Engn, 1515 St Catherine St West,EV 4-139, Montreal, PQ H3G 2W1, Canada; [Li, Simon] Univ Calgary, Dept Mech &amp; Mfg Engn, Calgary, AB T2N 1N4, Canada</t>
  </si>
  <si>
    <t>Concordia University - Canada; University of Calgary</t>
  </si>
  <si>
    <t>Li, S (corresponding author), 2500 Univ Dr NW, Calgary, AB T2N 1N4, Canada.</t>
  </si>
  <si>
    <t>simoli@ucalgary.ca</t>
  </si>
  <si>
    <t>Daie, Pooya/GQB-4548-2022</t>
  </si>
  <si>
    <t>Li, Simon/0000-0002-8819-5222</t>
  </si>
  <si>
    <t>0278-6125</t>
  </si>
  <si>
    <t>1878-6642</t>
  </si>
  <si>
    <t>J MANUF SYST</t>
  </si>
  <si>
    <t>J. Manuf. Syst.</t>
  </si>
  <si>
    <t>10.1016/j.jmsy.2015.10.002</t>
  </si>
  <si>
    <t>DE8QO</t>
  </si>
  <si>
    <t>WOS:000370901700006</t>
  </si>
  <si>
    <t>Delen, D; Erraguntla, M; Mayer, RJ; Wu, CN</t>
  </si>
  <si>
    <t>Delen, Dursun; Erraguntla, Madhav; Mayer, Richard J.; Wu, Chang-Nien</t>
  </si>
  <si>
    <t>Better management of blood supply-chain with GIS-based analytics</t>
  </si>
  <si>
    <t>Blood inventory management; Data mining; Data validation; Geographic Information System (GIS); Analysis at multiple levels of abstraction</t>
  </si>
  <si>
    <t>INVENTORY MANAGEMENT</t>
  </si>
  <si>
    <t>This paper presents a novel application of operations research, data mining and geographic information-systems-based analytics to support decision making in blood supply chain management. This, blood reserve availability assessment, tracking, and management system (BRAMS), research project has been funded by the Office of the Secretary of Defense. (This DoD funded SBIR project is performed by the researchers at Knowledge Based Systems, Inc. (KBSI).) The rapidly increasing demand, criticality of the product, strict storage and handling requirements, and the vastness of the theater of operations, make blood supply-chain management a complex, yet vital problem for the department of defense. In order to address this problem a variety of contemporary analytic techniques are used to analyze inventory and consumption patterns, evaluate supply chain status, monitor performance metrics at different levels of granularity, and detect potential problems and opportunities for improvement. The current implementation of the system is being actively used by 130 mangers at different levels in the supply chain including facilities at Osan Air Force Base in South Korea and Incirlik Air Force Base in Turkey.</t>
  </si>
  <si>
    <t>[Delen, Dursun] Oklahoma State Univ, Dept Management Sci &amp; Informat Syst, Spears Sch Business, Tulsa, OK 74012 USA; [Erraguntla, Madhav; Mayer, Richard J.; Wu, Chang-Nien] Knowledge Based Syst Inc, College Stn, TX 77840 USA</t>
  </si>
  <si>
    <t>Oklahoma State University System; Oklahoma State University - Tulsa</t>
  </si>
  <si>
    <t>Delen, D (corresponding author), Oklahoma State Univ, Dept Management Sci &amp; Informat Syst, Spears Sch Business, 700 N Greenwood Ave, Tulsa, OK 74012 USA.</t>
  </si>
  <si>
    <t>dursun.delen@okstate.edu; merraguntla@kbsi.com; rmayer@kbsi.com; cnwo@kbsi.com</t>
  </si>
  <si>
    <t>Delen, Dursun/AGA-9892-2022; Delen, Dursun/AAA-2566-2020; Delen, Dursun/O-6938-2015</t>
  </si>
  <si>
    <t>Delen, Dursun/0000-0001-8857-5148; Delen, Dursun/0000-0001-8857-5148</t>
  </si>
  <si>
    <t>Office of the Secretary of Defense (OSD) [W81XWH-05-C-0074]</t>
  </si>
  <si>
    <t>Office of the Secretary of Defense (OSD)</t>
  </si>
  <si>
    <t>The blood reserve availability assessment, tracking, and management system (BRAMS) project was funded by the Office of the Secretary of Defense (OSD) under Contract No. W81XWH-05-C-0074. We acknowledge the invaluable support and knowledge contribution of the contracting officer's technical representatives (LTC Ronny Fryar, MAJ Antoinette Mattoch, and Mr. Richard Hoffman).</t>
  </si>
  <si>
    <t>10.1007/s10479-009-0616-2</t>
  </si>
  <si>
    <t>745YI</t>
  </si>
  <si>
    <t>WOS:000289207100009</t>
  </si>
  <si>
    <t>Li, MX; Chen, KB; Liu, BX</t>
  </si>
  <si>
    <t>Li, Mingxia; Chen, Kebing; Liu, Baoxiang</t>
  </si>
  <si>
    <t>An example of pricing in competitive supply chain using association rule mining algorithm based on interval concept lattice</t>
  </si>
  <si>
    <t>JOURNAL OF INTELLIGENT &amp; FUZZY SYSTEMS</t>
  </si>
  <si>
    <t>Pricing decision; formal context; interval concept lattice structure; optimization and mining of association rule</t>
  </si>
  <si>
    <t>The substitutability between products or the intensity of market competition is the key parameter affecting the supplier's pricing decision. However, the parameter cannot be accurately measured in real life. This paper provides a method based on prior information to solve this issue. First, compared to classical concept lattice theory, the interval concept lattice theory can deal with uncertain information more accurately. It is used to extract the objects within the interval parameters [alpha, beta], and then interval concepts and lattice structure are built. Second, based on the interval concepts and lattice structure, the association rule mining algorithm is designed to further extract the association rules under different interval parameters. Third, to obtain the effective association degree between two objects, the rule optimization algorithm is put forward by comparing the update of rules. Finally, the association degree can indirectly reflect the substitutability between products. Then the price of a new product can be determined. Our paper provides some implication on pricing for suppliers in competitive supply chain.</t>
  </si>
  <si>
    <t>[Li, Mingxia] Nanjing Univ Aeronaut &amp; Astronaut, Coll Sci, Nanjing, Peoples R China; [Chen, Kebing] Nanjing Univ Aeronaut &amp; Astronaut, Coll Econ &amp; Management, Nanjing 210016, Peoples R China; [Liu, Baoxiang] Key Lab Data Sci &amp; Applicat Hebei Prov, Tangshan, Peoples R China</t>
  </si>
  <si>
    <t>Nanjing University of Aeronautics &amp; Astronautics; Nanjing University of Aeronautics &amp; Astronautics</t>
  </si>
  <si>
    <t>Chen, KB (corresponding author), Nanjing Univ Aeronaut &amp; Astronaut, Coll Econ &amp; Management, Nanjing 210016, Peoples R China.</t>
  </si>
  <si>
    <t>kbchen@nuaa.edu.cn</t>
  </si>
  <si>
    <t>wang, yue/ISA-4119-2023</t>
  </si>
  <si>
    <t>National Natural Science Foundation of China [71971113]</t>
  </si>
  <si>
    <t>This research was supported by the National Natural Science Foundation of China (No. 71971113).</t>
  </si>
  <si>
    <t>IOS PRESS</t>
  </si>
  <si>
    <t>NIEUWE HEMWEG 6B, 1013 BG AMSTERDAM, NETHERLANDS</t>
  </si>
  <si>
    <t>1064-1246</t>
  </si>
  <si>
    <t>1875-8967</t>
  </si>
  <si>
    <t>J INTELL FUZZY SYST</t>
  </si>
  <si>
    <t>J. Intell. Fuzzy Syst.</t>
  </si>
  <si>
    <t>10.3233/JIFS-212265</t>
  </si>
  <si>
    <t>1Y1HI</t>
  </si>
  <si>
    <t>WOS:000807894800029</t>
  </si>
  <si>
    <t>Liu, NJ; Bouzembrak, Y; van den Bulk, LM; Gavai, A; van den Heuvel, LJ; Marvin, HJP</t>
  </si>
  <si>
    <t>Liu, Ningjing; Bouzembrak, Yamine; Van den Bulk, Leonieke M.; Gavai, Anand; van den Heuvel, Lukas J.; Marvin, Hans J. P.</t>
  </si>
  <si>
    <t>Automated food safety early warning system in the dairy supply chain using machine learning</t>
  </si>
  <si>
    <t>Anomaly detection; Emerging risk; Bayesian network; Dynamic unsupervised anomaly detection; Detrended cross-correlation analysis; Milk safety</t>
  </si>
  <si>
    <t>DRIVERS; HAZARDS; RISKS; INDUSTRY; QUALITY; PRICES; ISSUES; FRAUD</t>
  </si>
  <si>
    <t>Traditionally, early warning systems for food safety are based on monitoring targeted food safety hazards. Optimal early warning systems, however, should identify signals that precede the development of a food safety risk. Moreover, such signals could be identified in factors from domains adjacent to the food supply chain, socalled drivers of change and other indicators. In this study, we show for the first time that such drivers and indicators may indeed represent signals that precede the detection of a food safety risk. The dairy supply chain in Europe was used as an application case. Using dynamic unsupervised anomaly detection models, anomalies were detected in indicator data expected by domain experts to impact the development of food safety risks in milk.Additionally, a Bayesian network was used to identify the chemical food safety hazards in milk associated with an anomaly for the Netherlands.The results showed that the frequency of anomalies varied per country and indicator. However, all countries showed in the period investigated (2008-2019), anomalies in the indicators raw milk price and barely milk price and no anomalies in the indicator income of dairy farms. A cross-correlation analysis of the number of Rapid Alert for Food and Feed (RASFF) notifications and anomalies in indicators revealed significant correlations of many indicators but difference between countries was observed. Interesting, for all countries the cross corelation with indicator milk price was significant, albeit the lag time varied from 5 months (United Kingdom) to 22 months (Italy).This finding suggests that severe changes in domains adjacent to the food supply chain may trigger the development of food safety problems that become visible many months later. Awareness of such relationships will provide the opportunity for food producers or inspectors to take timely measures to prevent food safety problems.</t>
  </si>
  <si>
    <t>[Liu, Ningjing; Bouzembrak, Yamine; Van den Bulk, Leonieke M.; Gavai, Anand; van den Heuvel, Lukas J.; Marvin, Hans J. P.] Wageningen Food Safety Res WFSR, Akkermaalsbos 2, NL-6700 Wageningen, Netherlands</t>
  </si>
  <si>
    <t>Wageningen University &amp; Research</t>
  </si>
  <si>
    <t>Marvin, HJP (corresponding author), Wageningen Food Safety Res WFSR, Akkermaalsbos 2, NL-6700 Wageningen, Netherlands.</t>
  </si>
  <si>
    <t>hans.marvin@wur.nl</t>
  </si>
  <si>
    <t>/GOP-0313-2022</t>
  </si>
  <si>
    <t>/0000-0002-4738-190X</t>
  </si>
  <si>
    <t>Dutch Ministry of Agriculture, Nature and Food Quality (LNV) [WOT-02-002-004-RIKILT-4]; European Food Safety Authority (EFSA) [GA/EFSA/AFSCO/2016/01-01]</t>
  </si>
  <si>
    <t>Dutch Ministry of Agriculture, Nature and Food Quality (LNV); European Food Safety Authority (EFSA)</t>
  </si>
  <si>
    <t>The research leading to this publication received funding from the Dutch Ministry of Agriculture, Nature and Food Quality (LNV) , contract number (WOT-02-002-004-RIKILT-4) , and from the European Food Safety Authority (EFSA) , contract number GA/EFSA/AFSCO/2016/01-01.</t>
  </si>
  <si>
    <t>10.1016/j.foodcont.2022.108872</t>
  </si>
  <si>
    <t>0Z5NK</t>
  </si>
  <si>
    <t>WOS:000791124600013</t>
  </si>
  <si>
    <t>Amalnick, MS; Habibifar, N; Hamid, M; Bastan, M</t>
  </si>
  <si>
    <t>Amalnick, Mohsen Sadegh; Habibifar, Naser; Hamid, Mandi; Bastan, Mandi</t>
  </si>
  <si>
    <t>An intelligent algorithm for final product demand forecasting in pharmaceutical units</t>
  </si>
  <si>
    <t>INTERNATIONAL JOURNAL OF SYSTEM ASSURANCE ENGINEERING AND MANAGEMENT</t>
  </si>
  <si>
    <t>Demand forecasting; Pharmaceutical industries; Artificial neural networks; Clustering; Classification</t>
  </si>
  <si>
    <t>SUPPLY CHAIN DEMAND; NEURAL-NETWORK; ENERGY; CONSUMPTION; SYSTEM</t>
  </si>
  <si>
    <t>Accurate demand forecasting in pharmaceutical industries has always been one of the main concerns of planning managers because a lot of downstream supply chain activities depend on the amount of final product demand. In the current study, a five-step intelligent algorithm is presented based on data mining and neural network techniques to forecast demand in pharmaceutical industries. The main idea of the proposed approach is clustering samples and developing separate neural network models for each cluster. Using the obtained data, the performance of the proposed approach was assessed in a pharmaceutical factory. The optimal number of clusters for this case was four. Mean arctangent absolute percentage error, average relative variance, and correlation coefficient (R) were used to evaluate the performance of different neural network structures. The results of performing the models once for all data and once for the data of each single cluster showed that the forecasting error significantly decreased thanks to using this approach. Furthermore, the results indicated that clustering products not only raises the prediction accuracy but also enables a more reliable assessment of forecasted values for each single cluster. Such analyses are very important and useful for managers of marketing and planning departments in pharmaceutical units.</t>
  </si>
  <si>
    <t>[Amalnick, Mohsen Sadegh; Hamid, Mandi; Bastan, Mandi] Univ Tehran, Coll Engn, Sch Ind Engn, Tehran, Iran; [Habibifar, Naser] KN Toosi Univ Technol, Sch Ind Engn, Tehran, Iran</t>
  </si>
  <si>
    <t>University of Tehran; K. N. Toosi University of Technology</t>
  </si>
  <si>
    <t>Hamid, M (corresponding author), Univ Tehran, Coll Engn, Sch Ind Engn, Tehran, Iran.</t>
  </si>
  <si>
    <t>m.hamid31400@ut.ac.ir</t>
  </si>
  <si>
    <t>0975-6809</t>
  </si>
  <si>
    <t>0976-4348</t>
  </si>
  <si>
    <t>INT J SYST ASSUR ENG</t>
  </si>
  <si>
    <t>Int. J. Syst. Assur. Eng. Manag.</t>
  </si>
  <si>
    <t>10.1007/s13198-019-00879-6</t>
  </si>
  <si>
    <t>LK9CR</t>
  </si>
  <si>
    <t>WOS:000531156000021</t>
  </si>
  <si>
    <t>Ng, WPQ; Lam, HL</t>
  </si>
  <si>
    <t>Ng, Wendy Pei Qin; Lam, Hon Loong</t>
  </si>
  <si>
    <t>A supply network optimisation with functional clustering of industrial resources</t>
  </si>
  <si>
    <t>Supply network; Optimisation; Functional clustering; Biomass; Industrial resources</t>
  </si>
  <si>
    <t>CHAIN MANAGEMENT; INTEGRATION; FEEDSTOCK</t>
  </si>
  <si>
    <t>This paper presents a functional clustering approach integrated in an industrial resources optimisation. Industrial processing hub formation through functional clustering of involved facilities is presented. A palm biomass case study is developed in this paper to illustrate the functional clustering model. Production facilities are identified and processing hub allocation is determined in the case study. Two models are developed: (i) biomass supply network optimisation and synthesis and (ii) biomass supply network with functional clustering. The former acts as a base case for optimal supply network synthesis. The following reforms the former by integrating a functional clustering concept. The second model functionally clusters the industrial facilities based on their material interactions. Each cluster formed consists of a centralised processing hub, which acts as the backbone/seed of a functional cluster. Strategic locations of centralised processing hubs are determined and functional clusters are formed by optimisation modelling. Optimised biomass supply networks are developed from the optimisation activities. The optimisation result favours centralised processing hub formation. Lowered machinery capital investment and transportation cost are achieved in the functional clustered model. (C) 2013 Elsevier Ltd. All rights reserved.</t>
  </si>
  <si>
    <t>[Ng, Wendy Pei Qin; Lam, Hon Loong] Univ Nottingham, Dept Chem &amp; Environm Engn, Semenyih 43500, Selangor, Malaysia; [Ng, Wendy Pei Qin] Global Green Synergy Sdn Bhd, Kuala Lumpur 56000, Malaysia</t>
  </si>
  <si>
    <t>University of Nottingham Malaysia</t>
  </si>
  <si>
    <t>Lam, HL (corresponding author), Univ Nottingham, Dept Chem &amp; Environm Engn, Malaysia Campus,Broga Rd, Semenyih 43500, Selangor, Malaysia.</t>
  </si>
  <si>
    <t>wendyngpq@gmail.com; HonLoong.Lam@nottingham.edu.my</t>
  </si>
  <si>
    <t>Lam, Loong/A-7422-2010; Lam, Hon Loong/H-1438-2016</t>
  </si>
  <si>
    <t>Lam, Hon Loong/0000-0003-1818-9078</t>
  </si>
  <si>
    <t>University of Nottingham Early Career Research and Knowledge Transfer Award [A2RHL6]; Global Green Synergy Sdn Bhd Industrial Grant</t>
  </si>
  <si>
    <t>University of Nottingham Early Career Research and Knowledge Transfer Award; Global Green Synergy Sdn Bhd Industrial Grant</t>
  </si>
  <si>
    <t>The financial supports from University of Nottingham Early Career Research and Knowledge Transfer Award (A2RHL6) and Global Green Synergy Sdn Bhd Industrial Grant are gratefully acknowledged.</t>
  </si>
  <si>
    <t>MAY 15</t>
  </si>
  <si>
    <t>10.1016/j.jclepro.2013.11.052</t>
  </si>
  <si>
    <t>AI3OD</t>
  </si>
  <si>
    <t>WOS:000336770900009</t>
  </si>
  <si>
    <t>Ha, SH; Krishnan, R</t>
  </si>
  <si>
    <t>Ha, Sung Ho; Krishnan, Ramayya</t>
  </si>
  <si>
    <t>A hybrid approach to supplier selection for the maintenance of a competitive supply chain</t>
  </si>
  <si>
    <t>supply chain; supply chain management; supplier selection; data mining</t>
  </si>
  <si>
    <t>DECISION-MAKING; VENDOR; CRITERIA</t>
  </si>
  <si>
    <t>This article outlines a hybrid method, incorporating multiple techniques into an evaluation process, in order to select competitive suppliers in a supply chain. It enables a purchaser to do single sourcing and multiple sourcing by calculating a combined supplier score (CSS), which accounts for both qualitative and quantitative factors that impact on supply chain performance. By performing a cluster analysis, it draws a supplier map (SM) so as to position suppliers within the qualitative and quantitative dimensions of performance efficiency, and to select a portfolio of suppliers from supplier segments, which are different in performance with regard to key factors. (C) 2007 Elsevier Ltd. All rights reserved.</t>
  </si>
  <si>
    <t>[Ha, Sung Ho] Kyungpook Natl Univ, Sch Business Adm, Taejon 702701, South Korea; [Krishnan, Ramayya] Carnegie Mellon Univ, Heinz Sch, Pittsburgh, PA 15213 USA</t>
  </si>
  <si>
    <t>Kyungpook National University; Carnegie Mellon University</t>
  </si>
  <si>
    <t>Ha, SH (corresponding author), Kyungpook Natl Univ, Sch Business Adm, 1370 Sangyeok dong, Taejon 702701, South Korea.</t>
  </si>
  <si>
    <t>hsh@mail.knu.ae.kr; rk2x@andrew.cmu.edu</t>
  </si>
  <si>
    <t>10.1016/j.eswa.2006.12.008</t>
  </si>
  <si>
    <t>263TH</t>
  </si>
  <si>
    <t>WOS:000253238900052</t>
  </si>
  <si>
    <t>Xue, H; Lin, YL; Yuan, Y; Cai, JY</t>
  </si>
  <si>
    <t>Xue, Hong; Lin, Yiliang; Yuan, Yi; Cai, Jinyu</t>
  </si>
  <si>
    <t>Early warning classification of cluster supply chain emergency based on cloud model and datastream clustering algorithm</t>
  </si>
  <si>
    <t>Cloud model generation algorithm of earlywarning summary; high-dimensional datastream; composite uncertainty characteristics; evolutionary datastream clustering algorithm of early warning classification; early warning classification of cluster supply chain emergency</t>
  </si>
  <si>
    <t>DENSITY-BASED DATA; DATA STREAM; FEATURE-SELECTION; FUZZY; OPTIMIZATION; SYSTEM</t>
  </si>
  <si>
    <t>The early warning classification plays an important role in the emergency management of cluster supply chain. This paper proposed the high-dimensional datastream evolutionary clustering algorithm of early warning classification for cluster supply chain emergency based on cloud model. It solved the bottleneck problem of early warning classification of cluster supply chain emergency with the high-dimensional datastream and composite uncertainty characteristics. The cloud model generation algorithm of early warning summary is used to generate the early warning summary data based on the multiple data fusion method. The evolutionary datastream clustering algorithm of early warning classification is used to dynamically forecast the harming degree of cluster supply chain emergency based on time decaying model and sliding window model. Compared to other similar algorithms, the algorithm proposed in this paper increased the classification accuracy by 92.6% while reduced operation time by 66.7%. The algorithm can provide more accurate decision supports for design and implementation of emergency preplan of cluster supply chain emergency. The feasibility of this algorithm has been demonstrated by multiple experiments conducted on the algorithm.</t>
  </si>
  <si>
    <t>[Xue, Hong; Lin, Yiliang; Yuan, Yi; Cai, Jinyu] Beijing Technol &amp; Business Univ, Sch Comp &amp; Informat Engn, Beijing 100048, Peoples R China</t>
  </si>
  <si>
    <t>Xue, H (corresponding author), Beijing Technol &amp; Business Univ, Sch Comp &amp; Informat Engn, Beijing 100048, Peoples R China.</t>
  </si>
  <si>
    <t>xueh@th.btbu.edu.cn</t>
  </si>
  <si>
    <t>Beijing Natural Science Foundation [9162002, 9102005]; Humanities and Social Sciences Foundation Project of Ministry of Education of China [09YJA630003]</t>
  </si>
  <si>
    <t>Beijing Natural Science Foundation(Beijing Natural Science Foundation); Humanities and Social Sciences Foundation Project of Ministry of Education of China</t>
  </si>
  <si>
    <t>This work is supported by Beijing Natural Science Foundation (No. 9162002, 9102005) and the Humanities and Social Sciences Foundation Project of Ministry of Education of China (No. 09YJA630003).</t>
  </si>
  <si>
    <t>10.3233/JIFS-169597</t>
  </si>
  <si>
    <t>GO8IF</t>
  </si>
  <si>
    <t>WOS:000440330300036</t>
  </si>
  <si>
    <t>Prabhu, RM; Hema, MS; Chepure, S; Guptha, MN</t>
  </si>
  <si>
    <t>Prabhu, R. Mahesh; Hema, M. S.; Chepure, Srilatha; Guptha, Nageswara M.</t>
  </si>
  <si>
    <t>LOGISTICS OPTIMIZATION IN SUPPLY CHAIN MANAGEMENT USING CLUSTERING ALGORITHMS</t>
  </si>
  <si>
    <t>SCALABLE COMPUTING-PRACTICE AND EXPERIENCE</t>
  </si>
  <si>
    <t>Supply Chain Management (SCM); Supplier logistics; Optimization; Hierarchical clustering; K-means clustering</t>
  </si>
  <si>
    <t>ANALYTICS</t>
  </si>
  <si>
    <t>Today's business environment, survival and making profit in market are the prime requirement for any enterprise due to competitive environment. Innovation and staying updated are commonly identified two key parameters for achieving success and profit in business. Considerably supply chain management is also accountable for profit. As a measure to maximize the profit, supply chain process is to be streamlined and optimized. Appropriate grouping of various suppliers for the benefit of shipment cost reduction is proposed. Data relating to appropriate attributes of supplier logistics are collected. A methodology is proposed to optimize the supplier logistics using clustering algorithm. In the proposed methodology data preprocessing, clustering and validation process have been carried out. The Z-score normalization is used to normalize the data, which converts the data to uniform scales for improving the clustering performance. By employing Hierarchical and K-means clustering algorithms the supplier logistics are grouped and performance of each method is evaluated and presented. The supplier logistics data from different country is experimented. Outcome of this work can help the buyers to select the cost effective supplier for their business requirements.</t>
  </si>
  <si>
    <t>[Prabhu, R. Mahesh] Auroras Sci Technol &amp; Res Acad Hyderabad, Dept Mech Engn, Hyderabad, India; [Hema, M. S.] Auroras Sci Technol &amp; Res Acad Hyderabad, Dept Comp Sci &amp; Engn, Hyderabad, India; [Chepure, Srilatha] Auroras Sci Technol &amp; Res Acad Hyderabad, Dept Elect &amp; Commun Engn, Hyderabad, India; [Guptha, Nageswara M.] Sri Venkateshwara Coll Engn, Dept Comp Sci &amp; Engn, Bengaluru, India</t>
  </si>
  <si>
    <t>Prabhu, RM (corresponding author), Auroras Sci Technol &amp; Res Acad Hyderabad, Dept Mech Engn, Hyderabad, India.</t>
  </si>
  <si>
    <t>dr.rmaheshprabhu@gmail.com</t>
  </si>
  <si>
    <t>S, Hema M/U-3922-2017; Molina, Nicholle/AAA-7370-2022; M, Nageswara Guptha/AAR-7772-2021</t>
  </si>
  <si>
    <t>S, Hema M/0000-0001-5196-9258; M, Nageswara Guptha/0000-0002-2641-0468</t>
  </si>
  <si>
    <t>UNIV VEST TIMISOARA, WEST UNIV TIMISOARA</t>
  </si>
  <si>
    <t>TIMISOARA</t>
  </si>
  <si>
    <t>BLVD VASILE PARVAN 4, TIMISOARA, TIMIS 300223, ROMANIA</t>
  </si>
  <si>
    <t>1895-1767</t>
  </si>
  <si>
    <t>SCALABLE COMPUT-PRAC</t>
  </si>
  <si>
    <t>Scalable Comput.-Pract. Exp.</t>
  </si>
  <si>
    <t>10.12694/scpe.v21i1.1628</t>
  </si>
  <si>
    <t>KW3OF</t>
  </si>
  <si>
    <t>WOS:000521075600014</t>
  </si>
  <si>
    <t>Kharlamov, AA; Ferreira, LMDF; Godsell, J</t>
  </si>
  <si>
    <t>Kharlamov, Alexander A.; Ferreira, Luis Miguel D. F.; Godsell, Janet</t>
  </si>
  <si>
    <t>Developing a framework to support strategic supply chain segmentation decisions: a case study</t>
  </si>
  <si>
    <t>Supply chain management; segmentation; analytics; data mining</t>
  </si>
  <si>
    <t>BIG DATA ANALYTICS; LIFE-CYCLE; MANAGEMENT; OPERATIONS; LOGISTICS; AGILE; CLASSIFICATION; IMPLEMENTATION; PERFORMANCE; DESIGN</t>
  </si>
  <si>
    <t>There is a huge opportunity in mining operational data in the supply chain (SC) to support strategic segmentation decisions. This research has the objective of developing a framework to support strategic SC segmentation decisions. This research is exploratory in nature, with the methodology based on action research combined with a single empirical study in a large Portuguese multinational company. A data mining project, based on the CRISP-DM methodology, is adopted to develop the framework. The company had the strategic objective to move beyond a single make to order strategy towards a segmented SC strategy. By applying the framework, the most relevant criteria were identified (demand volume, demand variability, order corrections, delivery time window and delivery frequency). These were then used to identify four relevant segments each with a tailored SC strategy.</t>
  </si>
  <si>
    <t>[Kharlamov, Alexander A.] Univ West England, Bristol Business Sch, Bristol, Avon, England; [Ferreira, Luis Miguel D. F.] Univ Coimbra, Fac Sci &amp; Technol, Dept Mech Engn, P-3000214 Coimbra, Portugal; [Godsell, Janet] Univ Warwick, WMG, IIPSI, Coventry, W Midlands, England</t>
  </si>
  <si>
    <t>University of West England; Universidade de Coimbra; University of Warwick</t>
  </si>
  <si>
    <t>Ferreira, LMDF (corresponding author), Univ Coimbra, Fac Sci &amp; Technol, Dept Mech Engn, P-3000214 Coimbra, Portugal.</t>
  </si>
  <si>
    <t>luis.ferreira@dem.uc.pt</t>
  </si>
  <si>
    <t>Ferreira, Luis M/H-3046-2016; Kharlamov, Alexander/M-1877-2013</t>
  </si>
  <si>
    <t>Ferreira, Luis M/0000-0003-0459-0020; Kharlamov, Alexander/0000-0002-3475-6231</t>
  </si>
  <si>
    <t>DEC 9</t>
  </si>
  <si>
    <t>10.1080/09537287.2019.1707896</t>
  </si>
  <si>
    <t>OK4GI</t>
  </si>
  <si>
    <t>WOS:000584610600004</t>
  </si>
  <si>
    <t>Kagawa, S; Suh, S; Kondo, Y; Nansai, K</t>
  </si>
  <si>
    <t>Kagawa, Shigemi; Suh, Sangwon; Kondo, Yasushi; Nansai, Keisuke</t>
  </si>
  <si>
    <t>Identifying environmentally important supply chain clusters in the automobile industry</t>
  </si>
  <si>
    <t>ECONOMIC SYSTEMS RESEARCH</t>
  </si>
  <si>
    <t>Energy clusters; Supply chain; Spectral clustering analysis; Laplacian matrix</t>
  </si>
  <si>
    <t>IMPACTS; IDENTIFICATION; POLICY; ENERGY; CONSUMPTION; TEMPLATES; COMPLEXES; LINKAGES</t>
  </si>
  <si>
    <t>In this paper, we develop a new approach that combines the spectral clustering method and input-output analysis to detect environmentally important supply chain clusters. The newly developed method was applied to automobile manufacturing in Japan, and major clusters with high energy intensities in the automobile supply chain were identified. This paper proposes that the car manufacturers will be able to regularly publish their life-cycle assessment reports with a focus on the indirect energy consumptions within the critical supply chains and request key auto-part manufacturers in the cluster to reduce the indirect consumptions through the relevant supply chain engagement.</t>
  </si>
  <si>
    <t>[Kagawa, Shigemi] Kyushu Univ, Fac Econ, Fukuoka 812, Japan; [Suh, Sangwon] Univ Calif Santa Barbara, Bren Sch Environm Sci &amp; Management, Santa Barbara, CA 93106 USA; [Kondo, Yasushi] Waseda Univ, Fac Polit Sci &amp; Econ, Tokyo, Japan; [Kondo, Yasushi] Norwegian Univ Sci &amp; Technol, Ind Ecol Programme, N-7034 Trondheim, Norway; [Nansai, Keisuke] Natl Inst Environm Studies, Ctr Mat Cycles &amp; Waste Management Res, Tsukuba, Ibaraki, Japan; [Nansai, Keisuke] Univ Sydney, Fac Sci, Sch Phys, Sydney, NSW 2006, Australia</t>
  </si>
  <si>
    <t>Kyushu University; University of California System; University of California Santa Barbara; Waseda University; Norwegian University of Science &amp; Technology (NTNU); National Institute for Environmental Studies - Japan; University of Sydney</t>
  </si>
  <si>
    <t>Kagawa, S (corresponding author), Kyushu Univ, Fac Econ, Fukuoka 812, Japan.</t>
  </si>
  <si>
    <t>kagawa@en.kyushu-u.ac.jp</t>
  </si>
  <si>
    <t>Kondo, Yasushi/B-9219-2013; Nansai, Keisuke/C-2516-2008; Suh, Sangwon/E-2019-2011</t>
  </si>
  <si>
    <t>Kondo, Yasushi/0000-0002-6855-2691; Nansai, Keisuke/0000-0002-2449-1874; Suh, Sangwon/0000-0001-8290-6276; Kagawa, Shigemi/0000-0003-3936-4103</t>
  </si>
  <si>
    <t>Grants-in-Aid for Scientific Research [23510046] Funding Source: KAKEN</t>
  </si>
  <si>
    <t>Grants-in-Aid for Scientific Research(Ministry of Education, Culture, Sports, Science and Technology, Japan (MEXT)Japan Society for the Promotion of ScienceGrants-in-Aid for Scientific Research (KAKENHI))</t>
  </si>
  <si>
    <t>0953-5314</t>
  </si>
  <si>
    <t>1469-5758</t>
  </si>
  <si>
    <t>ECON SYST RES</t>
  </si>
  <si>
    <t>Econ. Syst. Res.</t>
  </si>
  <si>
    <t>SEP 1</t>
  </si>
  <si>
    <t>10.1080/09535314.2012.730992</t>
  </si>
  <si>
    <t>184JX</t>
  </si>
  <si>
    <t>WOS:000321887000001</t>
  </si>
  <si>
    <t>Li, P; Luo, H; Sun, Y</t>
  </si>
  <si>
    <t>Li, Peng; Luo, Hong; Sun, Yan</t>
  </si>
  <si>
    <t>Similarity Search Algorithm over Data Supply Chain Based on Key Points</t>
  </si>
  <si>
    <t>TSINGHUA SCIENCE AND TECHNOLOGY</t>
  </si>
  <si>
    <t>data supply chain; similarity search; feature space; hierarchical clustering</t>
  </si>
  <si>
    <t>In this paper, we target a similarity search among data supply chains, which plays an essential role in optimizing the supply chain and extending its value. This problem is very challenging for application-oriented data supply chains because the high complexity of the data supply chain makes the computation of similarity extremely complex and inefficient. In this paper, we propose a feature space representation model based on key points, which can extract the key features from the subsequences of the original data supply chain and simplify it into a feature vector form. Then, we formulate the similarity computation of the subsequences based on the multiscale features. Further, we propose an improved hierarchical clustering algorithm for a similarity search over the data supply chains. The main idea is to separate the subsequences into disjoint groups such that each group meets one specific clustering criteria; thus, the cluster containing the query object is the similarity search result. The experimental results show that the proposed approach is both effective and efficient for data supply chain retrieval.</t>
  </si>
  <si>
    <t>[Li, Peng; Luo, Hong; Sun, Yan] Beijing Univ Posts &amp; Telecommun, Sch Comp Sci, Beijing 100876, Peoples R China; [Luo, Hong; Sun, Yan] Beijing Key Lab Intelligent Telecommun Software &amp;, Beijing 100876, Peoples R China</t>
  </si>
  <si>
    <t>Beijing University of Posts &amp; Telecommunications</t>
  </si>
  <si>
    <t>Luo, H (corresponding author), Beijing Univ Posts &amp; Telecommun, Sch Comp Sci, Beijing 100876, Peoples R China.;Luo, H (corresponding author), Beijing Key Lab Intelligent Telecommun Software &amp;, Beijing 100876, Peoples R China.</t>
  </si>
  <si>
    <t>luoh@bupt.edu.cn; sunyan@bupt.edu.cn</t>
  </si>
  <si>
    <t>National Natural Science Foundation of China [61532012, 61370196, 61672109]</t>
  </si>
  <si>
    <t>This work was partly supported by the National Natural Science Foundation of China (Nos. 61532012, 61370196, and 61672109).</t>
  </si>
  <si>
    <t>TSINGHUA UNIV PRESS</t>
  </si>
  <si>
    <t>BEIJING</t>
  </si>
  <si>
    <t>B605D, XUE YAN BUILDING, BEIJING, 100084, PEOPLES R CHINA</t>
  </si>
  <si>
    <t>1007-0214</t>
  </si>
  <si>
    <t>1878-7606</t>
  </si>
  <si>
    <t>TSINGHUA SCI TECHNOL</t>
  </si>
  <si>
    <t>Tsinghua Sci. Technol.</t>
  </si>
  <si>
    <t>Computer Science, Information Systems; Computer Science, Software Engineering; Engineering, Electrical &amp; Electronic</t>
  </si>
  <si>
    <t>ES1II</t>
  </si>
  <si>
    <t>WOS:000399280900005</t>
  </si>
  <si>
    <t>Anitha, R; Rai, D</t>
  </si>
  <si>
    <t>Anitha, R.; Rai, Dinesh</t>
  </si>
  <si>
    <t>Internet of things with artificial intelligence detection and blockchains of crop availability for supply chain management</t>
  </si>
  <si>
    <t>INTERNATIONAL JOURNAL OF KNOWLEDGE-BASED DEVELOPMENT</t>
  </si>
  <si>
    <t>IoT; internet of things; artificial intelligence; detection; supply chain management; crop availability; blockchain; food ecosystem; food supply chain; circular supply chain management; smart applications</t>
  </si>
  <si>
    <t>AGRICULTURE; IOT</t>
  </si>
  <si>
    <t>Supply chain management is a competitive advantage for logistic companies. Before giving a product to a consumer, confirm availability. In this study, we use internet of things (IoT) input-gathering methods to check crop availability. This technology-enabled service inputs weather, moisture, temperature, and soil fertility data and outputs crop availability. Machine learning monitors and predicts crop availability by predicting weed, water, insect, and animal infiltration and crop growth. The paper suggests blockchain-based AI. Energy savings are shown. Decentralized data storage enhances supply chain visibility and quality, boosting farmer participation. Blockchain enhances supply chain security and provenance. Blockchain protects supply chain data transfers. The simulation compares existing approaches and the proposed machine learning-based blockchain. Crop feature extraction and classification are simulated. The proposed ML model is more accurate, exact, and recalled. By 2050, 70% of food will come from agriculture. On a 9-billion-person planet, manufacturers must be more efficient. This newspaper offers IoT and blockchain to tackle these issues.</t>
  </si>
  <si>
    <t>[Anitha, R.; Rai, Dinesh] Sushant Univ, Sch Engn &amp; Technol, Gurugram 122003, Haryana, India</t>
  </si>
  <si>
    <t>Anitha, R (corresponding author), Sushant Univ, Sch Engn &amp; Technol, Gurugram 122003, Haryana, India.</t>
  </si>
  <si>
    <t>anithanithish@gmail.com; dineshrai@sushantuniversity.edu.in</t>
  </si>
  <si>
    <t>2040-4468</t>
  </si>
  <si>
    <t>2040-4476</t>
  </si>
  <si>
    <t>INT J KNOWL-BASED DE</t>
  </si>
  <si>
    <t>Int. J. Knowl.-Based Dev.</t>
  </si>
  <si>
    <t>3-4</t>
  </si>
  <si>
    <t>10.1504/IJKBD.2022.128909</t>
  </si>
  <si>
    <t>Urban Studies</t>
  </si>
  <si>
    <t>8Y0YP</t>
  </si>
  <si>
    <t>WOS:000932430100015</t>
  </si>
  <si>
    <t>Srinivasan, M; Moon, YB</t>
  </si>
  <si>
    <t>A comprehensive clustering algorithm for strategic analysis of supply chain networks</t>
  </si>
  <si>
    <t>hierarchical clustering; supply chain networks; inventory management; heuristics</t>
  </si>
  <si>
    <t>Inventory management in supply chain networks involves keeping track of hundreds of items spread across multiple locations with complex interrelationships between them. However, it is not computationally feasible to consider each item individually during the decision making process. The use of clusters of items is preferred for the evaluation of these decisions. In addition, the use of groups of items provides management with more effective methods for characterizing and controlling system performance and results in cost savings such as group discounts. In this research, we introduce a comprehensive clustering methodology for supporting inventory management in supply chain networks. All product characteristics which have a significant impact on the performance of the supply chain are taken into account. The nodes in the network are split into subnodes prior to clustering to reduce the complexity. The average linkage clustering algorithm and the Calinski and Harabasz index are used to identify clusters of similar items. In addition, a set of heuristics is used to capture the relationships between items as specified in the bill of materials for the products. Examples are presented to demonstrate the effectiveness of the clustering methodology as well as the performance of the heuristics, by comparing the results obtained with the optimal solution. (C) 1999 Elsevier Science Ltd. All rights reserved.</t>
  </si>
  <si>
    <t>Syracuse Univ, Mfg Intelligence Lab, Dept Mech Aerosp &amp; Mfg Engn, Syracuse, NY 13244 USA</t>
  </si>
  <si>
    <t>Syracuse University</t>
  </si>
  <si>
    <t>Moon, YB (corresponding author), Syracuse Univ, Mfg Intelligence Lab, Dept Mech Aerosp &amp; Mfg Engn, Syracuse, NY 13244 USA.</t>
  </si>
  <si>
    <t>Moon, Young/0000-0001-6587-4620</t>
  </si>
  <si>
    <t>10.1016/S0360-8352(99)00155-2</t>
  </si>
  <si>
    <t>260XT</t>
  </si>
  <si>
    <t>WOS:000083979300007</t>
  </si>
  <si>
    <t>Xu, Z</t>
  </si>
  <si>
    <t>Xu, Zhang</t>
  </si>
  <si>
    <t>Performance evaluation of low-carbon supply chain based on DEA-AHP</t>
  </si>
  <si>
    <t>Performance evaluation; low carbon; supply chain; DEA-AHP</t>
  </si>
  <si>
    <t>Future regulations will, no doubt, prescribe ways to reduce carbon emissions. By then, the cost of compliance may already be much greater than it is today. Thus, the time to tackle carbon emissions in the supply chain is now, when more options to gain true and lasting advantages are still available. In this paper, the DEA-AHP method is proposed to study the performance evaluation of a low-carbon supply chain. Meanwhile, as a great deal of data and information are accumulated through various supply chain operations, we must find ways to extract unknown or hidden knowledge from these vast amounts of data and information through business intelligence and data mining techniques so as to guide the optimization and implementation of efficient supply chains. Experiment results show that the performance of a low-carbon supply chain can be improved by using the DEA-AHP model.</t>
  </si>
  <si>
    <t>[Xu, Zhang] Staff Univ Hexi Dist Tianjin, Tianjin 300203, Peoples R China</t>
  </si>
  <si>
    <t>Xu, Z (corresponding author), Staff Univ Hexi Dist Tianjin, Tianjin 300203, Peoples R China.</t>
  </si>
  <si>
    <t>WOS:000405992300062</t>
  </si>
  <si>
    <t>Govindaraju, P; Achter, S; Ponsignon, T; Ehm, H; Meyer, M</t>
  </si>
  <si>
    <t>Govindaraju, Pramod; Achter, Sebastian; Ponsignon, Thomas; Ehm, Hans; Meyer, Matthias</t>
  </si>
  <si>
    <t>Finding demand patterns in supply chain planning Two clustering approaches for semiconductor production industry</t>
  </si>
  <si>
    <t>ATP MAGAZINE</t>
  </si>
  <si>
    <t>Semicondutors; Supply Chain; Demand Planning; Distributetd Cognitive Process; Clustering Analysis; K-means; DBSCAN</t>
  </si>
  <si>
    <t>IMPLEMENTATION</t>
  </si>
  <si>
    <t>Advances in the semiconductor industry have resulted in the need for extracting vital information from vast amount of data. In the operational process of supply chain, understanding customer demand data provides important insights for demand planning. Clustering analysis offers potential to identify latent information from customer demand data and supports enhanced decision-making. In this paper, two clustering algorithms to identify customer demand patterns are presented, namely K-means and DBSCAN. The implementation of both algorithms on the prepared data sets is discussed and their performance is compared. The paper outlines the importance of deciphering valuable insights from customer demand data in the betterment of a distributed cognitive process of demand planning</t>
  </si>
  <si>
    <t>[Govindaraju, Pramod; Ponsignon, Thomas; Ehm, Hans] Infineon Technol, Munich, Germany; [Achter, Sebastian; Meyer, Matthias] Hamburg Univ Technol, Hamburg, Germany</t>
  </si>
  <si>
    <t>Infineon Technologies; Hamburg University of Technology</t>
  </si>
  <si>
    <t>Ponsignon, T (corresponding author), Infineon Technol AG, Campeon 1-15, D-85579 Neubiberg, Germany.</t>
  </si>
  <si>
    <t>Thomas.Ponsignon@infineon.com</t>
  </si>
  <si>
    <t>Ponsignon, Thomas/G-9226-2019</t>
  </si>
  <si>
    <t>DIV DEUTSCHER INDUSTRIEVERLAG GMBH</t>
  </si>
  <si>
    <t>MUNCHEN</t>
  </si>
  <si>
    <t>ARNULFSTR 124, MUNCHEN, 80636, GERMANY</t>
  </si>
  <si>
    <t>2190-4111</t>
  </si>
  <si>
    <t>2364-3137</t>
  </si>
  <si>
    <t>ATP MAG</t>
  </si>
  <si>
    <t>ATP Mag.</t>
  </si>
  <si>
    <t>Automation &amp; Control Systems</t>
  </si>
  <si>
    <t>GR1JV</t>
  </si>
  <si>
    <t>WOS:000442293200009</t>
  </si>
  <si>
    <t>Zhang, QH; Chen, K</t>
  </si>
  <si>
    <t>Zhang, Qihui; Chen, Ke</t>
  </si>
  <si>
    <t>Data security mining method of logistics supply chain based on degree of membership conversion</t>
  </si>
  <si>
    <t>INTERNATIONAL JOURNAL OF DATA MINING AND BIOINFORMATICS</t>
  </si>
  <si>
    <t>degree of membership conversion; logistics supply chain; data security mining; decentralised filtering; data filling</t>
  </si>
  <si>
    <t>To overcome the problems of low mining accuracy and high adjustment random error in traditional methods, this paper proposes a data security mining method for logistics supply chain based on degree of membership conversion. Analyse the logistics supply chain operation process, obtain the logistics supply chain data and establish the index system using the grey relational advantage analysis method; it also conducts supply chain data filling and exception elimination. The membership degree conversion algorithm is used to mine hidden data knowledge information, and the decentralised filtering is used to hide knowledge information. The mined membership degree value is converted into the target data mining result to realise the supply chain data security mining. The experiment shows that the adjusted random error of this method is less than 0.3, which indicates that the precision of data security mining is high.</t>
  </si>
  <si>
    <t>[Zhang, Qihui] Zhejiang Tech Inst Econ, Dept Logist &amp; Supply Chain Management, Hangzhou, Zhejiang, Peoples R China; [Chen, Ke] Zhejiang Gongshang Univ, Dept Management Engn &amp; Ecommerce, Hangzhou, Zhejiang, Peoples R China</t>
  </si>
  <si>
    <t>Zhejiang Gongshang University</t>
  </si>
  <si>
    <t>Zhang, QH (corresponding author), Zhejiang Tech Inst Econ, Dept Logist &amp; Supply Chain Management, Hangzhou, Zhejiang, Peoples R China.</t>
  </si>
  <si>
    <t>qihuizh@36haojie.com; 5338923@qq.com</t>
  </si>
  <si>
    <t>2020 Visit Engineer Project of Department of Education of Zhejiang Province [FG2020236]</t>
  </si>
  <si>
    <t>2020 Visit Engineer Project of Department of Education of Zhejiang Province</t>
  </si>
  <si>
    <t>This work was supported by 2020 Visit Engineer Project of Department of Education of Zhejiang Province under grant no. FG2020236.</t>
  </si>
  <si>
    <t>1748-5673</t>
  </si>
  <si>
    <t>1748-5681</t>
  </si>
  <si>
    <t>INT J DATA MIN BIOIN</t>
  </si>
  <si>
    <t>Int. J. Data Min. Bioinform.</t>
  </si>
  <si>
    <t>1-3</t>
  </si>
  <si>
    <t>10.1504/IJDMB.2022.130339</t>
  </si>
  <si>
    <t>Mathematical &amp; Computational Biology</t>
  </si>
  <si>
    <t>E3XI1</t>
  </si>
  <si>
    <t>WOS:000974904100003</t>
  </si>
  <si>
    <t>Lavassani, KM; Movahedi, B; Iyengar, RJ</t>
  </si>
  <si>
    <t>Lavassani, Kayvan Miri; Movahedi, Bahar; Iyengar, Raghavan J.</t>
  </si>
  <si>
    <t>Multi-layer, multi-tier analysis of global supply chain in medical equipment sector: network science application</t>
  </si>
  <si>
    <t>TRANSNATIONAL CORPORATIONS REVIEW</t>
  </si>
  <si>
    <t>Data science; network analysis; global supply chain; COVID-19; multi-tier; multi-layer</t>
  </si>
  <si>
    <t>The COVID-19 pandemic has highlighted the fragility of the globally intertwined supply chains. Our primary motivation is to demonstrate a new networked-based multi-tier and multi-level analysis of the global supply chain of medical equipment, which is enabled by a novel approach in data mining of financial records of corporations at a global scale. This work may be a harbinger for future research focussed on select tiers and layers of networked supply chain data. The current research uncovers several previously unknown patterns of the global supply chain, including the role of tax haven nations, computer software/hardware industry, semiconductor industry, and motor vehicle and auto bodies in the medical equipment industry. Additionally, we conducted a deep supply chain network analysis and multiple simulation analyses of the supply chain network. The results reveal some new and important insights into the previously uncovered global supply chain network patterns as it relates to medical equipment.</t>
  </si>
  <si>
    <t>[Lavassani, Kayvan Miri; Movahedi, Bahar; Iyengar, Raghavan J.] North Carolina Cent Univ, Sch Business, Durham, NC 27707 USA</t>
  </si>
  <si>
    <t>Kayvan@Lavassani.ca</t>
  </si>
  <si>
    <t>This work was supported by the North Carolina Policy Collaboratory at the University of North Carolina at Chapel Hill with funding from the North Carolina Coronavirus Relief Funds and University of North Carolina at Chapel Hill. This project is part of the NCCU Advanced Center for COVID Related Disparities (ACCORD).</t>
  </si>
  <si>
    <t>1918-6444</t>
  </si>
  <si>
    <t>1925-2099</t>
  </si>
  <si>
    <t>TRANSNATL CORP REV</t>
  </si>
  <si>
    <t>Transnatl. Corp. Rev.</t>
  </si>
  <si>
    <t>APR 3</t>
  </si>
  <si>
    <t>10.1080/19186444.2021.2024740</t>
  </si>
  <si>
    <t>JAN 2022</t>
  </si>
  <si>
    <t>1V4FH</t>
  </si>
  <si>
    <t>WOS:000743825800001</t>
  </si>
  <si>
    <t>Bevilacqua, M; Ciarapica, FE; Antomarioni, S</t>
  </si>
  <si>
    <t>Bevilacqua, Maurizio; Ciarapica, Filippo Emanuele; Antomarioni, Sara</t>
  </si>
  <si>
    <t>LEAN PRINCIPLES FOR ORGANIZING ITEMS IN AN AUTOMATED STORAGE AND RETRIEVAL SYSTEM: AN ASSOCIATION RULE MINING BASED APPROACH</t>
  </si>
  <si>
    <t>MANAGEMENT AND PRODUCTION ENGINEERING REVIEW</t>
  </si>
  <si>
    <t>lean management; AS/RS; Association Rules; Data Mining; Industry 4.0; 5S; shoe manufacturing</t>
  </si>
  <si>
    <t>ASSIGNMENT; MODEL</t>
  </si>
  <si>
    <t>The application of the 5S methodology to warehouse management represents an important step for all manufacturing companies, especially for managing products that consist of a large number of components. Moreover, from a lean production point of view, inventory management requires a reduction in inventory wastes in terms of costs, quantities and time of non-added value tasks. Moving towards an Industry 4.0 environment, a deeper understanding of data provided by production processes and supply chain operations is needed: the application of Data Mining techniques can provide valuable support in such an objective. In this context, a procedure aiming at reducing the number and the duration of picking processes in an Automated Storage and Retrieval System. Association Rule Mining is applied for reducing time wasted during the storage and retrieval activities of components and finished products, pursuing the space and material management philosophy expressed by the 5S methodology. The first step of the proposed procedure moires the evaluation of the picking frequency for each component. Historical data are analyzed to extract the association rules describing the sets of components frequently belonging to the same order. Then, the allocation of items in the Automated Storage and Retrieval System is performed considering (a) the association degree, i.e., the confidence of the rule, between the components under analysis and (b) the spatial availability. The main contribution of this work is the development of a versatile procedure for eliminating time waste in the picking processes from an AS/RS. A real-life example of a manufacturing company is also presented to explain the proposed procedure, as well as further research development worthy of investigation.</t>
  </si>
  <si>
    <t>[Bevilacqua, Maurizio; Ciarapica, Filippo Emanuele; Antomarioni, Sara] Univ Politecn Marche, Dipartimento Ingn Ind &amp; Sci Matemat, Via Brecce Bianche 12, I-60131 Ancona, Italy</t>
  </si>
  <si>
    <t>Marche Polytechnic University</t>
  </si>
  <si>
    <t>Bevilacqua, M (corresponding author), Univ Politecn Marche, Dipartimento Ingn Ind &amp; Sci Matemat, Via Brecce Bianche 12, I-60131 Ancona, Italy.</t>
  </si>
  <si>
    <t>m.bevilacqua@univpm.it</t>
  </si>
  <si>
    <t>Bevilacqua, Maurizio/B-4816-2012; Antomarioni, Sara/AAO-3553-2020</t>
  </si>
  <si>
    <t>Bevilacqua, Maurizio/0000-0003-3064-3915; Antomarioni, Sara/0000-0001-8584-7814</t>
  </si>
  <si>
    <t>POLSKA AKAD NAUK, POLISH ACAD SCIENCES</t>
  </si>
  <si>
    <t>WARSZAWA</t>
  </si>
  <si>
    <t>PL DEFILAD 1, WARSZAWA, 00-901, POLAND</t>
  </si>
  <si>
    <t>2080-8208</t>
  </si>
  <si>
    <t>2082-1344</t>
  </si>
  <si>
    <t>MANAG PROD ENG REV</t>
  </si>
  <si>
    <t>Manag. Prod. Eng. Rev.</t>
  </si>
  <si>
    <t>10.24425/mper.2019.128241</t>
  </si>
  <si>
    <t>Engineering, Industrial</t>
  </si>
  <si>
    <t>HR0RT</t>
  </si>
  <si>
    <t>WOS:000462837100003</t>
  </si>
  <si>
    <t>Qiu, T</t>
  </si>
  <si>
    <t>Qiu, Ting</t>
  </si>
  <si>
    <t>Water resources supply chain of South-to-North Water Transfer Project</t>
  </si>
  <si>
    <t>DESALINATION AND WATER TREATMENT</t>
  </si>
  <si>
    <t>South-to-North water diversion; Water supply chain; Node correlation; Water supply; Risk assessment; Principal component analysis</t>
  </si>
  <si>
    <t>RISK-ASSESSMENT; ENERGY; GROUNDWATER; FRAMEWORK; QUALITY</t>
  </si>
  <si>
    <t>In this paper, the principal component analysis was used to extract the water supply information characteristics of the water supply chain of the South-to-North Water Diversion Project. The supply risk assessment model of the water resources supply chain of the South-to-North Water Diversion Project was designed. Experimental results show that compared with traditional methods, the method of 120 times of experiments, the proposed method is of the highest recognition rate is about 98%, water supply risk probability prediction results and the fit of the actual results of changes within the range 85%-100%, and the method for water supply feature extraction of the accuracy of about 95% on average, miss rate of about 20% on average. Experimental data verify the effectiveness of the proposed method.</t>
  </si>
  <si>
    <t>[Qiu, Ting] Jingdezhen Ceram Univ, Sch Econ &amp; Management, Jingdezhen 333403, Peoples R China</t>
  </si>
  <si>
    <t>Jingdezhen Ceramic Institute</t>
  </si>
  <si>
    <t>Qiu, T (corresponding author), Jingdezhen Ceram Univ, Sch Econ &amp; Management, Jingdezhen 333403, Peoples R China.</t>
  </si>
  <si>
    <t>qiuting090108@126.com</t>
  </si>
  <si>
    <t>General research projects of Humanities and Social Sciences in Colleges and uni-versities of Jiangxi Province in 2020 Research on financial support for the construction of Jingdezhen national ceramic culture inheritance and Innovation Experimental Zone - [JJ20127]</t>
  </si>
  <si>
    <t>General research projects of Humanities and Social Sciences in Colleges and uni-versities of Jiangxi Province in 2020 Research on financial support for the construction of Jingdezhen national ceramic culture inheritance and Innovation Experimental Zone -</t>
  </si>
  <si>
    <t>The research is supported by: General research projects of Humanities and Social Sciences in Colleges and uni-versities of Jiangxi Province in 2020 Research on finan-cial support for the construction of Jingdezhen national ceramic culture inheritance and Innovation Experimental Zone - Based on the perspective of Synergy Development (No. JJ20127) .</t>
  </si>
  <si>
    <t>DESALINATION PUBL</t>
  </si>
  <si>
    <t>HOPKINTON</t>
  </si>
  <si>
    <t>36 WALCOTT VALLEY DRIVE,, HOPKINTON, MA 01748 USA</t>
  </si>
  <si>
    <t>1944-3994</t>
  </si>
  <si>
    <t>1944-3986</t>
  </si>
  <si>
    <t>DESALIN WATER TREAT</t>
  </si>
  <si>
    <t>Desalin. Water Treat.</t>
  </si>
  <si>
    <t>10.5004/dwt.2021.27806</t>
  </si>
  <si>
    <t>Engineering, Chemical; Water Resources</t>
  </si>
  <si>
    <t>Engineering; Water Resources</t>
  </si>
  <si>
    <t>YB1VI</t>
  </si>
  <si>
    <t>WOS:000738808400016</t>
  </si>
  <si>
    <t>Yin, XF; Khoo, LP; Chong, YT</t>
  </si>
  <si>
    <t>Yin, Xiao Feng; Khoo, Li Pheng; Chong, Yih Tng</t>
  </si>
  <si>
    <t>A fuzzy c-means based hybrid evolutionary approach to the clustering of supply chain</t>
  </si>
  <si>
    <t>Fuzzy c-means; Supply chain optimisation; Genetic algorithm; Tabu search</t>
  </si>
  <si>
    <t>GENETIC ALGORITHM APPROACH; CELL-FORMATION PROBLEM; MANUFACTURING SYSTEMS; PROCESSING TIMES; FAMILY FORMATION; GROUPING PROBLEM; PART-FAMILY; DESIGN; OPTIMIZATION</t>
  </si>
  <si>
    <t>This paper describes the work that adapts group technology and integrates it with fuzzy c-means, genetic algorithms and the tabu search to realize a fuzzy c-means based hybrid evolutionary approach to the clustering of supply chains. The proposed hybrid approach is able to organise supply chain units, transportation modes and work orders into different unit-transportation-work order families. It can determine the optimal clustering parameter, namely the number of clusters, c, and weighting exponent, m, dynamically, and is able to eliminate the necessity of pre-defining suitable values for these clustering parameters. A new fuzzy c-means validity index that takes into account inter-cluster transportation and group efficiency is formulated. It is employed to determine the promise level that estimates how good a set of clustering parameters is. The capability of the proposed hybrid approach is illustrated using three experiments and the comparative studies. The results show that the proposed hybrid approach is able to suggest suitable clustering parameters and near optimal supply chain clusters can be obtained readily. (C) 2013 Elsevier Ltd. All rights reserved.</t>
  </si>
  <si>
    <t>[Yin, Xiao Feng] Inst High Performance Comp, Dept Comp Sci, Singapore 138632, Singapore; [Khoo, Li Pheng] Nanyang Technol Univ, Sch Mech &amp; Aerosp Engn, Singapore 639798, Singapore; [Chong, Yih Tng] Natl Univ Singapore, Singapore 119007, Singapore</t>
  </si>
  <si>
    <t>Agency for Science Technology &amp; Research (A*STAR); A*STAR - Institute of High Performance Computing (IHPC); Nanyang Technological University &amp; National Institute of Education (NIE) Singapore; Nanyang Technological University; National University of Singapore</t>
  </si>
  <si>
    <t>Yin, XF (corresponding author), Inst High Performance Comp, Dept Comp Sci, 1 Fusionopolis Way,16-16 Connexis North, Singapore 138632, Singapore.</t>
  </si>
  <si>
    <t>yinxf@ihpc.a-star.edu.sg; MLPKHOO@ntu.edu.sg; rcyt@yahoo.com</t>
  </si>
  <si>
    <t>10.1016/j.cie.2013.09.025</t>
  </si>
  <si>
    <t>269IC</t>
  </si>
  <si>
    <t>WOS:000328234000014</t>
  </si>
  <si>
    <t>Mocanu, E; Nguyen, PH; Gibescu, M; Kling, WL</t>
  </si>
  <si>
    <t>Mocanu, Elena; Nguyen, Phuong H.; Gibescu, Madeleine; Kling, Wil L.</t>
  </si>
  <si>
    <t>Deep learning for estimating building energy consumption</t>
  </si>
  <si>
    <t>SUSTAINABLE ENERGY GRIDS &amp; NETWORKS</t>
  </si>
  <si>
    <t>Energy prediction; Artificial Neural Networks; Conditional Restricted Boltzmann Machine; Factored Conditional Restricted Boltzmann Machine</t>
  </si>
  <si>
    <t>PREDICTION; MODELS</t>
  </si>
  <si>
    <t>To improve the design of the electricity infrastructure and the efficient deployment of distributed and renewable energy sources, a new paradigm for the energy supply chain is emerging, leading to the development of smart grids. There is a need to add intelligence at all levels in the grid, acting over various time horizons. Predicting the behavior of the energy system is crucial to mitigate potential uncertainties. An accurate energy prediction at the customer level will reflect directly in efficiency improvements in the whole system. However, prediction of building energy consumption is complex due to many influencing factors, such as climate, performance of thermal systems, and occupancy patterns. Therefore, current state-of-the-art methods are not able to confine the uncertainty at the building level due to the many fluctuations in influencing variables. As an evolution of artificial neural network (ANN)-based prediction methods, deep learning techniques are expected to increase the prediction accuracy by allowing higher levels of abstraction. In this paper, we investigate two newly developed stochastic models for time series prediction of energy consumption, namely Conditional Restricted Boltzmann Machine (CRBM) and Factored Conditional Restricted Boltzmann Machine (FCRBM). The assessment is made on a benchmark dataset consisting of almost four years of one minute resolution electric power consumption data collected from an individual residential customer. The results show that for the energy prediction problem solved here, FCRBM outperforms ANN, Support Vector Machine (SVM), Recurrent Neural Networks (RNN) and CRBM. (C) 2016 Elsevier Ltd. All rights reserved.</t>
  </si>
  <si>
    <t>[Mocanu, Elena; Nguyen, Phuong H.; Gibescu, Madeleine; Kling, Wil L.] Eindhoven Univ Technol, Dept Elect Engn, POB 513, NL-5600 MB Eindhoven, Netherlands</t>
  </si>
  <si>
    <t>Eindhoven University of Technology</t>
  </si>
  <si>
    <t>Mocanu, E (corresponding author), Eindhoven Univ Technol, Dept Elect Engn, POB 513, NL-5600 MB Eindhoven, Netherlands.</t>
  </si>
  <si>
    <t>e.mocanu@tue.nl</t>
  </si>
  <si>
    <t>Nguyen, Phuong H./C-6762-2011; Gibescu, Madeleine/JCN-8520-2023</t>
  </si>
  <si>
    <t>Nguyen, Phuong H./0000-0003-1124-2710; Gibescu, Madeleine/0000-0002-4420-8538; Mocanu, Elena/0000-0002-0856-579X</t>
  </si>
  <si>
    <t>2352-4677</t>
  </si>
  <si>
    <t>SUSTAIN ENERGY GRIDS</t>
  </si>
  <si>
    <t>Sustain. Energy Grids Netw.</t>
  </si>
  <si>
    <t>10.1016/j.segan.2016.02.005</t>
  </si>
  <si>
    <t>Energy &amp; Fuels; Engineering, Electrical &amp; Electronic</t>
  </si>
  <si>
    <t>Energy &amp; Fuels; Engineering</t>
  </si>
  <si>
    <t>DN9NW</t>
  </si>
  <si>
    <t>WOS:000377407500010</t>
  </si>
  <si>
    <t>Kumar, S; Sharma, SC</t>
  </si>
  <si>
    <t>Kumar, Saureng; Sharma, S. C.</t>
  </si>
  <si>
    <t>Integrated Model for Predicting Supply Chain Risk Through Machine Learning Algorithms</t>
  </si>
  <si>
    <t>INTERNATIONAL JOURNAL OF MATHEMATICAL ENGINEERING AND MANAGEMENT SCIENCES</t>
  </si>
  <si>
    <t>-Risk prediction; Supply chain risk management; Supply chain operations reference; Machine learning; Customer de-mand</t>
  </si>
  <si>
    <t>The machine learning model has become a critical consideration in the supply chain. Most of the companies have experienced various supply chain risks over the past three years. Earlier risk prediction has been performed by supply chain risk management. In this study, an integrated supply chain operations reference (ISCOR) model has been used to evaluate the organization's supply chain risk. Machine learning (ML) has become a hot topic in research and industry in the last few years. With this motivation, we have moved in the direction of a machine learning-based pathway to predict the supply chain risk. The great attraction of this research is that suppliers will understand the associated risk in the activity. This research includes data pre-processing, feature extraction, data transformation, and missing value replacement. The proposed integrated model involves the support vector machine (SVM), k nearest neighbor (k-NN), random forest (RF), decision tree (DT), multiple linear regression (MLR) algorithms, measured performance, and prediction of supply chain risk. Also, these algorithms have performed a comparative analysis under different aspects. Among the other algorithms, the random forest algorithm achieves an accuracy of 99% and has accomplished superior results with a maximum precision of 0.99, recall of 0.99, and F -score of 0.99 with 1% error rate. The model's prediction indicates that it can be used to find the supply chain risk. Finally, the limitation and the challenges discussed also provide an outlook for future research direction to perform effective management to mitigate the risk.</t>
  </si>
  <si>
    <t>[Kumar, Saureng; Sharma, S. C.] Indian Inst Technol Roorkee, Elect &amp; Comp Discipline, Roorkee, Uttarakhand, India</t>
  </si>
  <si>
    <t>Indian Institute of Technology System (IIT System); Indian Institute of Technology (IIT) - Roorkee</t>
  </si>
  <si>
    <t>Kumar, S (corresponding author), Indian Inst Technol Roorkee, Elect &amp; Comp Discipline, Roorkee, Uttarakhand, India.</t>
  </si>
  <si>
    <t>skumar@pp.iitr.ac.in; scs60fpt@iitr.ac.in</t>
  </si>
  <si>
    <t>RAM ARTI PUBL</t>
  </si>
  <si>
    <t>Dehradun</t>
  </si>
  <si>
    <t>Jamnipur, Herbertpur, Dehradun, Uttarakhand, INDIA</t>
  </si>
  <si>
    <t>2455-7749</t>
  </si>
  <si>
    <t>INT J MATH ENG MANAG</t>
  </si>
  <si>
    <t>Int. J. Math. Eng. Manag. Sci.</t>
  </si>
  <si>
    <t>10.33889/IJMEMS.2023.8.3.021</t>
  </si>
  <si>
    <t>Engineering, Multidisciplinary; Operations Research &amp; Management Science; Mathematics, Applied</t>
  </si>
  <si>
    <t>E3AF7</t>
  </si>
  <si>
    <t>WOS:000974298600001</t>
  </si>
  <si>
    <t>Chang, JR; Jiang, HM</t>
  </si>
  <si>
    <t>Chang, Jinrui; Jiang, Huiming</t>
  </si>
  <si>
    <t>Spatio-Temporal Differentiations and Influence Factors in China's Grain Supply Chain Resilience</t>
  </si>
  <si>
    <t>grain supply chain; resilience; spatio-temporal differentiation; spatial Dubin model; heterogeneity</t>
  </si>
  <si>
    <t>Based on Chinese provincial panel data (2011-2020), the CRITIC-EWM, kernel density estimation, Dagum Gini coefficient and a spatial Dubin model were used for analyzing endogenous and exogenous factors to enhance grain supply chain resilience. The results illustrated the following: (1) Ensuring the resilience of the grain supply chain's ability to digest, recover and learn was fundamental to internal system robustness. (2) Overall, China's grain supply chain resilience increased year over year, but the growth rate was low and showed an attenuation trend of east-middle-west. (3) There was a significant spatial positive correlation among provinces and grain supply chain resilience, however, the large gap and slow development led to the formation of polarization with high-high and low-low clusters. (4) The exogenous drivers were all significant and had a significant positive spillover effect on the grain supply chain resilience. (5) Subregional regressions reflected the heterogeneity of the influence factors, which highlighted the implementation of targeted strategies as the key to achieving synergy.</t>
  </si>
  <si>
    <t>[Chang, Jinrui; Jiang, Huiming] Jilin Agr Univ, Coll Econ &amp; Management, Changchun 130118, Peoples R China</t>
  </si>
  <si>
    <t>Jilin Agricultural University</t>
  </si>
  <si>
    <t>Jiang, HM (corresponding author), Jilin Agr Univ, Coll Econ &amp; Management, Changchun 130118, Peoples R China.</t>
  </si>
  <si>
    <t>changjinrui@mails.jlau.edu.cn; jhm573@163.com</t>
  </si>
  <si>
    <t>Chang, Jinrui/ITV-1499-2023</t>
  </si>
  <si>
    <t>Chang, Jinrui/0000-0002-5146-7570</t>
  </si>
  <si>
    <t>Jilin Provincial Social Science Foundation Project The realization path and policy design of digital economy to promote farmers' income in Jilin Province [2022B050179]</t>
  </si>
  <si>
    <t>Jilin Provincial Social Science Foundation Project The realization path and policy design of digital economy to promote farmers' income in Jilin Province</t>
  </si>
  <si>
    <t>This research was funded by the Jilin Provincial Social Science Foundation Project The realization path and policy design of digital economy to promote farmers' income in Jilin Province (2022B050179).</t>
  </si>
  <si>
    <t>MAY 16</t>
  </si>
  <si>
    <t>10.3390/su15108074</t>
  </si>
  <si>
    <t>H6WE5</t>
  </si>
  <si>
    <t>WOS:000997334200001</t>
  </si>
  <si>
    <t>Xu, NR; Liu, JB</t>
  </si>
  <si>
    <t>Xu, Nai-Ru; Liu, Jia-Bao</t>
  </si>
  <si>
    <t>Research on Evaluation on Agility of Agile Supply Chain Network Based on Complex Network Theory</t>
  </si>
  <si>
    <t>MATHEMATICAL PROBLEMS IN ENGINEERING</t>
  </si>
  <si>
    <t>ADAPTIVE SYSTEMS</t>
  </si>
  <si>
    <t>The paper tries to add the network structure factors of agile supply chain network into agility evaluation. The paper firstly presents three concepts including node strength centrality, betweenness centrality, and network centrality. They are used to calculate the weight of node enterprises in the agile supply chain network. And then, a series of agility indicators are designed to evaluate agility of agile supply chain network. AHP is used to calculate the weight of the indicators. Next, these indicators are used to get initial agility evaluation matrix by means of Delphi method, Data Mining, and so forth. Then FCE is used to calculate the membership degree on agility of node enterprises by combining the evaluation matrix with the weight of indicators. Last, the evaluation result of comprehensive agility of agile supply chain network is calculated on the basis of considering the weight of node enterprises. This method can reflect the effect which the network structure of supply chain network makes on the agility of the supply chain network. It is a complement to the current evaluation methods of agility.</t>
  </si>
  <si>
    <t>[Xu, Nai-Ru] Anhui Wonder Univ Informat Engn, Sch Finance &amp; Econ, Hefei 231201, Peoples R China; [Liu, Jia-Bao] Anhui Xinhua Univ, Dept Publ Courses, Hefei 230088, Peoples R China</t>
  </si>
  <si>
    <t>Anhui Xinhua University</t>
  </si>
  <si>
    <t>Liu, JB (corresponding author), Anhui Xinhua Univ, Dept Publ Courses, Hefei 230088, Peoples R China.</t>
  </si>
  <si>
    <t>liujiabaoad@163.com</t>
  </si>
  <si>
    <t>Liu, Jia-Bao/C-7850-2015; liu, jia/JAC-7852-2023; li, jia/GVT-7587-2022; liu, jia/HKE-9796-2023</t>
  </si>
  <si>
    <t>Liu, Jia-Bao/0000-0002-9620-7692;</t>
  </si>
  <si>
    <t>Special Foundation for Young Scientists of Anhui Province of China [2013SQRW090ZD]; Natural Science Foundation of Anhui Province of China [KJ2013B105]; Natural Science Foundation for the Higher Education Institutions of Anhui Province of China [KJ2015A331]</t>
  </si>
  <si>
    <t>Special Foundation for Young Scientists of Anhui Province of China; Natural Science Foundation of Anhui Province of China(Natural Science Foundation of Anhui Province); Natural Science Foundation for the Higher Education Institutions of Anhui Province of China</t>
  </si>
  <si>
    <t>The work of Nai-Ru Xu was supported in part by the Key Project of the Special Foundation for Young Scientists of Anhui Province of China under Grant no. 2013SQRW090ZD. The work of Jia-BaoLiu was supported by the Natural Science Foundation of Anhui Province of China under Grant no. KJ2013B105, the Natural Science Foundation for the Higher Education Institutions of Anhui Province of China under Grant no. KJ2015A331. The authors would like to express sincere gratitude to the editor and the reviewers for their helpful comments and suggestions in improving the quality of this paper.</t>
  </si>
  <si>
    <t>HINDAWI LTD</t>
  </si>
  <si>
    <t>ADAM HOUSE, 3RD FLR, 1 FITZROY SQ, LONDON, W1T 5HF, ENGLAND</t>
  </si>
  <si>
    <t>1024-123X</t>
  </si>
  <si>
    <t>1563-5147</t>
  </si>
  <si>
    <t>MATH PROBL ENG</t>
  </si>
  <si>
    <t>Math. Probl. Eng.</t>
  </si>
  <si>
    <t>10.1155/2015/707459</t>
  </si>
  <si>
    <t>Engineering, Multidisciplinary; Mathematics, Interdisciplinary Applications</t>
  </si>
  <si>
    <t>Engineering; Mathematics</t>
  </si>
  <si>
    <t>CV1YP</t>
  </si>
  <si>
    <t>WOS:000364054300001</t>
  </si>
  <si>
    <t>D'Ignazio, A; Giovannetti, E</t>
  </si>
  <si>
    <t>D'Ignazio, Alessio; Giovannetti, Emanuele</t>
  </si>
  <si>
    <t>Continental differences in the clusters of integration: Empirical evidence from the digital commodities global supply chain networks</t>
  </si>
  <si>
    <t>Digital commodities; Complexity; Global supply chain networks; Local supply chain networks; Internet providers; Clustering; Connectivity</t>
  </si>
  <si>
    <t>RISK-MANAGEMENT; INTERNET; MARKET; INDUSTRY; POWER; BAND</t>
  </si>
  <si>
    <t>Digital commodities are delivered worldwide through a Global Supply Chain Network of providers. These are usually interconnected via Local Supply Chain Networks, based around Internet Exchange Points, the physical places where most digital exchanges take place. Providers compete both for business and final customers, while cooperating the exchanges of information flows composing the digital commodities, to provide a complete, end to end, service to final users. A myriad of interconnection decisions form the connectivity's architecture of this Global Supply Chain Network, designing the rules of the business game played by the operators. This paper, using a dataset of interconnection protocols over 195 Internet Exchange Points across the World, focuses on the relationship between a providers connectivity and clustering: the mutual connectivity among the operators this provider is connected to. The strategic relevance of this relationship between connectivity and clustering is clear: the better connected a provider is, the easier it is to deliver the digital commodities with high quality and low costs and, when the neighbours of a provider are less interconnected among themselves, it is easier, for the provider, to exert its bargaining power over them. We estimate an econometric model finding that the continental location of an Internet Exchange Point has a significant effect on the sign of the elasticity between clustering and connectivity. This indicates that Local Supply Chain Networks display significant differences in their clusters of integration, hierarchical organization and complexity, depending on whether they are based in Europe, North America or Rest of the World. (C) 2013 Elsevier B.V. All rights reserved.</t>
  </si>
  <si>
    <t>[D'Ignazio, Alessio] Bank Italy, I-00184 Rome, Italy; [Giovannetti, Emanuele] Anglia Ruskin Univ, Inst Int Management Practice, Cambridge CB1 1PT, England; [Giovannetti, Emanuele] DSE Univ Verona, I-37129 Verona, Italy</t>
  </si>
  <si>
    <t>European Central Bank; Bank of Italy; Anglia Ruskin University; University of Verona</t>
  </si>
  <si>
    <t>Giovannetti, E (corresponding author), Anglia Ruskin Univ, Inst Int Management Practice, East Rd, Cambridge CB1 1PT, England.</t>
  </si>
  <si>
    <t>ALESSIO.DIGNAZIO@bancaditalia.it; Emanuele.giovannetti@anglia.ac.uk</t>
  </si>
  <si>
    <t>Giovannetti, Emanuele/A-4507-2014; Giovannetti, Emanuele/O-3007-2019</t>
  </si>
  <si>
    <t>Giovannetti, Emanuele/0000-0002-1231-7510; Giovannetti, Emanuele/0000-0002-1231-7510</t>
  </si>
  <si>
    <t>10.1016/j.ijpe.2013.06.029</t>
  </si>
  <si>
    <t>292CT</t>
  </si>
  <si>
    <t>WOS:000329880300027</t>
  </si>
  <si>
    <t>Radanliev, P; De Roure, D; Ani, U; Carvalho, G</t>
  </si>
  <si>
    <t>Radanliev, Petar; De Roure, David; Ani, Uchenna; Carvalho, Graca</t>
  </si>
  <si>
    <t>The ethics of shared Covid-19 risks: an epistemological framework for ethical health technology assessment of risk in vaccine supply chain infrastructures</t>
  </si>
  <si>
    <t>HEALTH AND TECHNOLOGY</t>
  </si>
  <si>
    <t>Covid-19 and healthcare systems; Vaccine supply chains; Ethics of shared risk; Internet-of-things and cyber risk; Ethical supply chain infrastructure; Ethical supply chain design</t>
  </si>
  <si>
    <t>INFORMATION-TECHNOLOGY; PERFORMANCE; INTEGRATION; STRATEGY; SYSTEMS; ALIGNMENT; DESIGN; IMPACT</t>
  </si>
  <si>
    <t>This article addresses the topic of shared responsibilities in supply chains, with a specific focus on the application of the Internet of Things (IoT) in e-health environments, and Industry 4.0 issues-concerning data security, privacy, reliability and management, data mining and knowledge exchange as well as health prevention. In this article, we critically review methodologies and guidelines that have been proposed to approach these ethical aspects in digital supply chain settings. The emerging framework presents new findings on how digital technologies affect vaccine shared supply chain systems. Through epistemological analysis, the article derives new insights for transparency and accountability of supply chain cyber risk from Internet of Things systems. This research devises a framework for ethical awareness, assessment, transparency and accountability of the emerging cyber risk from integrating IoT technologies on shared Covid-19 healthcare supply chain infrastructure.</t>
  </si>
  <si>
    <t>[Radanliev, Petar; De Roure, David] Univ Oxford, Oxford E Res Ctr, Dept Engn Sci, 7 Keble Rd, Oxford OX1 3QG, England; [Ani, Uchenna] UCL, STEaPP, Fac Engn Sci, London, England; [Carvalho, Graca] Univ Minho, Ctr Algoritmi, Braga, Portugal</t>
  </si>
  <si>
    <t>University of Oxford; University of London; University College London; Universidade do Minho</t>
  </si>
  <si>
    <t>Radanliev, P (corresponding author), Univ Oxford, Oxford E Res Ctr, Dept Engn Sci, 7 Keble Rd, Oxford OX1 3QG, England.</t>
  </si>
  <si>
    <t>petar.radanliev@oerc.ox.ac.uk</t>
  </si>
  <si>
    <t>Nasarian, Elham/ISB-6863-2023; Radanliev, Petar/L-7509-2015</t>
  </si>
  <si>
    <t>Radanliev, Petar/0000-0001-5629-6857; Ani, Uchenna P Daniel/0000-0001-6064-480X; Carvalho, Graca/0000-0002-5422-9703</t>
  </si>
  <si>
    <t>UK EPSRC [EP/S035362/1]; Cisco Research Centre [CG1525381]; EPSRC [EP/S035362/1, EP/N02334X/1] Funding Source: UKRI</t>
  </si>
  <si>
    <t>UK EPSRC(UK Research &amp; Innovation (UKRI)Engineering &amp; Physical Sciences Research Council (EPSRC)); Cisco Research Centre; EPSRC(UK Research &amp; Innovation (UKRI)Engineering &amp; Physical Sciences Research Council (EPSRC))</t>
  </si>
  <si>
    <t>This work was supported by the UK EPSRC [grant number: EP/S035362/1] and by the Cisco Research Centre [grant number CG1525381]. Working papers and project reports prepared for the PETRAS National Centre of Excellence and the Cisco Research Centre can be found in pre-prints online.</t>
  </si>
  <si>
    <t>SPRINGER HEIDELBERG</t>
  </si>
  <si>
    <t>HEIDELBERG</t>
  </si>
  <si>
    <t>TIERGARTENSTRASSE 17, D-69121 HEIDELBERG, GERMANY</t>
  </si>
  <si>
    <t>2190-7188</t>
  </si>
  <si>
    <t>2190-7196</t>
  </si>
  <si>
    <t>HEALTH TECHNOL-GER</t>
  </si>
  <si>
    <t>Health Technol.</t>
  </si>
  <si>
    <t>10.1007/s12553-021-00565-3</t>
  </si>
  <si>
    <t>JUN 2021</t>
  </si>
  <si>
    <t>Medical Informatics</t>
  </si>
  <si>
    <t>UY8NK</t>
  </si>
  <si>
    <t>hybrid, Green Published, Green Accepted</t>
  </si>
  <si>
    <t>WOS:000658236300001</t>
  </si>
  <si>
    <t>Zhao, JH; Zeng, DL; Zhou, TW; Zhu, ZC</t>
  </si>
  <si>
    <t>Zhao, Jing-Hua; Zeng, Da-Lin; Zhou, Ting-Wei; Zhu, Ze-Chao</t>
  </si>
  <si>
    <t>Data Mining of Urban New Energy Vehicles in an Intelligent Government Subsidy Environment Using Closed-Loop Supply Chain Pricing Model</t>
  </si>
  <si>
    <t>COMPUTER SYSTEMS SCIENCE AND ENGINEERING</t>
  </si>
  <si>
    <t>Closed-loop supply chain government subsidy new energy vehicle environmental awareness</t>
  </si>
  <si>
    <t>Given the government subsidies for new energy vehicles, this study is conducted to study the closed-loop supply chain comprising individual manufacturers, individual retailers and individual third-party recyclers. In this paper, combine the reality of new energy vehicles with the relevant research of game theory, and establish an no government subsidy model (Model N), a government subsidized consumer model (Model C), a government subsidized manufacturer model (Model M), a government subsidized third party recycler model (Model T), and a government subsidized retailer model (Model R) for quantitative research. Then, numerical examples are used to simulate the impact of government subsidies on closed-loop supply chain pricing and profits.</t>
  </si>
  <si>
    <t>[Zhao, Jing-Hua; Zhou, Ting-Wei; Zhu, Ze-Chao] Univ Shanghai Sci &amp; Technol, Sch Business, Shanghai, Peoples R China; [Zeng, Da-Lin] Shandong Jianzhu Univ, Sch Management Engn, Jinan, Peoples R China</t>
  </si>
  <si>
    <t>University of Shanghai for Science &amp; Technology; Shandong Jianzhu University</t>
  </si>
  <si>
    <t>Zeng, DL (corresponding author), Shandong Jianzhu Univ, Sch Management Engn, Jinan, Peoples R China.</t>
  </si>
  <si>
    <t>zhaojinghua@usst.edu.cn; zengdalin@sdjzu.edu.cn; 1713490319@st.usst.edu.cn; 152821028@st.usst.edu.cn</t>
  </si>
  <si>
    <t>Zhao, Xujun/IRZ-4119-2023</t>
  </si>
  <si>
    <t>Zhou, Tingwei/0000-0003-1092-8120</t>
  </si>
  <si>
    <t>Project of Humanities and Social Sciences of Education Ministry [14YJCZH218]; Natural Science Fostering Fund [1F-19-303-001]; National Natural Science Fund [71801150]; Shanghai Sports Social Science Research Foundation [TYSKYJ201915]</t>
  </si>
  <si>
    <t>Project of Humanities and Social Sciences of Education Ministry; Natural Science Fostering Fund; National Natural Science Fund(National Natural Science Foundation of China (NSFC)); Shanghai Sports Social Science Research Foundation</t>
  </si>
  <si>
    <t>This work was supported by the Project of Humanities and Social Sciences of Education Ministry (No.14YJCZH218), Natural Science Fostering Fund (1F-19-303-001), The National Natural Science Fund (71801150) and Shanghai Sports Social Science Research Foundation (TYSKYJ201915)</t>
  </si>
  <si>
    <t>C R L PUBLISHING LTD</t>
  </si>
  <si>
    <t>LEICESTER</t>
  </si>
  <si>
    <t>5 WEIR RD, KIBWORTH BEAUCHAMP, LEICESTER LE8 0LQ, ENGLAND</t>
  </si>
  <si>
    <t>0267-6192</t>
  </si>
  <si>
    <t>COMPUT SYST SCI ENG</t>
  </si>
  <si>
    <t>Comput. Syst. Sci. Eng.</t>
  </si>
  <si>
    <t>Computer Science, Hardware &amp; Architecture; Computer Science, Theory &amp; Methods</t>
  </si>
  <si>
    <t>MC8FZ</t>
  </si>
  <si>
    <t>WOS:000543516900003</t>
  </si>
  <si>
    <t>Parida, R; Dash, MK; Kumar, A; Zavadskas, EK; Luthra, S; Mulat-weldemeskel, E</t>
  </si>
  <si>
    <t>Parida, Ratri; Dash, Manoj Kumar; Kumar, Anil; Zavadskas, Edmundas Kazimieras; Luthra, Sunil; Mulat-weldemeskel, Eyob</t>
  </si>
  <si>
    <t>Evolution of supply chain finance: A comprehensive review and proposed research directions with network clustering analysis</t>
  </si>
  <si>
    <t>SUSTAINABLE DEVELOPMENT</t>
  </si>
  <si>
    <t>citation analysis; investment and operational decisions; state-of-the-art; supply chain finance; sustainable development; triangulation approach</t>
  </si>
  <si>
    <t>TRADE CREDIT; EMPIRICAL-ANALYSIS; SERVICE PROVIDERS; JOINT LOGISTICS; MANAGEMENT; SMES; ADOPTION; RISK; OPERATIONS; KNOWLEDGE</t>
  </si>
  <si>
    <t>Over the last decade, supply chain finance (SCF) has gained popularity and increasing attention among academicians and stakeholders in the context of financial flows in the supply chain. However, some research gaps still exist that need to be explored to improve the sustainability of supply chains. Specifically, there is a critical research need to look at the conceptual background of SCF and its potential applicability in various phases of supply chains. Therefore, this article aims to bridge this gap by conducting a comprehensive State-of-the-Art literature review based on 367 papers published from 2006 to 2020. Furthermore, this article is one of the first attempts to present current and past studies in the domain of SCF in a holistic manner. The analysis highlights the most influential authors, keywords, organisations, leading publications and clusters in existing research areas. This article also sets out a proposed research framework based on the triangulation approach perspective, that is, financial perspective, buyer perspective and supply chain-oriented perspective. The most important and unique contribution of the article is the identification of new and emerging research areas where the application of SCF is still in the nascent stage. These findings can guide stakeholders at every stage of the value chain to appropriately use techniques that model policies to better inform investment and operational decisions in line with Sustainable Development Goals.</t>
  </si>
  <si>
    <t>[Parida, Ratri; Kumar, Anil; Mulat-weldemeskel, Eyob] London Metropolitan Univ, Guildhall Sch Business &amp; Law, London, England; [Dash, Manoj Kumar] Indian Inst Informat Technol &amp; Management, Behav Econ Expt &amp; Analyt Lab, Gwalior, India; [Zavadskas, Edmundas Kazimieras] Vilnius Gediminas Tech Univ, Fac Civil Engn, Inst Sustainable Construct, Vilnius, Lithuania; [Luthra, Sunil] Ch Ranbir Singh State Inst Engn &amp; Technol, Dept Mech Engn, Jhajjar, Haryana, India</t>
  </si>
  <si>
    <t>London Metropolitan University; ABV-Indian Institute of Information Technology &amp; Management, Gwalior; Vilnius Gediminas Technical University</t>
  </si>
  <si>
    <t>Luthra, S (corresponding author), Ch Ranbir Singh State Inst Engn &amp; Technol, Dept Mech Engn, Jhajjar, Haryana, India.</t>
  </si>
  <si>
    <t>sunilluthra1977@gmail.com</t>
  </si>
  <si>
    <t>Kumar, Anil/A-2657-2013; Luthra, Sunil/D-4135-2014; Kumar, Anil/K-2136-2019; Parida, Ratri/ABH-4029-2020</t>
  </si>
  <si>
    <t>Kumar, Anil/0000-0002-1691-0098; Luthra, Sunil/0000-0001-7571-1331; Parida, Ratri/0000-0003-2406-9769; Dash, Manoj Kumar/0000-0002-1885-3517</t>
  </si>
  <si>
    <t>0968-0802</t>
  </si>
  <si>
    <t>1099-1719</t>
  </si>
  <si>
    <t>SUSTAIN DEV</t>
  </si>
  <si>
    <t>Sustain. Dev.</t>
  </si>
  <si>
    <t>10.1002/sd.2272</t>
  </si>
  <si>
    <t>DEC 2021</t>
  </si>
  <si>
    <t>Development Studies; Green &amp; Sustainable Science &amp; Technology; Regional &amp; Urban Planning</t>
  </si>
  <si>
    <t>Development Studies; Science &amp; Technology - Other Topics; Public Administration</t>
  </si>
  <si>
    <t>5E2AP</t>
  </si>
  <si>
    <t>WOS:000728695000001</t>
  </si>
  <si>
    <t>Liao, SH; Chen, YN; Tseng, YY</t>
  </si>
  <si>
    <t>Liao, Shu-Hsien; Chen, Ya-Ning; Tseng, Yu-Yia</t>
  </si>
  <si>
    <t>Mining demand chain knowledge of life insurance market for new product development</t>
  </si>
  <si>
    <t>Demand chain management; Life insurance marker; New product development; Data mining; Consumer research</t>
  </si>
  <si>
    <t>MANAGEMENT; BUSINESS; INTEGRATION; ALGORITHM</t>
  </si>
  <si>
    <t>Demand chain management (DCM) can he defined as extending the view of operations from a single business unit or a company to the whole chain. Essentially, demand chain management focuses not only on generating drawing power from customers to purchase merchandises on the supply chain; but also on exploring satisfaction, participation, and involvement from customers in order for enterprises to understand customer needs and wants. Thus, Customers have changed their position in the demand chain to assume a leading role in bringing more benefit for enterprises. This article investigates what functionalities best fit the consumers' needs and wants for life insurance products by extracting specific knowledge patterns and rules from Consumers and their demand chain. By doing so, this paper uses the a priori algorithm and clustering analysis as methodologies for data mining. Knowledge extraction from data mining results is illustrated as market segments and demand chain analysis on life insurance market in Taiwan in order to propose suggestions and solutions to the insurance firms for new product development and marketing. (C) 2008 Elsevier Ltd. All rights reserved.</t>
  </si>
  <si>
    <t>[Liao, Shu-Hsien; Chen, Ya-Ning; Tseng, Yu-Yia] Tamkang Univ, Dept Management Sci &amp; Decis Making, Taipei 251, Taiwan</t>
  </si>
  <si>
    <t>Tamkang University</t>
  </si>
  <si>
    <t>Liao, SH (corresponding author), Chung Chen Rd,197 12F, Yung Ho City, Taipei County, Taiwan.</t>
  </si>
  <si>
    <t>Michael@mail.tku.edu.tw</t>
  </si>
  <si>
    <t>Liao, Shu-hsien/AAW-1885-2020; Chen, Ya-Ning/E-4847-2015</t>
  </si>
  <si>
    <t>Liao, Shu-hsien/0000-0002-3667-2867; Chen, Ya-Ning/0000-0001-7598-1139</t>
  </si>
  <si>
    <t>National Science Council, Taiwan, Republic of China [NSC 96-2416-H-032-003-MY2]</t>
  </si>
  <si>
    <t>National Science Council, Taiwan, Republic of China(Ministry of Science and Technology, Taiwan)</t>
  </si>
  <si>
    <t>This research was funded by the National Science Council, Taiwan, Republic of China, under contract No. NSC 96-2416-H-032-003-MY2.</t>
  </si>
  <si>
    <t>10.1016/j.eswa.2008.12.053</t>
  </si>
  <si>
    <t>427MG</t>
  </si>
  <si>
    <t>WOS:000264782800076</t>
  </si>
  <si>
    <t>Aghamohamadi-Bosjin, S; Rabbani, M; Manavizadeh, N</t>
  </si>
  <si>
    <t>Aghamohamadi-Bosjin, S.; Rabbani, M.; Manavizadeh, N.</t>
  </si>
  <si>
    <t>A hybrid metaheuristic algorithm for data driven leagile sustainable closed-loop supply chain modeling under disruption risk</t>
  </si>
  <si>
    <t>SCIENTIA IRANICA</t>
  </si>
  <si>
    <t>Leagility; Sustainable supply chain; Disruption risks; Data mining; Multi-objective optimization</t>
  </si>
  <si>
    <t>ROBUST OPTIMIZATION MODEL; NETWORK DESIGN</t>
  </si>
  <si>
    <t>In today's world, production and distribution of products in supply chain systems should be done with careful consideration of the environmental and social issues as global concerns about the emission of greenhouse gases within the manufacturing processes and overlooking the major needs of the public are rising. In this regard, the present paper proposes a new multi-objective model for the Closed-Loop Supply Chain (CLSC) problems by incorporating lot sizing and considering lean, agility, and sustainability factors, simultaneously. Furthermore, a robust possibilistic programming approach was applied for handling the uncertainty of the model. To increase the responsiveness of the system, a Fuzzy C-means Clustering Method (FCCM) was employed in order to select the potential locations based on the proximity to local customers. A new hybrid metaheuristic algorithm was developed in order to improve efficiency of the model in dealing with large-size problems and assess the impact of using a single-based initial solution as the income for the second phase of the proposed hybrid algorithm. In addition, to ensure effectiveness of the proposed algorithm, another well-known metaheuristic algorithm was developed. The results achieved by experiments on different test problems approved the superiority of the hybrid metaheuristic algorithm in achieving proper solutions. (C) 2022 Sharif University of Technology. All rights reserved.</t>
  </si>
  <si>
    <t>[Aghamohamadi-Bosjin, S.; Rabbani, M.] Univ Tehran, Coll Engn, Sch Ind Engn, Tehran, Iran; [Manavizadeh, N.] Khatam Univ, Dept Ind Engn, Tehran, Iran</t>
  </si>
  <si>
    <t>University of Tehran</t>
  </si>
  <si>
    <t>Rabbani, M (corresponding author), Univ Tehran, Coll Engn, Sch Ind Engn, Tehran, Iran.</t>
  </si>
  <si>
    <t>mrabani@ut.ac.ir</t>
  </si>
  <si>
    <t>SHARIF UNIV TECHNOLOGY</t>
  </si>
  <si>
    <t>TEHRAN</t>
  </si>
  <si>
    <t>PO BOX 11155-8639, TEHRAN, 00000, IRAN</t>
  </si>
  <si>
    <t>1026-3098</t>
  </si>
  <si>
    <t>SCI IRAN</t>
  </si>
  <si>
    <t>Sci. Iran.</t>
  </si>
  <si>
    <t>10.24200/sci.2020.53949.3506</t>
  </si>
  <si>
    <t>2M3XK</t>
  </si>
  <si>
    <t>WOS:000817636300007</t>
  </si>
  <si>
    <t>Chen, YS; Cheng, CH; Lai, CJ</t>
  </si>
  <si>
    <t>Chen, You-Shyang; Cheng, Ching-Hsue; Lai, Chien-Jung</t>
  </si>
  <si>
    <t>Extracting performance rules of suppliers in the manufacturing industry: an empirical study</t>
  </si>
  <si>
    <t>JOURNAL OF INTELLIGENT MANUFACTURING</t>
  </si>
  <si>
    <t>Performance evaluation; Manufacturing industry; SCM (Supply Chain Management); KPI (Key Performance Indicators); Data mining techniques</t>
  </si>
  <si>
    <t>Performance evaluation of suppliers is increasingly recognized as a critical indicator in supply chain cooperation. Traditional performance evaluation methods have the problems of a simple buy/sell relation and in one's subjective views between manufacturers and suppliers, and they lack objective automatic evaluation processes in the supply chain considered. Statistical techniques used for evaluation rely on the restrictive assumptions of linear separability, multivariate normality, and independence of the predictive variables. Unfortunately, many of the common models of performance evaluation of suppliers violate these assumptions. The study proposes an integrated model by combining K-means clustering, feature selection, and the decision tree method into a single evaluation model to assess the performance of suppliers and simultaneously tackles the above-mentioned shortcomings. The integrated model is illustrated with an empirical case study of a manufacturer for an original design manufacturer (ODM) to demonstrate the model performance. The experimental results indicate that the proposed method outperforms listed methods in terms of accuracy, and three redundant attributes can be eliminated from the empirical case. Furthermore, the extracted rules by the decision tree C4.5 algorithm form an automatic knowledge system for supplier performance evaluation.</t>
  </si>
  <si>
    <t>[Chen, You-Shyang] Hwa Hsia Inst Technol, Dept Informat Management, Taipei 235, Taiwan; [Cheng, Ching-Hsue] Natl Yunlin Univ Sci &amp; Technol, Dept Informat Management, Touliu 640, Yunlin, Taiwan; [Lai, Chien-Jung] Natl Chin Yi Univ Technol, Dept Distribut Management, Taichung 411, Taiwan</t>
  </si>
  <si>
    <t>National Yunlin University Science &amp; Technology; National Chin-Yi University of Technology</t>
  </si>
  <si>
    <t>Chen, YS (corresponding author), Hwa Hsia Inst Technol, Dept Informat Management, 111 Gong Jhuan Rd, Taipei 235, Taiwan.</t>
  </si>
  <si>
    <t>ys_chen@cc.hwh.edu.tw</t>
  </si>
  <si>
    <t>Cheng, Ching-Hsue/D-1785-2012</t>
  </si>
  <si>
    <t>Cheng, Ching-Hsue/0000-0002-5509-6965</t>
  </si>
  <si>
    <t>0956-5515</t>
  </si>
  <si>
    <t>1572-8145</t>
  </si>
  <si>
    <t>J INTELL MANUF</t>
  </si>
  <si>
    <t>J. Intell. Manuf.</t>
  </si>
  <si>
    <t>10.1007/s10845-011-0530-8</t>
  </si>
  <si>
    <t>Computer Science, Artificial Intelligence; Engineering, Manufacturing</t>
  </si>
  <si>
    <t>006LH</t>
  </si>
  <si>
    <t>WOS:000308820200043</t>
  </si>
  <si>
    <t>Ewbank, H; Roveda, JAF; Roveda, SRMM; Ribeiro, AI; Bressane, A; Hadi-Vencheh, A; Wanke, P</t>
  </si>
  <si>
    <t>Ewbank, Henrique; Frutuoso Roveda, Jose Arnaldo; Monteiro Masalskiene Roveda, Sandra Regina; Ribeiro, Admilson Irio; Bressane, Adriano; Hadi-Vencheh, Abdollah; Wanke, Peter</t>
  </si>
  <si>
    <t>Sustainable resource management in a supply chain: a methodological proposal combining zero-inflated fuzzy time series and clustering techniques</t>
  </si>
  <si>
    <t>JOURNAL OF ENTERPRISE INFORMATION MANAGEMENT</t>
  </si>
  <si>
    <t>Fuzzy sets; Sustainability; Supply chain; Fuzzy time series</t>
  </si>
  <si>
    <t>FORECASTING ENROLLMENTS; MODEL; GREEN; PREDICTION; DECISIONS; DESIGN</t>
  </si>
  <si>
    <t>Purpose The purpose of this paper is to analyze demand forecast strategies to support a more sustainable management in a pallet supply chain, and thus avoid environmental impacts, such as reducing the consumption of forest resources. Design/methodology/approach Since the producer presents several uncertainties regarding its demand logs, a methodology that embed zero-inflated intelligence is proposed combining fuzzy time series with clustering techniques, in order to deal with an excessive count of zeros. Findings A comparison with other models from literature is performed. As a result, the strategy that considered at the same time the excess of zeros and low demands provided the best performance, and thus it can be considered a promising approach, particularly for sustainable supply chains where resources consumption is significant and exist a huge variation in demand over time. Originality/value The findings of the study contribute to the knowledge of the managers and policymakers in achieving sustainable supply chain management. The results provide the important concepts regarding the sustainability of supply chain using fuzzy time series and clustering techniques.</t>
  </si>
  <si>
    <t>[Ewbank, Henrique; Frutuoso Roveda, Jose Arnaldo; Monteiro Masalskiene Roveda, Sandra Regina; Ribeiro, Admilson Irio] Sao Paulo State Univ, Sorocaba, Brazil; [Bressane, Adriano] Sao Paulo State Univ, Sao Jose Dos Campos, Brazil; [Hadi-Vencheh, Abdollah] Islamic Azad Univ, Dept Math, Isfahan Khorasgan Branch, Esfahan, Iran; [Wanke, Peter] Univ Fed Rio de Janeiro, Rio De Janeiro, Brazil</t>
  </si>
  <si>
    <t>Universidade Estadual Paulista; Universidade Estadual Paulista; Islamic Azad University; Universidade Federal do Rio de Janeiro</t>
  </si>
  <si>
    <t>Hadi-Vencheh, A (corresponding author), Islamic Azad Univ, Dept Math, Isfahan Khorasgan Branch, Esfahan, Iran.</t>
  </si>
  <si>
    <t>ahadi@khuisf.ac.ir</t>
  </si>
  <si>
    <t>Ribeiro, Admilson Irio/C-8506-2012; Hadi-Vencheh, A./AAN-4646-2021; Wanke, Peter F/G-3184-2010; Hadi-Vencheh, A./AAN-4659-2021</t>
  </si>
  <si>
    <t>Wanke, Peter F/0000-0003-1395-8907; Ewbank, Henrique/0000-0003-4018-218X; Bressane, Adriano/0000-0002-4899-3983; Hadi-Vencheh, A./0000-0003-2012-4097</t>
  </si>
  <si>
    <t>1741-0398</t>
  </si>
  <si>
    <t>1758-7409</t>
  </si>
  <si>
    <t>J ENTERP INF MANAG</t>
  </si>
  <si>
    <t>J. Enterp. Inf. Manag.</t>
  </si>
  <si>
    <t>SEP 14</t>
  </si>
  <si>
    <t>10.1108/JEIM-09-2019-0289</t>
  </si>
  <si>
    <t>Computer Science, Interdisciplinary Applications; Information Science &amp; Library Science; Management</t>
  </si>
  <si>
    <t>Computer Science; Information Science &amp; Library Science; Business &amp; Economics</t>
  </si>
  <si>
    <t>PD9LQ</t>
  </si>
  <si>
    <t>WOS:000547981600001</t>
  </si>
  <si>
    <t>Lu, ZG; Dong, ZH</t>
  </si>
  <si>
    <t>Lu, Zhigang; Dong, Zonghao</t>
  </si>
  <si>
    <t>A Gravitation-Based Hierarchical Community Detection Algorithm for Structuring Supply Chain Network</t>
  </si>
  <si>
    <t>INTERNATIONAL JOURNAL OF COMPUTATIONAL INTELLIGENCE SYSTEMS</t>
  </si>
  <si>
    <t>Supply chain structuring; Community detection; Module gravitation; Hierarchical clustering</t>
  </si>
  <si>
    <t>VISUALIZATION; COLLABORATION; FRAMEWORK; EVOLUTION; SYSTEMS</t>
  </si>
  <si>
    <t>As industrial production outsourcing expands, the collaboration relationship of firms evolves to be more entangled, which means that the enterprise communities in the supply chain network become increasingly overlapping and their boundaries are ambiguous. Given the network complexity, deeper insight into the sequencing orders of suppliers and assemblers is required to orchestrate the supply chain partner collaboration. Considering the overlapping community and multi-layered connectivity characteristics of the supply chain network, in this paper, we design a gravitation-based hierarchical community detection algorithm for structuring the supply chain network. The solution applies a functional modules identification strategy based on node gravitation and a hierarchical clustering strategy based on module gravitation to structure the supply chain network architecture. The key technique is to investigate the global gravitational influence of focal firms, segment the functional modules by characterizing the overlapping conditions among communities, and construct the dendrogram by measuring the gravitational forces between modules in order to map the hierarchical architecture of the dendrogram to structure the supply chain network. The proposed algorithm does not necessitate a prior knowledge about the network. It is adaptable to construct the supply chain network that exhibits scale-free, highly overlapped modular community, and hierarchical characteristics. Experimental results on synthetic benchmark and real-world networks demonstrate the effectiveness and applicability of the proposed algorithm.</t>
  </si>
  <si>
    <t>[Lu, Zhigang; Dong, Zonghao] Shanghai Maritime Univ, Dept Management Sci, 1550 Haigang Rd, Shanghai 201306, Peoples R China</t>
  </si>
  <si>
    <t>Shanghai Maritime University</t>
  </si>
  <si>
    <t>Lu, ZG (corresponding author), Shanghai Maritime Univ, Dept Management Sci, 1550 Haigang Rd, Shanghai 201306, Peoples R China.</t>
  </si>
  <si>
    <t>zglu@shmtu.edu.cn; logansise123@163.com</t>
  </si>
  <si>
    <t>National Natural Science Foundation of China [71971135]; Natural Science Foundation of Shanghai [18ZR1416900]</t>
  </si>
  <si>
    <t>National Natural Science Foundation of China(National Natural Science Foundation of China (NSFC)); Natural Science Foundation of Shanghai(Natural Science Foundation of Shanghai)</t>
  </si>
  <si>
    <t>This work is supported by the National Natural Science Foundation of China [grant number 71971135]; and the Natural Science Foundation of Shanghai [grant number 18ZR1416900]</t>
  </si>
  <si>
    <t>1875-6891</t>
  </si>
  <si>
    <t>1875-6883</t>
  </si>
  <si>
    <t>INT J COMPUT INT SYS</t>
  </si>
  <si>
    <t>Int. J. Comput. Intell. Syst.</t>
  </si>
  <si>
    <t>JUN 29</t>
  </si>
  <si>
    <t>10.1007/s44196-023-00290-x</t>
  </si>
  <si>
    <t>Computer Science, Artificial Intelligence; Computer Science, Interdisciplinary Applications</t>
  </si>
  <si>
    <t>L1NT9</t>
  </si>
  <si>
    <t>WOS:001021000900001</t>
  </si>
  <si>
    <t>Kappelman, AC; Sinha, AK</t>
  </si>
  <si>
    <t>Kappelman, Ashton Conrad; Sinha, Ashesh Kumar</t>
  </si>
  <si>
    <t>Optimal control in dynamic food supply chains using big data</t>
  </si>
  <si>
    <t>COMPUTERS &amp; OPERATIONS RESEARCH</t>
  </si>
  <si>
    <t>Supply chain; Stochastic optimization; Big Data mining; Perishable products; Markov decision process</t>
  </si>
  <si>
    <t>MANAGEMENT; OPTIMIZATION</t>
  </si>
  <si>
    <t>We consider a dynamic food supply chain with multiple process steps where the decisions at each step include supplier selection and settings for their process parameters. We assume that the resulting quality level of the product at every step is stochastic. We also consider that this quality level at each supply chain step has a minimum accepted level and any product that does not meet the minimum accepted level is rejected. We propose an integrated approach that uses Big Data mining techniques to study the effect of these decisions on the quality of the final product and determine our state transition matrix. From there, stochastic optimization methods are implemented to find an optimal policy describing the preferred suppliers and settings for their process parameters. The goal of this policy is to maximize the supply chain's expected profit and reduce rejected product. We show how this technique outperforms traditional techniques in running time as the problem's complexity (state and action space size) grows. We also conduct experiments to explore how the optimal policy changes as the quality threshold for acceptance becomes more restrictive and exhibits a convex behavior. (C) 2020 Elsevier Ltd. All rights reserved.</t>
  </si>
  <si>
    <t>[Kappelman, Ashton Conrad; Sinha, Ashesh Kumar] Kansas State Univ, 2061 Rathbone Hall,66506,1701B Platt St, Manhattan, KS 66506 USA</t>
  </si>
  <si>
    <t>Kansas State University</t>
  </si>
  <si>
    <t>Sinha, AK (corresponding author), Kansas State Univ, 2061 Rathbone Hall,66506,1701B Platt St, Manhattan, KS 66506 USA.</t>
  </si>
  <si>
    <t>kappelmana@ksu.edu; sinhaa@ksu.edu</t>
  </si>
  <si>
    <t>0305-0548</t>
  </si>
  <si>
    <t>1873-765X</t>
  </si>
  <si>
    <t>COMPUT OPER RES</t>
  </si>
  <si>
    <t>Comput. Oper. Res.</t>
  </si>
  <si>
    <t>10.1016/j.cor.2020.105117</t>
  </si>
  <si>
    <t>Computer Science, Interdisciplinary Applications; Engineering, Industrial; Operations Research &amp; Management Science</t>
  </si>
  <si>
    <t>OS1LL</t>
  </si>
  <si>
    <t>WOS:000589926400001</t>
  </si>
  <si>
    <t>Li, C; Zhou, H; Zhou, XF</t>
  </si>
  <si>
    <t>Li Chao; Zhou Hui; Zhou Xiaofeng</t>
  </si>
  <si>
    <t>Data quality assessment in hydrological information systems</t>
  </si>
  <si>
    <t>JOURNAL OF HYDROINFORMATICS</t>
  </si>
  <si>
    <t>data quality; data supply chain; hydrological information system; quality assessment; quality dimension; task</t>
  </si>
  <si>
    <t>ASSURANCE; MODEL</t>
  </si>
  <si>
    <t>The hydrological data fed to hydrological decision support systems might be untimely, incomplete, inconsistent or illogical due to network congestion, low performance of servers, instrument failures, human errors, etc. It is imperative to assess, monitor and even control the quality of hydrological data residing in or acquired from each link of a hydrological data supply chain. However, the traditional quality management of hydrological data has focused mainly on intrinsic quality problems, such as outlier detection, nullity interpolation, consistency, completeness, etc., and could not be used to assess the quality of application - that is, consumed data in the form of data supply chain and with a granularity of tasks. To achieve these objectives, we first present a methodology to derive quality dimensions from hydrological information system by questionnaire and show the cognitive differences in quality dimension importance, then analyze the correlations between the tasks, classify them into five categories and construct the quality assessment model with time limits in the data supply chain. Exploratory experiments suggest the assessment system can provide data quality (DQ) indicators to DQ assessors, and enable authorized consumers to monitor and even control the quality of data used in an application with a granularity of tasks.</t>
  </si>
  <si>
    <t>[Li Chao; Zhou Hui; Zhou Xiaofeng] Hohai Univ, Coll Comp Sci &amp; Informat Engn, Nanjing 211100, Jiangsu, Peoples R China; [Li Chao] Hubei Minzu Univ, Informat Engn Coll, Enshi 445000, Peoples R China</t>
  </si>
  <si>
    <t>Hohai University; Hubei Minzu University</t>
  </si>
  <si>
    <t>Li, C (corresponding author), Hohai Univ, Coll Comp Sci &amp; Informat Engn, Nanjing 211100, Jiangsu, Peoples R China.</t>
  </si>
  <si>
    <t>springxun@163.com</t>
  </si>
  <si>
    <t>National Natural Science Foundation of China [61040006]; Education Department of Hubei Province [B2014245]</t>
  </si>
  <si>
    <t>National Natural Science Foundation of China(National Natural Science Foundation of China (NSFC)); Education Department of Hubei Province</t>
  </si>
  <si>
    <t>We thank the editor and two anonymous reviewers for giving us their very valuable and constructive comments and recommendations after reviewing our submission. We wish to acknowledge the help given by the experts and users of hydrological institutions; they gave us advice and data source to test. We gratefully acknowledge the financial support of the National Natural Science Foundation of China (No. 61040006) and the Education Department of Hubei Province (No. B2014245).</t>
  </si>
  <si>
    <t>1464-7141</t>
  </si>
  <si>
    <t>1465-1734</t>
  </si>
  <si>
    <t>J HYDROINFORM</t>
  </si>
  <si>
    <t>J. Hydroinform.</t>
  </si>
  <si>
    <t>10.2166/hydro.2015.042</t>
  </si>
  <si>
    <t>Computer Science, Interdisciplinary Applications; Engineering, Civil; Environmental Sciences; Water Resources</t>
  </si>
  <si>
    <t>Computer Science; Engineering; Environmental Sciences &amp; Ecology; Water Resources</t>
  </si>
  <si>
    <t>CM3MD</t>
  </si>
  <si>
    <t>WOS:000357585400010</t>
  </si>
  <si>
    <t>Bai, SZ; Sun, HB</t>
  </si>
  <si>
    <t>Bai, Shizhen; Sun, Hongbin</t>
  </si>
  <si>
    <t>Research on Enterprise Supply Chain Optimization Model and Algorithm Based on Fuzzy Clustering</t>
  </si>
  <si>
    <t>JOURNAL OF MATHEMATICS</t>
  </si>
  <si>
    <t>Reasonable logistics distribution network structure can not only effectively reduce the cost of logistics enterprises themselves but also reduce the social cost. Through effective supply chain management, enterprises can significantly reduce costs, improve competitiveness, and enhance their ability to resist risks. Because the single-level distribution network structure of production enterprises is not suitable for large-scale logistics distribution, this paper proposes a distribution network structure design that accords with economies of scale and establishes an enterprise supply chain optimization model based on the fuzzy clustering algorithm. Using this optimization method to optimize the inventory of enterprise logistics supply chain, the operation is fast, the result is correct and reasonable, and it can provide good decision support for the distribution network of logistics enterprises. Through information technology and modern management technology, we should effectively control and coordinate the logistics, information flow, and capital flow in the production and operation process and organically integrate the internal supply chain with the external supply chain for management, so as to achieve the goal of global optimization.</t>
  </si>
  <si>
    <t>[Bai, Shizhen; Sun, Hongbin] Harbin Univ Commerce, Sch Management, Harbin 150028, Peoples R China</t>
  </si>
  <si>
    <t>Harbin University of Commerce</t>
  </si>
  <si>
    <t>Sun, HB (corresponding author), Harbin Univ Commerce, Sch Management, Harbin 150028, Peoples R China.</t>
  </si>
  <si>
    <t>baishzh1962@126.com; sunhongbin@jmsu.edu.cn</t>
  </si>
  <si>
    <t>National Social Science Foundation Project: Research on the integrated development of ecological agriculture industrial chain between China; Far East of Russia from the perspective of national food security strategy [19BJY152]</t>
  </si>
  <si>
    <t>National Social Science Foundation Project: Research on the integrated development of ecological agriculture industrial chain between China; Far East of Russia from the perspective of national food security strategy</t>
  </si>
  <si>
    <t>This work was supported by the National Social Science Foundation Project: Research on the integrated development of ecological agriculture industrial chain between China and the Far East of Russia from the perspective of national food security strategy (19BJY152).</t>
  </si>
  <si>
    <t>2314-4629</t>
  </si>
  <si>
    <t>2314-4785</t>
  </si>
  <si>
    <t>J MATH-UK</t>
  </si>
  <si>
    <t>J. Math.</t>
  </si>
  <si>
    <t>DEC 28</t>
  </si>
  <si>
    <t>10.1155/2021/4827903</t>
  </si>
  <si>
    <t>YE5GM</t>
  </si>
  <si>
    <t>WOS:000741154000002</t>
  </si>
  <si>
    <t>Xu, NR; Liu, JB; Li, DX; Wang, J</t>
  </si>
  <si>
    <t>Xu, Nai-Ru; Liu, Jia-Bao; Li, De-Xun; Wang, Jun</t>
  </si>
  <si>
    <t>Research on Evolutionary Mechanism of Agile Supply Chain Network via Complex Network Theory</t>
  </si>
  <si>
    <t>ADAPTIVE SYSTEMS; MANAGEMENT; EMERGENCE; MODEL</t>
  </si>
  <si>
    <t>The paper establishes the evolutionary mechanism model of agile supply chain network by means of complex network theory which can be used to describe the growth process of the agile supply chain network and analyze the complexity of the agile supply chain network. After introducing the process and the suitability of taking complex network theory into supply chain network research, the paper applies complex network theory into the agile supply chain network research, analyzes the complexity of agile supply chain network, presents the evolutionary mechanism of agile supply chain network based on complex network theory, and uses Matlab to simulate degree distribution, average path length, clustering coefficient, and node betweenness. Simulation results show that the evolution result displays the scale-free property. It lays the foundations of further research on agile supply chain network based on complex network theory.</t>
  </si>
  <si>
    <t>[Xu, Nai-Ru] Anhui Wonder Univ Informat Engn, Sch Finance &amp; Econ, Hefei 231201, Peoples R China; [Liu, Jia-Bao] Anhui Xinhua Univ, Dept Publ Courses, Hefei 230088, Peoples R China; [Li, De-Xun] Wuhan Univ, Sch Polit Sci &amp; Publ Adm, Wuhan 430072, Peoples R China; [Wang, Jun] Shanghai Univ Finance &amp; Econ, Sch Int Business Adm, Shanghai 200433, Peoples R China</t>
  </si>
  <si>
    <t>Anhui Xinhua University; Wuhan University; Shanghai University of Finance &amp; Economics</t>
  </si>
  <si>
    <t>liu, jia/HKE-9796-2023; liu, jia/JAC-7852-2023; li, jia/GVT-7587-2022; Liu, Jia-Bao/C-7850-2015; 穆, 儒/HGC-6534-2022</t>
  </si>
  <si>
    <t>Key Project of the Special Foundation for Young Scientists of Anhui Province of China [2013SQRW090ZD]; Natural Science Foundation of Anhui Province of China [KJ2013B105]; Natural Science Foundation for the Higher Education Institutions of Anhui Province of China [KJ2015A331]</t>
  </si>
  <si>
    <t>Key Project of the Special Foundation for Young Scientists of Anhui Province of China; Natural Science Foundation of Anhui Province of China(Natural Science Foundation of Anhui Province); Natural Science Foundation for the Higher Education Institutions of Anhui Province of China</t>
  </si>
  <si>
    <t>The work of Nai-Ru Xu was supported in part by the Key Project of the Special Foundation for Young Scientists of Anhui Province of China under Grant no. 2013SQRW090ZD. The work of Jia-Bao Liu was supported in part by the Natural Science Foundation of Anhui Province of China under Grant no. KJ2013B105, the Natural Science Foundation for the Higher Education Institutions of Anhui Province of China under Grant no. KJ2015A331.</t>
  </si>
  <si>
    <t>10.1155/2016/4346580</t>
  </si>
  <si>
    <t>DC5ON</t>
  </si>
  <si>
    <t>WOS:000369270400001</t>
  </si>
  <si>
    <t>Lee, CKH</t>
  </si>
  <si>
    <t>Lee, C. K. H.</t>
  </si>
  <si>
    <t>A GA-based optimisation model for big data analytics supporting anticipatory shipping in Retail 4.0</t>
  </si>
  <si>
    <t>retail supply chain; anticipatory shipping; data mining; genetic algorithms; association rule mining</t>
  </si>
  <si>
    <t>GENETIC ALGORITHM; GARMENT INDUSTRY; SYSTEM; MANAGEMENT; DESIGN</t>
  </si>
  <si>
    <t>In Retail 4.0, omni-channels require a seamless and complete integration of all available channels for purchasing. The diversification of channels not only diversifies data sources, but also rapidly generates an enormous amount of data. This highlights a need of big data analytics to extract meaningful knowledge for decision-making. In addition, anticipatory shipping is getting more popular to ensure fast product delivery. The goal is to predict when a customer will make a purchase and then begin shipping the product to the nearest distribution centres before the customer places the orders online. This paper proposes a genetic algorithm (GA)-based optimisation model to support anticipatory shipping. Cloud computing is deployed to store the big data generated from all channels. Cluster-based association rule mining is applied to discover the purchase pattern and predict future purchase in terms of If-Then prediction rules. A modified GA is then used to generate optimal anticipatory shipping plans. Apart from transportation cost and travelling distance, the confidence of prediction rules is also considered in the GA. A number of numerical experiments have been carried out to demonstrate the trade-off of different factors in anticipatory shipping, and the optimisation reliability of the model is verified.</t>
  </si>
  <si>
    <t>[Lee, C. K. H.] Univ Hong Kong, Dept Ind &amp; Mfg Syst Engn, Pokfulam, Hong Kong, Peoples R China</t>
  </si>
  <si>
    <t>University of Hong Kong</t>
  </si>
  <si>
    <t>Lee, CKH (corresponding author), Univ Hong Kong, Dept Ind &amp; Mfg Syst Engn, Pokfulam, Hong Kong, Peoples R China.</t>
  </si>
  <si>
    <t>leeckh@hku.hk</t>
  </si>
  <si>
    <t>10.1080/00207543.2016.1221162</t>
  </si>
  <si>
    <t>EF6CH</t>
  </si>
  <si>
    <t>WOS:000390417200017</t>
  </si>
  <si>
    <t>Li, XY; Zhao, CH; Yang, YJ</t>
  </si>
  <si>
    <t>Li, Xueyuan; Zhao, Chunhui; Yang, Yingjie</t>
  </si>
  <si>
    <t>Hyperspectral anomaly detection based on the distinguishing features of a redundant difference-value network</t>
  </si>
  <si>
    <t>INTERNATIONAL JOURNAL OF REMOTE SENSING</t>
  </si>
  <si>
    <t>ISSUE</t>
  </si>
  <si>
    <t>Hyperspectral anomaly detection is a key technique of unsupervised target detection. In the hyperspectral anomaly detection based on spectral dimensional transformation, the feature projection makes it easy to distinguish the ground objects which are not distinguishable in the original feature space. Although the means of spectral dimensional transformation can improve the distinguishable between diverse categories, it cannot highlight the anomalous targets. To be able to highlight anomalous targets while improving the diversity between different ground objects, an unsupervised network model of redundant difference-value network (RDVN) is proposed and applied to hyperspectral anomaly detection. RDVN is composed of multiple single-layer neural networks with the same structure and hyper-parameters. A group of training samples is used as the input of the networks, and the difference between the activation values of any network and benchmark network is used as the error for backpropagation. After the training is completed, the difference-value between the activation values of the two networks is used as a distinguishing feature (DF). Finally, DF is used as the input of the anomaly detector to obtain the detection results. Experimental results demonstrate that the proposed algorithm can achieve higher detection accuracy. DF not only highlights the anomalous target to increase the true positive rate but also increases the discriminability between different categories, thereby reducing the false-positive rate.</t>
  </si>
  <si>
    <t>[Li, Xueyuan; Zhao, Chunhui] Harbin Engn Univ, Informat &amp; Commun Engn Coll, Harbin, Peoples R China; [Yang, Yingjie] De Montfort Univ, Sch Comp Sci &amp; Informat, Leicester, Leics, England</t>
  </si>
  <si>
    <t>Harbin Engineering University; De Montfort University</t>
  </si>
  <si>
    <t>Zhao, CH (corresponding author), Harbin Engn Univ, 145 Nantong St, Harbin 150001, Heilongjiang, Peoples R China.</t>
  </si>
  <si>
    <t>zhaochunhui1965@163.com</t>
  </si>
  <si>
    <t>Li, Xueyuan/HZM-1127-2023</t>
  </si>
  <si>
    <t>Li, Xueyuan/0000-0003-1112-5610</t>
  </si>
  <si>
    <t>National Natural Science Foundation of China [61971153, 61571145]; Heilongjiang Provincial Natural Science Foundation of China [LH2019F040]</t>
  </si>
  <si>
    <t>National Natural Science Foundation of China(National Natural Science Foundation of China (NSFC)); Heilongjiang Provincial Natural Science Foundation of China(Natural Science Foundation of Heilongjiang Province)</t>
  </si>
  <si>
    <t>The authors would like to thank the handing editors and the reviewers for providing valuable comments. This work was supported by the National Natural Science Foundation of China (No. 61971153 and No. 61571145), the Heilongjiang Provincial Natural Science Foundation of China (No. LH2019F040).</t>
  </si>
  <si>
    <t>0143-1161</t>
  </si>
  <si>
    <t>1366-5901</t>
  </si>
  <si>
    <t>INT J REMOTE SENS</t>
  </si>
  <si>
    <t>Int. J. Remote Sens.</t>
  </si>
  <si>
    <t>MAY 7</t>
  </si>
  <si>
    <t>10.1080/01431161.2021.1918791</t>
  </si>
  <si>
    <t>Remote Sensing; Imaging Science &amp; Photographic Technology</t>
  </si>
  <si>
    <t>RY7YE</t>
  </si>
  <si>
    <t>WOS:000648122200001</t>
  </si>
  <si>
    <t>Xue, G; Liu, SF; Ma, YC</t>
  </si>
  <si>
    <t>Xue, Gang; Liu, Shifeng; Ma, Yicao</t>
  </si>
  <si>
    <t>A hybrid deep learning-based fruit classification using attention model and convolution autoencoder</t>
  </si>
  <si>
    <t>COMPLEX &amp; INTELLIGENT SYSTEMS</t>
  </si>
  <si>
    <t>Fruit classification; DenseNet; CBAM; Convolutional neural networks</t>
  </si>
  <si>
    <t>OPTIMIZATION; OBJECTS</t>
  </si>
  <si>
    <t>Image recognition supports several applications, for instance, facial recognition, image classification, and achieving accurate fruit and vegetable classification is very important in fresh supply chain, factories, supermarkets, and other fields. In this paper, we develop a hybrid deep learning-based fruit image classification framework, named attention-based densely connected convolutional networks with convolution autoencoder (CAE-ADN), which uses a convolution autoencoder to pre-train the images and uses an attention-based DenseNet to extract the features of image. In the first part of the framework, an unsupervised method with a set of images is applied to pre-train the greedy layer-wised CAE. We use CAE structure to initialize a set of weights and bias of ADN. In the second part of the framework, the supervised ADN with the ground truth is implemented. The final part of the framework makes a prediction of the category of fruits. We use two fruit datasets to test the effectiveness of the model, experimental results show the effectiveness of the framework, and the framework can improve the efficiency of fruit sorting, which can reduce costs of fresh supply chain, factories, supermarkets, etc.</t>
  </si>
  <si>
    <t>[Xue, Gang; Liu, Shifeng; Ma, Yicao] Beijing Jiaotong Univ, Sch Econ &amp; Management, Beijing 100044, Peoples R China</t>
  </si>
  <si>
    <t>Beijing Jiaotong University</t>
  </si>
  <si>
    <t>Xue, G (corresponding author), Beijing Jiaotong Univ, Sch Econ &amp; Management, Beijing 100044, Peoples R China.</t>
  </si>
  <si>
    <t>19113032@bjtu.edu.cn</t>
  </si>
  <si>
    <t>Beijing Social Science Foundation [19JDGLA002]</t>
  </si>
  <si>
    <t>Beijing Social Science Foundation</t>
  </si>
  <si>
    <t>Beijing Social Science Foundation Grant 19JDGLA002.</t>
  </si>
  <si>
    <t>2199-4536</t>
  </si>
  <si>
    <t>2198-6053</t>
  </si>
  <si>
    <t>COMPLEX INTELL SYST</t>
  </si>
  <si>
    <t>COMPLEX INTELL. SYST.</t>
  </si>
  <si>
    <t>10.1007/s40747-020-00192-x</t>
  </si>
  <si>
    <t>OCT 2020</t>
  </si>
  <si>
    <t>J0DK3</t>
  </si>
  <si>
    <t>WOS:000576750900001</t>
  </si>
  <si>
    <t>Sabouhi, F; Jabalameli, MS; Jabbarzadeh, A</t>
  </si>
  <si>
    <t>Sabouhi, Fatemeh; Jabalameli, Mohammad Saeed; Jabbarzadeh, Armin</t>
  </si>
  <si>
    <t>An optimization approach for sustainable and resilient supply chain design with regional considerations</t>
  </si>
  <si>
    <t>Regional approach; Sustainability; K-means clustering method; Resilience</t>
  </si>
  <si>
    <t>NETWORK DESIGN; PROGRAMMING APPROACH; MULTIOBJECTIVE OPTIMIZATION; BENDERS DECOMPOSITION; ROBUST OPTIMIZATION; QUANTITY DISCOUNT; DISRUPTION RISKS; ORDER ALLOCATION; UNCERTAINTY; SELECTION</t>
  </si>
  <si>
    <t>Regional and geographical differences between facilities is of paramount importance in supply chain design. However, the impact of the regions' performance on supply chain design decisions remains a relatively underresearched subject in the literature. This paper presents a hybrid methodology for designing a sustainable supply chain that is resilient to random disruptions. We propose a multi-period multi-objective optimization model that utilizes a k-means clustering method to evaluate the regions' sustainability performance. The model aims to determine sourcing and network design decisions as well as resilience strategies. To manage the operational risks associated with the supply chain, we employ a new robustness measure that eliminates the need to estimate the probability distribution of random parameters. Finally, a Benders decomposition algorithm is developed to solve the model. Practical insights are drawn from an actual case study of a downstream petrochemical industry in Iran.</t>
  </si>
  <si>
    <t>[Sabouhi, Fatemeh; Jabalameli, Mohammad Saeed; Jabbarzadeh, Armin] Iran Univ Sci &amp; Technol, Sch Ind Engn, Tehran, Iran; [Jabbarzadeh, Armin] Univ Quebec, Dept Syst Engn, Ecole Technol Super ETS, Montreal, PQ, Canada</t>
  </si>
  <si>
    <t>Iran University Science &amp; Technology; University of Quebec; Ecole de Technologie Superieure - Canada; University of Quebec Montreal</t>
  </si>
  <si>
    <t>Jabalameli, MS (corresponding author), Iran Univ Sci &amp; Technol, Sch Ind Engn, Tehran, Iran.</t>
  </si>
  <si>
    <t>sabouhi@ind.iust.ac.ir; jabal@iust.ac.ir; arminj@iust.ac.ir</t>
  </si>
  <si>
    <t>jabalameli, mohammad saeed/S-8820-2018</t>
  </si>
  <si>
    <t>Jabbarzadeh, Armin/0000-0001-5109-7736</t>
  </si>
  <si>
    <t>10.1016/j.cie.2021.107510</t>
  </si>
  <si>
    <t>UD8RR</t>
  </si>
  <si>
    <t>WOS:000687470600016</t>
  </si>
  <si>
    <t>Nazari-Ghanbarloo, V</t>
  </si>
  <si>
    <t>Nazari-Ghanbarloo, Vahid</t>
  </si>
  <si>
    <t>A dynamic performance measurement system for supply chain management</t>
  </si>
  <si>
    <t>Supply chain performance; Dynamic balanced scorecard; System dynamics; Strategy; Big data; Data mining</t>
  </si>
  <si>
    <t>BIG DATA ANALYTICS; BALANCED SCORECARD; STRATEGY; MODEL; OPPORTUNITIES; METHODOLOGY; INSIGHTS; BUSINESS; DESIGN</t>
  </si>
  <si>
    <t>Purpose This paper aims to propose a dynamic model for measurement supply chain performance (SCP) based on a dynamic balanced scorecard (DBSC). Balanced scorecard (BSC) can be defined as a popular performance measurement method that can translate the strategy into a set of performance indicators and manage the status of implementing the various strategies. However, BSC is unable to simulate the complicated environment and the dynamic behavior of performance metrics. Therefore, the author combines BSC with system dynamics (SD) to explore a more efficient tool for measurement SCP. Design/methodology/approach A dynamic causal model is proposed based on the causal hypotheses. The developed DBSC enables managers to evaluate and measure the SCP in a much-balanced way. Using DBSC makes it possible that different SCP metrics to be reviewed and distributed into the four above-mentioned perspectives. It also enables supply chain (SC) managers to evaluate different strategies to improve SCP. Findings investigates two strategies to improve SCP as follows: (1) competitive strategy and (2) harvesting big data and using data mining techniques to determine the customer's expectations and then compares the results of these two strategies based on the four perspectives of DBSC and introduce the best strategy. Finally, harvesting big data and data mining is selected as the best strategy. Originality/value This study proposes a novel strategic management tool for measurement SCP and simulation of the complicated environment and the dynamic behavior of performance metrics. The proposed DBSC model enables managers to compare different strategies and select the best strategy.</t>
  </si>
  <si>
    <t>[Nazari-Ghanbarloo, Vahid] Kharazmi Univ, Fac Engn, Tehran, Iran</t>
  </si>
  <si>
    <t>Kharazmi University</t>
  </si>
  <si>
    <t>Nazari-Ghanbarloo, V (corresponding author), Kharazmi Univ, Fac Engn, Tehran, Iran.</t>
  </si>
  <si>
    <t>vahid77nazari@gmail.com</t>
  </si>
  <si>
    <t>Nazari-Ghanbarloo, Vahid/0000-0001-8739-4919</t>
  </si>
  <si>
    <t>JAN 21</t>
  </si>
  <si>
    <t>10.1108/IJPPM-01-2020-0023</t>
  </si>
  <si>
    <t>YP3HM</t>
  </si>
  <si>
    <t>WOS:000604425500001</t>
  </si>
  <si>
    <t>Guo, T; Leahy, J; Huff, ES; Danks, C; Adams, M</t>
  </si>
  <si>
    <t>Guo, Tian; Leahy, Jessica; Huff, Emily Silver; Danks, Cecilia; Adams, Maura</t>
  </si>
  <si>
    <t>A Social Network Analysis of a Regional Automated Wood Pellet Heating Industry in Pursuing Homeowner Satisfaction</t>
  </si>
  <si>
    <t>FOREST PRODUCTS JOURNAL</t>
  </si>
  <si>
    <t>SUPPLY CHAIN; ECOSYSTEMS</t>
  </si>
  <si>
    <t>Our study examined relationships among pellet mills, bulk delivery companies, and high-efficiency pellet boiler equipment firms in northern New England as they relate to homeowner satisfaction, using social network analysis and the concept of supply chain management. The continual growth of supply and demand for automated pellet heating requires a careful match between innovative technologies and homeowner needs; these involve multiple factors and require collaboration among firms. Using interview data with managers from pellet mills, bulk delivery companies, and equipment firms in Maine, New Hampshire, and Vermont, we found 15 firms that are connected through both a transaction network and an informal business interaction network. The networks were characterized by short paths and no obvious sign of centralization. Network statistics reported for each network included density, clustering coefficient, and degree, closeness, and betweenness centrality. Most firms in the supply networks shared customer satisfaction information (average number of information sending ties = 3) and considered collaboration in customer services important (mean = 4.4, on a 5-point scale). However, equipment firms initiated more information sharing than other types, and bulk delivery companies were in the best position in the supply network to promote collaborative customer services. Opportunities exist to improve communication between pellet mills and equipment firms, leading to a robust automated pellet heating supply chain, strong demand, and subsequent homeowner satisfaction.</t>
  </si>
  <si>
    <t>[Guo, Tian] Univ Michigan, Ann Arbor, MI 48109 USA; [Leahy, Jessica] Univ Maine, Human Dimens Nat Resources, Orono, ME USA; [Huff, Emily Silver] Michigan State Univ, E Lansing, MI 48824 USA; [Danks, Cecilia] Univ Vermont, Burlington, VT USA; [Adams, Maura] Northern Forest Ctr, South Portland, ME USA</t>
  </si>
  <si>
    <t>University of Michigan System; University of Michigan; University of Maine System; University of Maine Orono; Michigan State University; University of Vermont</t>
  </si>
  <si>
    <t>Guo, T (corresponding author), Univ Michigan, Ann Arbor, MI 48109 USA.</t>
  </si>
  <si>
    <t>tianguo@umich.edu; jessica.leahy@main.edu; ehuff@msu.edu; cecilia.danks@uvm.edu; madams@northernforest.org</t>
  </si>
  <si>
    <t>Guo, Tian/0000-0002-7527-4765</t>
  </si>
  <si>
    <t>US Department of Agriculture National Institute of Food and Agriculture McIntire-Stennis program through the Main Agricultural and Forest Experiment Station [ME0-41707, 58-0202-4-003]</t>
  </si>
  <si>
    <t>US Department of Agriculture National Institute of Food and Agriculture McIntire-Stennis program through the Main Agricultural and Forest Experiment Station</t>
  </si>
  <si>
    <t>This project was supported by the US Department of Agriculture National Institute of Food and Agriculture McIntire-Stennis program through the Main Agricultural and Forest Experiment Station as project no. ME0-41707 and Agricultural Research Service project no. 58-0202-4-003.</t>
  </si>
  <si>
    <t>FOREST PRODUCTS SOC</t>
  </si>
  <si>
    <t>MADISON</t>
  </si>
  <si>
    <t>2801 MARSHALL COURT, MADISON, WI 53705-2295 USA</t>
  </si>
  <si>
    <t>0015-7473</t>
  </si>
  <si>
    <t>FOREST PROD J</t>
  </si>
  <si>
    <t>For. Prod. J.</t>
  </si>
  <si>
    <t>10.13073/FPJ-D-17-00055</t>
  </si>
  <si>
    <t>Forestry; Materials Science, Paper &amp; Wood</t>
  </si>
  <si>
    <t>Forestry; Materials Science</t>
  </si>
  <si>
    <t>HO6NE</t>
  </si>
  <si>
    <t>WOS:000461045800012</t>
  </si>
  <si>
    <t>Fernando, Y; Al-Madani, MHM; Shaharudin, MS</t>
  </si>
  <si>
    <t>Fernando, Yudi; Al-Madani, Mohammed Hammam Mohammed; Shaharudin, Muhammad Shabir</t>
  </si>
  <si>
    <t>COVID-19 and global supply chain risks mitigation: systematic review using a scientometric technique</t>
  </si>
  <si>
    <t>JOURNAL OF SCIENCE AND TECHNOLOGY POLICY MANAGEMENT</t>
  </si>
  <si>
    <t>COVID-19; Supply chain; Technology; Systematic literature review; Machine learning; Social network analysis</t>
  </si>
  <si>
    <t>MANAGEMENT; MODEL</t>
  </si>
  <si>
    <t>PurposeThis paper aims to investigate how manufacturing firms behave to mitigate business risk during and post-COVID-19 coronavirus disease (COVID-19) on the global supply chain.Design/methodology/approachA systematic literature review for data mining was used to address the research objective. Multiple scientometric techniques (e.g. bibliometric, machine learning and social network analysis) were used to analyse the Lens.org, Web of Science and Scopus databases' global supply chain risk mitigation data.FindingsThe findings show that the firms' manufacturing supply chains used digitalisation technologies such as Blockchain, artificial intelligence (AI), 3D printing and machine learning to mitigate COVID-19. On the other hand, food security, government incentives and policies, health-care systems, energy and the circular economy require more research in the global supply chain.Practical implicationsGlobal supply chain managers were advised to use digitalisation technology to mitigate current and upcoming disruptions. The manufacturing supply chain has high uncertainty and unpredictable global pandemics. Manufacturing firms should consider adopting Blockchain technology, AI and machine learning to mitigate the epidemic risk and disruption.Originality/valueThis study found the publication trend of how manufacturing firms behave to mitigate the global supply chain disruptions during the global pandemic and business uncertainty. The findings have contributed to the supply chain risk mitigation literature and the solution framework.</t>
  </si>
  <si>
    <t>[Fernando, Yudi] Univ Malaysia Pahang, Business Engn Dept, Gambang, Malaysia; [Fernando, Yudi] BINUS Univ, Management Dept, BINUS Online Learning, W Jakarta, Indonesia; [Al-Madani, Mohammed Hammam Mohammed] Univ Malaysia Pahang, Fac Ind Management, Gambang, Malaysia; [Shaharudin, Muhammad Shabir] Univ Sains Malaysia, Sch Management, Gelugor, Pulau Pinang, Malaysia</t>
  </si>
  <si>
    <t>Universiti Malaysia Pahang Al-Sultan Abdullah (UMPSA); Universitas Bina Nusantara; Universiti Malaysia Pahang Al-Sultan Abdullah (UMPSA); Universiti Sains Malaysia</t>
  </si>
  <si>
    <t>Fernando, Y (corresponding author), Univ Malaysia Pahang, Business Engn Dept, Gambang, Malaysia.</t>
  </si>
  <si>
    <t>yudifernando.td@gmail.com; shabir@usm.my</t>
  </si>
  <si>
    <t>FRGS; Minister of Education Malaysia [FRGS/1/2021/SS01/UMP/02/2, RDU210113]; Division of Research and Innovation, Universiti Malaysia Pahang [RDU212701, UIC211502, PDU203220]; Ministry of Higher Education Malaysia; Division of Research and Innovation, Universiti Malaysia Pahang [RDU1903126]</t>
  </si>
  <si>
    <t>FRGS; Minister of Education Malaysia; Division of Research and Innovation, Universiti Malaysia Pahang; Ministry of Higher Education Malaysia(Ministry of Education, Malaysia); Division of Research and Innovation, Universiti Malaysia Pahang</t>
  </si>
  <si>
    <t>This research was supported by FRGS grant by Minister of Education Malaysia, project code FRGS/1/2021/SS01/UMP/02/2 with ID RDU210113. The authors convey their appreciation to the Division of Research and Innovation, Universiti Malaysia Pahang, for funding this study (RDU212701; UIC211502; PDU203220).The authors would like to thank the Ministry of Higher Education Malaysia for funding this Project under Fundamental Research Grant Scheme (FRGS) No: FRGS/1/2021/SS01/UMP/02/2 and the Division of Research and Innovation, Universiti Malaysia Pahang, for funding this study (RDU210113; RDU1903126; PDU203220).</t>
  </si>
  <si>
    <t>2053-4620</t>
  </si>
  <si>
    <t>1758-5538</t>
  </si>
  <si>
    <t>J SCI TECHNOL POLICY</t>
  </si>
  <si>
    <t>J. Sci. Technol. Policy Manag.</t>
  </si>
  <si>
    <t>2023 JUL 20</t>
  </si>
  <si>
    <t>10.1108/JSTPM-01-2022-0013</t>
  </si>
  <si>
    <t>M9TV5</t>
  </si>
  <si>
    <t>WOS:001033574800001</t>
  </si>
  <si>
    <t>Mustapha, SA; Agha, MSA; Masood, T</t>
  </si>
  <si>
    <t>Mustapha, Saidi Atanda; Agha, Mouhamad Shaker Ali; Masood, Tariq</t>
  </si>
  <si>
    <t>The Role of Collaborative Resource Sharing in Supply Chain Recovery During Disruptions: A Systematic Literature Review</t>
  </si>
  <si>
    <t>IEEE ACCESS</t>
  </si>
  <si>
    <t>Collaboration; Supply chains; Resource management; Systematics; Risk management; Clustering methods; Supply chain management; Supply chain risk; supply chain disruption; collaborative recovery; collaborative resource sharing; hierarchical clustering; cluster analysis</t>
  </si>
  <si>
    <t>HORIZONTAL COLLABORATION; RESILIENCE DEVELOPMENT; DECISION-MAKING; MANAGING RISK; MANAGEMENT; INFORMATION; COOPERATION; LOGISTICS; MODEL; FRAMEWORK</t>
  </si>
  <si>
    <t>The COVID-19 crisis has attracted attention worldwide to supply chain disruptions and resilience. Several supply chain risk management approaches have been revisited or reapplied in the literature; however, collaborative resource sharing is less researched. This study aimed to investigate the current academic state of the art and advances in using collaborative resource sharing as a reactive method to facilitate supply chain recovery in the presence of disruptive events. More specifically we considered the role of different collaborative resource-sharing strategies that organizations can adopt to support supply chain functionalities during times of disruption. We conducted a systematic literature review (SLR) to analyze academic articles that were published online from 2000 to 2022. In order to analyze the literature, we adopted a combination of text-mining, automatic and manual categorization of selected articles, and exploratory analyses such as cluster analysis and relational indicators. We also consider the machine learning classification algorithm i.e. agglomerative hierarchical clustering for the categorization of clusters. The findings show that, for disruptive risks, collaborative sharing of labour and material resources is effective for the recovery of supply chains. More so, labour resources tend to contribute more to the recovery of supply chains through the physical and mental recreation of recovery activities and experiences. Whilst information resources and a mix of information and material resources are highly important in reducing the impact of COVID-19 disruptive supply chain risk. In conclusion, collaborating on the three resources, namely labour, material, and information resources can be an effective post-disruption recovery strategy for supply chains.</t>
  </si>
  <si>
    <t>[Mustapha, Saidi Atanda; Agha, Mouhamad Shaker Ali] Univ Strathclyde, Strathclyde Business Sch, Dept Management Sci, Glasgow G1 1XQ, Lanark, Scotland; [Masood, Tariq] Univ Strathclyde, Dept Design Mfg &amp; Engn Management, Glasgow G1 1XJ, Lanark, Scotland</t>
  </si>
  <si>
    <t>University of Strathclyde; University of Strathclyde</t>
  </si>
  <si>
    <t>Mustapha, SA (corresponding author), Univ Strathclyde, Strathclyde Business Sch, Dept Management Sci, Glasgow G1 1XQ, Lanark, Scotland.</t>
  </si>
  <si>
    <t>saidi.mustapha@strath.ac.uk</t>
  </si>
  <si>
    <t>Mustapha, Saidi/0000-0001-6431-7400; Ali Agha, Mouhamad Shaker/0000-0002-9143-7990; MASOOD, Tariq/0000-0002-9933-6940</t>
  </si>
  <si>
    <t>2169-3536</t>
  </si>
  <si>
    <t>IEEE Access</t>
  </si>
  <si>
    <t>10.1109/ACCESS.2022.3217500</t>
  </si>
  <si>
    <t>6A3WV</t>
  </si>
  <si>
    <t>gold, Green Submitted, Green Accepted</t>
  </si>
  <si>
    <t>WOS:000880589600001</t>
  </si>
  <si>
    <t>Li, Y; Kramer, MR; Beulens, AJM; van der Vorst, JGAJ</t>
  </si>
  <si>
    <t>Li, Y.; Kramer, M. R.; Beulens, A. J. M.; van der Vorst, J. G. A. J.</t>
  </si>
  <si>
    <t>A framework for early warning and proactive control systems in food supply chain networks</t>
  </si>
  <si>
    <t>Early warning; Proactive control; Data mining; Knowledge management</t>
  </si>
  <si>
    <t>DECISION-SUPPORT-SYSTEM; KNOWLEDGE MANAGEMENT; ONTOLOGIES; METHODOLOGIES; INTELLIGENCE; INTEGRATION; PRINCIPLES</t>
  </si>
  <si>
    <t>It is inherent to food supply chain networks that performance deviations occur occasionally due to variations in product quality and quantity. To reduce losses, one wants to be informed about such deviations as soon as possible, preferably even before they occur. Then it is possible to take actions to prevent or reduce negative consequences. In practice, extensive operational data is recorded, forming a valuable source for early warning and proactive control systems, i.e. decision support systems for prediction and prevention of such performance problems. Data mining methods are ideal for analyzing such data sources and extracting useable information from them. In this paper, we present a novel framework for early warning and proactive control systems that combine expert knowledge and data mining methods to exploit recorded data. We discuss the implementation of a prototype system and the experiences from a case study regarding the applicability of the framework. (C) 2010 Published by Elsevier B.V.</t>
  </si>
  <si>
    <t>[Li, Y.; Kramer, M. R.; Beulens, A. J. M.] Wageningen Univ, Informat Technol Grp, NL-6706 KN Wageningen, Netherlands; [van der Vorst, J. G. A. J.] Wageningen Univ, Operat Res &amp; Logist Grp, NL-6706 KN Wageningen, Netherlands</t>
  </si>
  <si>
    <t>Wageningen University &amp; Research; Wageningen University &amp; Research</t>
  </si>
  <si>
    <t>Kramer, MR (corresponding author), Wageningen Univ, Informat Technol Grp, Hollandseweg 1, NL-6706 KN Wageningen, Netherlands.</t>
  </si>
  <si>
    <t>Mark.Kramer@wur.nl</t>
  </si>
  <si>
    <t>10.1016/j.compind.2010.07.010</t>
  </si>
  <si>
    <t>696MS</t>
  </si>
  <si>
    <t>WOS:000285446100006</t>
  </si>
  <si>
    <t>Lee, K; Kim, W; Kim, M</t>
  </si>
  <si>
    <t>Klusch, M; Ossowski, S; Kashyap, V; Unland, R</t>
  </si>
  <si>
    <t>Supply chain management using multi-agent system</t>
  </si>
  <si>
    <t>COOPERATIVE INFORMATION AGENTS VIII, PROCEEDINGS</t>
  </si>
  <si>
    <t>Lecture Notes in Artificial Intelligence</t>
  </si>
  <si>
    <t>8th International Workshop on Cooperative Information Agents</t>
  </si>
  <si>
    <t>SEP 27-29, 2004</t>
  </si>
  <si>
    <t>Erfurt, GERMANY</t>
  </si>
  <si>
    <t>Assoc Comp Machinery,TranSIT GmbH,URJC Decis Engn Lab,Whitestein Technologies,Spanish Assoc Artificial Intelligence,AgentLink III, EU FP6 Coordinating Act</t>
  </si>
  <si>
    <t>Supply Chain Management is a concept that assumes a business as a chain of inter-connected entities of commercial activities [24]. Therefore, the objective of Supply Chain Management is reducing inventory, lead times and cost at each link under the given constraints. In this paper, we propose a cooperation model for Supply Chain Management using Multi-Agent System. This model constructs a relevant supply chain through iterated matchmaking process. The matchmaking process makes connection between service provider and service requestor for each link of the supply chain [23]. The effective supply chain can be made when each link of the supply chain is connected properly. In order to make a proper connection for each link, this proposed model uses multi-agent system as foundation architecture and uses clustering, rule-based system and neural networks as matching method. With this model, we can make optimum chain connection from the procurement to the customer.</t>
  </si>
  <si>
    <t>Sejong Univ, Coll Elect &amp; Informat Engn, Seoul 143747, South Korea; Ajou Univ, Grad Sch Informat &amp; Commun, Suwon 442749, Kyonggido, South Korea; Ajou Univ, Coll Informat &amp; Comp Engn, Suwon 442749, Kyonggido, South Korea</t>
  </si>
  <si>
    <t>Sejong University; Ajou University; Ajou University</t>
  </si>
  <si>
    <t>Lee, K (corresponding author), Sejong Univ, Coll Elect &amp; Informat Engn, Seoul 143747, South Korea.</t>
  </si>
  <si>
    <t>lks7256@ajou.ac.kr; wikim@sejong.ajou.ac.kr; minkoo@ajou.ac.kr</t>
  </si>
  <si>
    <t>Kim, Wonil/C-5744-2014</t>
  </si>
  <si>
    <t>3-540-23170-6</t>
  </si>
  <si>
    <t>LECT NOTES ARTIF INT</t>
  </si>
  <si>
    <t>BBA05</t>
  </si>
  <si>
    <t>WOS:000224361400016</t>
  </si>
  <si>
    <t>Liao, SH; Hu, DC; Ding, LW</t>
  </si>
  <si>
    <t>Liao, Shu-Hsien; Hu, Da-Chian; Ding, Li-Wen</t>
  </si>
  <si>
    <t>Assessing the influence of supply chain collaboration value innovation, supply chain capability and competitive advantage in Taiwan's networking communication industry</t>
  </si>
  <si>
    <t>Supply chain collaboration value innovation; Supply chain capability; Competitive advantage; Mediating effect; Structural equation modeling</t>
  </si>
  <si>
    <t>INFORMATION-TECHNOLOGY; FIRM PERFORMANCE; MANAGEMENT; KNOWLEDGE; IMPACT; MECHANISMS; RESOURCES; STRATEGY; VIEW</t>
  </si>
  <si>
    <t>Taiwan's networking communication industry has had a clustering scale and a good position for collaboration in the global networking communication manufacturing network. This study considers whether Taiwan's networking communication industry can enhance its competitive advantage through supply chain management activities. In order to examine the relationships of supply chain collaboration value innovation, supply chain capability and competitive advantage, this research selects 74 firms and 465 questionnaires from the upstream, middle and downstream manufactures of Taiwan networking communication industry for research subjects, and uses structural equation modeling (SEM) to verify the theoretical model. Results show that the relationships among supply chain collaboration value innovation, supply chain capacity and competitive advantage can have a positive impact, and that supply chain capability is a full mediator. Moreover, supply chain echelons (upper, middle and downstream) have some moderating effects in these relationships.</t>
  </si>
  <si>
    <t>[Liao, Shu-Hsien; Ding, Li-Wen] Tamkang Univ, Dept Management Sci, 151 Yingjuan Rd, New Taipei 251, Taiwan; [Hu, Da-Chian] Jinwen Univ Sci &amp; Technol, Dept Food &amp; Beverage Management, New Taipei 23154, Taiwan</t>
  </si>
  <si>
    <t>Liao, SH (corresponding author), Tamkang Univ, Dept Management Sci, 151 Yingjuan Rd, New Taipei 251, Taiwan.</t>
  </si>
  <si>
    <t>michael@mail.tku.edu.tw</t>
  </si>
  <si>
    <t>穆, 儒/HGC-6534-2022; Liao, Shu-hsien/AAW-1885-2020</t>
  </si>
  <si>
    <t>Liao, Shu-hsien/0000-0002-3667-2867</t>
  </si>
  <si>
    <t>10.1016/j.ijpe.2017.06.001</t>
  </si>
  <si>
    <t>FF6TN</t>
  </si>
  <si>
    <t>WOS:000409150000012</t>
  </si>
  <si>
    <t>Gualandris, J; Longoni, A; Luzzini, D; Pagell, M</t>
  </si>
  <si>
    <t>Gualandris, Jury; Longoni, Annachiara; Luzzini, Davide; Pagell, Mark</t>
  </si>
  <si>
    <t>The association between supply chain structure and transparency: A large-scale empirical study</t>
  </si>
  <si>
    <t>JOURNAL OF OPERATIONS MANAGEMENT</t>
  </si>
  <si>
    <t>collective outcomes; supply chain heterogeneity; supply chain interconnectedness; sustainability; transparency</t>
  </si>
  <si>
    <t>GLOBAL VALUE CHAINS; COLLECTIVE ACTION; NETWORK STRUCTURE; NEXUS SUPPLIER; IMPACT; INNOVATION; HETEROGENEITY; COMPLEXITY; MANAGEMENT; BASE</t>
  </si>
  <si>
    <t>An emerging body of work acknowledges the challenges focal firms face in gathering material information about their extended supply chains and begins to point to the role of supply chain structure in influencing supply chain transparency. Still, large-scale empirical evidence on this complex association remains elusive, especially at the supply chain level of analysis. We begin to bridge this empirical gap by examining whether supply chain structure systematically associates to supply chain transparency in the context of the collective public environmental, social, and governance (ESG) disclosures made by a focal firm's customers, suppliers, and subsuppliers. To shed light on this underexplored empirical phenomenon, we gather Bloomberg SPLC data and Bloomberg ESG data about 4803 firms and 20,504 contractual ties organized in 187 extended supply chains. We find that supply chain density positively associates with supply chain transparency, whereas supply chain clustering holds a negative association. We also find that supply chain geographical heterogeneity positively associates with supply chain transparency. Our results significantly expand the literature on supply chain transparency and are relevant to supply chain professionals because they emphasize the central role of supply chain structure in enabling or constraining supply chain transparency.</t>
  </si>
  <si>
    <t>[Gualandris, Jury] Western Univ, Ivey Business Sch, London, ON, Canada; [Longoni, Annachiara] Univ Ramon Llull, ESADE Business Sch, Barcelona, Spain; [Luzzini, Davide] EADA Business Sch, Barcelona, Spain; [Pagell, Mark] Univ Coll Dublin, Smurfit Business Sch, Dublin, Ireland</t>
  </si>
  <si>
    <t>Western University (University of Western Ontario); Universitat Ramon Llull; Escuela Superior de Administracion y Direccion de Empresas (ESADE); EADA Business School; University College Dublin</t>
  </si>
  <si>
    <t>Gualandris, J (corresponding author), Western Univ, Ivey Business Sch, London, ON, Canada.</t>
  </si>
  <si>
    <t>jgualandris@ivey.ca</t>
  </si>
  <si>
    <t>Pagell, Mark/HJY-5588-2023; Luzzini, Davide/C-4982-2012</t>
  </si>
  <si>
    <t>Pagell, Mark/0000-0001-7053-6917; Gualandris, Jury/0000-0003-4866-7050; Longoni, Annachiara/0000-0002-3881-4750; Luzzini, Davide/0000-0002-9062-0806</t>
  </si>
  <si>
    <t>0272-6963</t>
  </si>
  <si>
    <t>1873-1317</t>
  </si>
  <si>
    <t>J OPER MANAG</t>
  </si>
  <si>
    <t>J. Oper. Manag.</t>
  </si>
  <si>
    <t>10.1002/joom.1150</t>
  </si>
  <si>
    <t>WI4UU</t>
  </si>
  <si>
    <t>WOS:000661300500001</t>
  </si>
  <si>
    <t>Chen, J</t>
  </si>
  <si>
    <t>Chen, Jing</t>
  </si>
  <si>
    <t>Multidimensional analysis model of agricultural product supply chain competition based on mean fuzzy</t>
  </si>
  <si>
    <t>Mean fuzzy; agricultural product supply chain; competition multidimensional analysis model; mean fuzzy analytic hierarchy process</t>
  </si>
  <si>
    <t>Efficient and reliable fresh agricultural products supply chain is the key to meet the demand of consumers for fresh agricultural products, and also the guarantee for suppliers to realize their economic benefits. Therefore, a multidimensional analysis model of agricultural products supply chain competition based on fuzzy mean value is proposed. Firstly, the information distribution model of multi-dimensional analysis of agricultural product supply chain competition is proposed. On this basis, the multi-dimensional analysis information scheduling fusion of agricultural product supply chain competition is processed. Then, the application of mean value fuzzy in agricultural product supply chain is analyzed. According to the identification module of agricultural product information code, the fuzzy comprehensive evaluation model of supply chain and the mean fuzzy analytic hierarchy process, the competition of agricultural product supply chain is established Dimension analysis model. The experimental results show that the performance score of agricultural product supply chain is higher, the accuracy of supply chain information diagnosis is higher, and the clustering of agricultural product supply chain information diagnosis is better.</t>
  </si>
  <si>
    <t>[Chen, Jing] Jinhua Polytech, Sch Econ &amp; Management, Jinhua, Zhejiang, Peoples R China</t>
  </si>
  <si>
    <t>Jinhua Polytechnic</t>
  </si>
  <si>
    <t>Chen, J (corresponding author), Jinhua Polytech, Sch Econ &amp; Management, Jinhua, Zhejiang, Peoples R China.</t>
  </si>
  <si>
    <t>jc0217@163.com</t>
  </si>
  <si>
    <t>10.3233/JIFS-210962</t>
  </si>
  <si>
    <t>US3NM</t>
  </si>
  <si>
    <t>WOS:000697340200071</t>
  </si>
  <si>
    <t>Merneedi, A; Palisetty, R</t>
  </si>
  <si>
    <t>Merneedi, Anjibabu; Palisetty, Ramesh</t>
  </si>
  <si>
    <t>Prediction of drivers' impact on green supply chain management using deep learning algorithm</t>
  </si>
  <si>
    <t>ENVIRONMENTAL SCIENCE AND POLLUTION RESEARCH</t>
  </si>
  <si>
    <t>GSCM; Restructuring GSCM; Risk and security consciousness; Urbanization</t>
  </si>
  <si>
    <t>PERFORMANCE EVALUATION; NETWORK DESIGN; OPTIMIZATION; MODEL; SELECTION; SUSTAINABILITY; FRAMEWORK; INDUSTRY; SYSTEMS</t>
  </si>
  <si>
    <t>Nowadays, for controlling the organizations' environmental impact and attaining performance enhancement in industries, green supply chain management (GSCM) plays a significant role. This work considers four major drivers and five primary dimensions for the deployment of GSCM systems in industries. The five primary dimensions are consumer intrusiveness, restructuring quality of supply chain, risk and security consciousness, and urbanization in the region leather industry, and the four major drivers are the effectiveness, features, significance, and limitations of the restructured GSCM system. Additionally, this paper investigates the primary factors that are used for deploying the GSCM system in leather industries located in the northern part of Tamil Nadu. Initially, the survey questions are prepared based on the concept and distributed to the authorities of industries. For the survey questions provided to various industries, three leather industries properly answered all the questions. Each question is mandatory. Then, the collected data were analyzed using the deep belief network (DBN) to measure the impact of primary drivers in implementing the GSCM system in industries. The performance of the proposed system is analyzed with various existing methods in terms of accuracy, precision, f-measure, etc. The proposed framework's implementation has implications for increasing organizational efficiency, lowering costs, minimizing waste, and encouraging green culture among personnel. This study will aid in the development of policies and a better knowledge of how to implement green innovation methods.</t>
  </si>
  <si>
    <t>[Merneedi, Anjibabu] Aditya Coll Engn, Dept Mech Engn, Surampalem 533437, Andhra Pradesh, India; [Palisetty, Ramesh] Vignans Inst Informat Technol, Dept Management Studies, Visakhapatnam 530049, Andhra Pradesh, India</t>
  </si>
  <si>
    <t>Merneedi, A (corresponding author), Aditya Coll Engn, Dept Mech Engn, Surampalem 533437, Andhra Pradesh, India.</t>
  </si>
  <si>
    <t>anjiamiable@gmail.com</t>
  </si>
  <si>
    <t>0944-1344</t>
  </si>
  <si>
    <t>1614-7499</t>
  </si>
  <si>
    <t>ENVIRON SCI POLLUT R</t>
  </si>
  <si>
    <t>Environ. Sci. Pollut. Res.</t>
  </si>
  <si>
    <t>10.1007/s11356-022-22499-7</t>
  </si>
  <si>
    <t>SEP 2022</t>
  </si>
  <si>
    <t>L5NJ8</t>
  </si>
  <si>
    <t>WOS:000849304200014</t>
  </si>
  <si>
    <t>Cheung, CF; Cheung, CM; Kwok, SK</t>
  </si>
  <si>
    <t>Cheung, C. F.; Cheung, C. M.; Kwok, S. K.</t>
  </si>
  <si>
    <t>A Knowledge-based Customization System for Supply Chain Integration</t>
  </si>
  <si>
    <t>Supply chain management; Optimization; Knowledge management; Knowledge-based system; Topology visualization; Network analysis; Radio-frequency identification</t>
  </si>
  <si>
    <t>INVENTORY MANAGEMENT; NETWORKS; COLLABORATION; DESIGN</t>
  </si>
  <si>
    <t>Hostile environmental pressure on supply chain management increases emphasis on supply chain agility, integration, and visibility to respond rapidly, effectively and efficiently to changes in the marketplace. There is a need for new methods and tools to visualize the supply chain topologies which captures and recognizes the complexity of the supply chain network. This paper presents a Knowledge-based Customization System for Supply Chain Integration (KCSSI) which is developed based on three core technologies: visualization of topologies, network analysis, and knowledge-based system so as to obtain quantified actionable information and formulating strategies for supply chain configuration leading the long term success. The performance of the system is verified by a series of controlled simulation experiments conducted in a selected reference site. It is verified that the KCSSI improves supply chain visibility by recognizing the structure clustering and interconnection of the supply chain network, quantifying and exploiting holistic supply chain performance to provide measurable insights for the customization of the supply chain configuration leading to long term success. (C) 2011 Elsevier Ltd. All rights reserved.</t>
  </si>
  <si>
    <t>[Cheung, C. F.; Cheung, C. M.; Kwok, S. K.] Hong Kong Polytech Univ, Dept Ind &amp; Syst Engn, Knowledge Management Res Ctr, Kowloon, Hong Kong, Peoples R China</t>
  </si>
  <si>
    <t>Cheung, CF (corresponding author), Hong Kong Polytech Univ, Dept Ind &amp; Syst Engn, Knowledge Management Res Ctr, Kowloon, Hong Kong, Peoples R China.</t>
  </si>
  <si>
    <t>mfbenny@inet.polyu.edu.hk</t>
  </si>
  <si>
    <t>Cheung, Chi Fai/B-1146-2008; Fai, Cheung Chi/ABC-1100-2020</t>
  </si>
  <si>
    <t>Cheung, Chi Fai/0000-0002-6066-7419; Fai, Cheung Chi/0000-0002-6066-7419</t>
  </si>
  <si>
    <t>Research Committee of The Hong Kong Polytechnic University</t>
  </si>
  <si>
    <t>The authors would like to express their sincere thanks to the Research Committee of The Hong Kong Polytechnic University for the financial support of the research work.</t>
  </si>
  <si>
    <t>10.1016/j.eswa.2011.08.096</t>
  </si>
  <si>
    <t>882SH</t>
  </si>
  <si>
    <t>WOS:000299583700002</t>
  </si>
  <si>
    <t>Afsahhosseini, F; Al-Mulla, Y</t>
  </si>
  <si>
    <t>Afsahhosseini, Fatemehalsadat; Al-Mulla, Yaseen</t>
  </si>
  <si>
    <t>Smart, hybrid and context-aware POI mobile recommender system in tourism in Oman</t>
  </si>
  <si>
    <t>JOURNAL OF CULTURAL HERITAGE MANAGEMENT AND SUSTAINABLE DEVELOPMENT</t>
  </si>
  <si>
    <t>Tourism; Oman; ICT; Smart; Recommender system; Sustainable development goals</t>
  </si>
  <si>
    <t>LOCATION; GUIDE</t>
  </si>
  <si>
    <t>Purpose The purpose of this study is to identify the knowledge gap and future opportunities for developing mobile recommender system in tourism sector that lead to comfortable, targeted and attractive tourism. A recommender system improves the traditional classification algorithms and has incorporated many advanced machine learning algorithms. Design/methodology/approach Design of this application followed a smart, hybrid and context-aware recommender system, which includes various recommender systems. With the recommender system's help, useful management for time and budget is obtained for tourists, since they usually have financial and time constraints for selecting the point of interests (POIs) and so more purposeful trip planned with decreased traffic and air pollution. Findings The finding of this research showed that the inclusion of additional information about the item, user, circumstances, objects or conditions and the environment could significantly impact recommendation quality and information and communications technology has become one part of the tourism value chain. Practical implications The application consists of (1) registration: with/without social media accounts, (2) user information: country, gender, age and his/her specific interests, (3) context data: available time, alert, price, spend time, weather, location, transportation. Social implications The study's social implications include connecting the app and registration through social media to a more social relationship, with its textual reviews, or user review as user-generated content for increasing accuracy. Originality/value The originality of this research work lies on introducing a new content- and knowledge-based algorithm for POI recommendations. An Alert context emphasizing on safety, supplies and essential infrastructure is considered as a novel context for this application.</t>
  </si>
  <si>
    <t>[Afsahhosseini, Fatemehalsadat] Islamic Dev Bank, Jeddah, Saudi Arabia; [Afsahhosseini, Fatemehalsadat; Al-Mulla, Yaseen] Sultan Qaboos Univ, RS &amp; GIS Res Ctr, Muscat, Oman</t>
  </si>
  <si>
    <t>Islamic Development Bank; Sultan Qaboos University</t>
  </si>
  <si>
    <t>Afsahhosseini, F (corresponding author), Islamic Dev Bank, Jeddah, Saudi Arabia.;Afsahhosseini, F (corresponding author), Sultan Qaboos Univ, RS &amp; GIS Res Ctr, Muscat, Oman.</t>
  </si>
  <si>
    <t>afsahhosseini@gmail.com</t>
  </si>
  <si>
    <t>Al-Mulla, Yaseen/K-7990-2019</t>
  </si>
  <si>
    <t>Al-Mulla, Yaseen/0000-0003-4346-799X; Afsahhosseini, Fatemeh/0000-0003-3008-6119</t>
  </si>
  <si>
    <t>Islamic Development Bank (IsDB), Sultan Qaboos University-Remote Sensing and GIS Research Center (RSGISRC)</t>
  </si>
  <si>
    <t>The authors would like to thank Islamic Development Bank (IsDB), Sultan Qaboos University-Remote Sensing and GIS Research Center (RSGISRC) for their support. The authors also thank Olaa Al Rumaimi, a programmer from RSGISRC, for programming the OmanHeart Suggests recommender system app.</t>
  </si>
  <si>
    <t>2044-1266</t>
  </si>
  <si>
    <t>2044-1274</t>
  </si>
  <si>
    <t>J CULT HERIT MANAG S</t>
  </si>
  <si>
    <t>J. Cult. Herit. Manag. Sustain. Dev.</t>
  </si>
  <si>
    <t>2021 DEC 27</t>
  </si>
  <si>
    <t>10.1108/JCHMSD-08-2021-0148</t>
  </si>
  <si>
    <t>Green &amp; Sustainable Science &amp; Technology</t>
  </si>
  <si>
    <t>XW9LU</t>
  </si>
  <si>
    <t>WOS:000735932000001</t>
  </si>
  <si>
    <t>Chae, B; Olson, D; Sheu, C</t>
  </si>
  <si>
    <t>Chae, Bongsug (Kevin); Olson, David; Sheu, Chwen</t>
  </si>
  <si>
    <t>The impact of supply chain analytics on operational performance: a resource-based view</t>
  </si>
  <si>
    <t>manufacturing management; supply chain management; data mining</t>
  </si>
  <si>
    <t>IT-ENABLED RESOURCES; QUALITY MANAGEMENT-PRACTICES; INFORMATION-TECHNOLOGY; FIRM PERFORMANCE; BEHAVIORAL-RESEARCH; ENTERPRISE SYSTEMS; EMPIRICAL-RESEARCH; ERP; CAPABILITIES; EXTENSION</t>
  </si>
  <si>
    <t>This study seeks to better understand the role of supply chain analytics (SCA) on supply chain planning satisfaction and operational performance. We define the architecture of SCA as the integration of three sets of resources, data management resources (DMR), IT-enabled planning resources and performance management resources (PMR), from the perspective of a resource-based view. Based on the data collected from 537 manufacturing plants, we test hypotheses exploring the relationships among these resources, supply chain planning satisfaction, and operational performance. Our analysis supports that DMR should be considered a key building block of manufacturers' business analytics initiatives for supply chains. The value of data is transmitted to outcome values through increasing supply chain planning and performance capabilities. Additionally, the deployment of advanced IT-enabled planning resources occurs after acquisition of DMR. Manufacturers with sophisticated planning technologies are likely to take advantage of data-driven processes and quality control practices. DMR are found to be a stronger predictor of PMR than IT planning resources. All three sets of resources are related to supply chain planning satisfaction and operational performance. The paper concludes by reviewing research limitations and suggesting further SCA research issues.</t>
  </si>
  <si>
    <t>[Chae, Bongsug (Kevin); Sheu, Chwen] Kansas State Univ, Dept Management, Manhattan, KS 66506 USA; [Olson, David] Univ Nebraska, Coll Business Adm, Lincoln, NE USA</t>
  </si>
  <si>
    <t>Sheu, C (corresponding author), Kansas State Univ, Dept Management, Manhattan, KS 66506 USA.</t>
  </si>
  <si>
    <t>csheu@ksu.edu</t>
  </si>
  <si>
    <t>Mishra, deepa/O-7001-2016</t>
  </si>
  <si>
    <t>10.1080/00207543.2013.861616</t>
  </si>
  <si>
    <t>AM9LO</t>
  </si>
  <si>
    <t>WOS:000340203300002</t>
  </si>
  <si>
    <t>Wang, Q; Zhang, M; Li, RR</t>
  </si>
  <si>
    <t>Wang, Qiang; Zhang, Min; Li, Rongrong</t>
  </si>
  <si>
    <t>Bridging the research-practice gap in supply chain risks induced by the COVID-19</t>
  </si>
  <si>
    <t>COVID-19; Supply chain risk; Machine learning; Principle component analysis; Keyword clustering</t>
  </si>
  <si>
    <t>WEB-OF-SCIENCE; DISRUPTION RISKS; SOCIAL-SCIENCES; OPEN INNOVATION; GOOGLE-SCHOLAR; IMPACT; MANAGEMENT; SYSTEMS; SCOPUS; PERFORMANCE</t>
  </si>
  <si>
    <t>PurposeThis study aims to explore the gap between research and practice on supply chain risks due to COVID-19 by exploring the changes in global emphasis on supply chain risk research.Design/methodology/approachThis work designed a research framework to compare the research of supply chain risks before and during the COVID-19 pandemic based on machining learning and text clustering and using the relevant publications of the web of science database.FindingsThe results show that scholars' attention to supply chain crisis has increased in the wake of the COVID-19 outbreak, but there are differences among countries. The United Kingdom, India, Australia, the USA and Italy have greatly increased their emphasis on risk research, while the supply chain risk research growth rate in other countries, including China, has been lower than the global level. Compared with the pre-pandemic period, the research of business finance, telecommunications, agricultural economics policy, business and public environmental occupational health increased significantly during the pandemic. The hotspots of supply chain risk research have changed significantly during the pandemic, focusing on routing problem, organizational performance, food supply chain, dual-channel supply chain, resilient supplier selection, medical service and machine learning.Research limitations/implicationsThis study has limitations in using a single database.Social implicationsThis work compared the changes in global and various countries' supply chain risk research before and during the pandemic. On the one hand, it helps to judge the degree of response of scholars to the global supply chain risk brought about by COVID-19. On the other hand, it is beneficial for supply chain practitioners and policymakers to gain an in-depth understanding of the relationship between the COVID-19 pandemic and supply chain risk, which might provide insights into not only addressing the supply chain risk but also the recovery of the supply chain.Originality/valueThe initial exploration of the changing extent of supply chain risk research in the context of COVID-19 provided in this paper is a unique and earlier attempt that extends the findings of the existing literature. Secondly, this research provides a feasible analysis strategy for supply chain risk research, which provides a direction and paradigm for exploring more effective supply chain research to meet the challenges of COVID-19.</t>
  </si>
  <si>
    <t>[Wang, Qiang; Li, Rongrong] Xinjiang Univ, Sch Econ &amp; Management, Urumqi, Peoples R China; [Zhang, Min] China Univ Petr East China, Sch Econ &amp; Management, Qingdao, Peoples R China</t>
  </si>
  <si>
    <t>Xinjiang University; China University of Petroleum</t>
  </si>
  <si>
    <t>Wang, Q (corresponding author), Xinjiang Univ, Sch Econ &amp; Management, Urumqi, Peoples R China.</t>
  </si>
  <si>
    <t>wangqiang7@upc.edu.cn; zhangmin_upc@163.com; lirr@upc.edu.cn</t>
  </si>
  <si>
    <t>Li, Rongrong/Q-5045-2016; Wang, Qiang/F-4618-2011</t>
  </si>
  <si>
    <t>Li, Rongrong/0000-0002-8767-3026; Wang, Qiang/0000-0002-8751-8093</t>
  </si>
  <si>
    <t>National Natural Science Foundation of China; [72104246]</t>
  </si>
  <si>
    <t>National Natural Science Foundation of China(National Natural Science Foundation of China (NSFC));</t>
  </si>
  <si>
    <t>Funding: This work is supported by National Natural Science Foundation of China (Grant No. 72104246).</t>
  </si>
  <si>
    <t>10.1108/BIJ-02-2022-0111</t>
  </si>
  <si>
    <t>6I8MP</t>
  </si>
  <si>
    <t>WOS:000886385500001</t>
  </si>
  <si>
    <t>van Capelleveen, G; van Wieren, J; Amrit, C; Yazan, DM; Zijm, H</t>
  </si>
  <si>
    <t>van Capelleveen, Guido; van Wieren, Jesse; Amrit, Chintan; Yazan, Devrim Murat; Zijm, Henk</t>
  </si>
  <si>
    <t>Exploring recommendations for circular supply chain management through interactive visualisation</t>
  </si>
  <si>
    <t>DECISION SUPPORT SYSTEMS</t>
  </si>
  <si>
    <t>Circular supply chain management; Circular economy; Industrial symbiosis; Recommender systems; Exploration; Set visualisation</t>
  </si>
  <si>
    <t>DESIGN-SCIENCE RESEARCH; INDUSTRIAL SYMBIOSIS; INFORMATION; FRAMEWORK</t>
  </si>
  <si>
    <t>The new era of circular supply chain management (CSCM) produces a new complex decision area for process managers. Part of it can be attributed to green procurement, in which a large number of potential ideas need to be reviewed that can sustain business. Such a large amount of data can quickly lead to information overload, especially without the presence of appropriate decision support tools. While there exists a range of visualisation methods that can aid the exploration of recommendations, there is a lack of studies that illustrate how these exploration techniques can facilitate the identification of CSCM activities. This paper showcases a study on how to ease the identification of new sustainable business opportunities through visual data exploration. Following the design science methodology, we have designed and evaluated a recommender system prototype (the IS Identification App) that supports sector-based identification of industrial symbiosis. The interactive visualisation enhances users with more control over recommendations and makes the recommendation process more transparent. Our case study results indicate that the interactive visualisation technique is a viable, fast and effective approach for exploring recommendations that increase the sustainability of the supply chain.</t>
  </si>
  <si>
    <t>[van Capelleveen, Guido; Yazan, Devrim Murat; Zijm, Henk] Univ Twente, Dept Ind Engn &amp; Business Informat Syst, Enschede, Netherlands; [van Wieren, Jesse] Univ Twente, Fac Elect Engn Math &amp; Comp Sci, Enschede, Netherlands; [Amrit, Chintan] Univ Amsterdam, Fac Econ &amp; Business, Sect Operat Management, Amsterdam, Netherlands</t>
  </si>
  <si>
    <t>University of Twente; University of Twente; University of Amsterdam</t>
  </si>
  <si>
    <t>van Capelleveen, G (corresponding author), Univ Twente, POB 217, NL-7500 AE Enschede, Netherlands.</t>
  </si>
  <si>
    <t>g.c.vancapelleveen@utwente.nl</t>
  </si>
  <si>
    <t>Amrit, Chintan/L-7951-2015</t>
  </si>
  <si>
    <t>Amrit, Chintan/0000-0002-6310-3248; van Capelleveen, Guido/0000-0003-3538-7615</t>
  </si>
  <si>
    <t>European Union's Horizon 2020 Program [680843]</t>
  </si>
  <si>
    <t>European Union's Horizon 2020 Program</t>
  </si>
  <si>
    <t>This research is funded by European Union's Horizon 2020 Program under grant agreement No. 680843. We thank Rijkswaterstaat (The Netherlands) for providing waste statistics from `Landelijk Meldpunt Afval (LMA)' to develop and populate the IS Identification App.</t>
  </si>
  <si>
    <t>0167-9236</t>
  </si>
  <si>
    <t>1873-5797</t>
  </si>
  <si>
    <t>DECIS SUPPORT SYST</t>
  </si>
  <si>
    <t>Decis. Support Syst.</t>
  </si>
  <si>
    <t>10.1016/j.dss.2020.113431</t>
  </si>
  <si>
    <t>Computer Science, Artificial Intelligence; Computer Science, Information Systems; Operations Research &amp; Management Science</t>
  </si>
  <si>
    <t>PC2XY</t>
  </si>
  <si>
    <t>WOS:000596871300007</t>
  </si>
  <si>
    <t>Liu, CH; Ji, H; Wei, J</t>
  </si>
  <si>
    <t>Liu, Caihong; Ji, Hannah; Wei, June</t>
  </si>
  <si>
    <t>Smart Supply Chain Risk Assessment in Intelligent Manufacturing</t>
  </si>
  <si>
    <t>JOURNAL OF COMPUTER INFORMATION SYSTEMS</t>
  </si>
  <si>
    <t>Risk assessment; smart supply chain; intelligent manufacturing; entropy weight</t>
  </si>
  <si>
    <t>This paper identifies risk factors in the smart supply chain and develops a risk assessment index system for reducing potential losses in intelligent manufacturing. Specifically, based on the supply chain operation reference theory, we investigate the performance indicators and characteristics of the smart supply chain in intelligent manufacturing in China. A conceptual model for identifying risks of the smart supply chain is developed, and a questionnaire is designed to measure the risks of the smart supply chain in intelligent manufacturing. Using the hierarchical clustering analysis, an improved risk assessment model is derived with 22 risk factors based on 814 valid sample data. Moreover, the information entropy weight method is used to compute the risk weights for the smart supply chain in intelligent manufacturing. The risk weights are further verified by simulation and proved that these risk factors and risk weights have high practical efficiency. Theoretical and practical implications are also presented.</t>
  </si>
  <si>
    <t>[Liu, Caihong] Jiaxing Univ, Jiaxing, Zhejiang, Peoples R China; [Ji, Hannah] Penn State Univ, University Pk, PA 16802 USA; [Wei, June] Univ West Florida, 11000 Univ Pkwy, Pensacola, FL 32514 USA</t>
  </si>
  <si>
    <t>Jiaxing University; Pennsylvania Commonwealth System of Higher Education (PCSHE); Pennsylvania State University; Pennsylvania State University - University Park; State University System of Florida; University of West Florida</t>
  </si>
  <si>
    <t>Wei, J (corresponding author), Univ West Florida, 11000 Univ Pkwy, Pensacola, FL 32514 USA.</t>
  </si>
  <si>
    <t>jwei@uwf.edu</t>
  </si>
  <si>
    <t>Natural Science Foundation of Zhejiang Province in China [LY18G010011]; Social Science Foundation of Jiaxing University [70118001]; Research Center of Yangtze River Delta integration development Foundation of Jiaxing University [JCSJ201901]</t>
  </si>
  <si>
    <t>Natural Science Foundation of Zhejiang Province in China(Natural Science Foundation of Zhejiang Province); Social Science Foundation of Jiaxing University; Research Center of Yangtze River Delta integration development Foundation of Jiaxing University</t>
  </si>
  <si>
    <t>This research was supported by the Natural Science Foundation of Zhejiang Province in China (Grant No.LY18G010011), supported by the Social Science Foundation of Jiaxing University (Grant No.70118001), and supported by the Research Center of Yangtze River Delta integration development Foundation of Jiaxing University (Grant No.JCSJ201901).</t>
  </si>
  <si>
    <t>0887-4417</t>
  </si>
  <si>
    <t>2380-2057</t>
  </si>
  <si>
    <t>J COMPUT INFORM SYST</t>
  </si>
  <si>
    <t>J. Comput. Inf. Syst.</t>
  </si>
  <si>
    <t>10.1080/08874417.2021.1872045</t>
  </si>
  <si>
    <t>0W9JR</t>
  </si>
  <si>
    <t>WOS:000648793100001</t>
  </si>
  <si>
    <t>Wang, ZJ; Su, Q; Wang, B; Wang, J</t>
  </si>
  <si>
    <t>Wang, Zhujun; Su, Qin; Wang, Bi; Wang, Jie</t>
  </si>
  <si>
    <t>Improving Lithium-Ion Battery Supply Chain Information Security by User Behavior Monitoring Algorithm Incorporated in Cloud Enterprise Resource Planning</t>
  </si>
  <si>
    <t>lithium-ion battery supply chain; big data management; information security; user behavior monitoring algorithm; cloud enterprise resource planning</t>
  </si>
  <si>
    <t>Cloud enterprise resource planning (Cloud ERP) provides an efficient big data management solution for lithium-ion battery (LiB) enterprises. However, in the open ecological environment, Cloud ERP makes the LiB supply chain face multi-user and multi-subject interactions, which can generate sensitive data and privacy data security issues (such as user override access behavior). In this study, we take the value and information interaction into account to examine the user behaviors of the diverse stakeholders in the LiB supply chain. Therefore, a user behavior monitoring algorithm (UBMA), different from the mainstream supervised algorithms and unsupervised learning algorithms, is proposed to monitor the unsafe behaviors that may threaten data privacy in Cloud ERP. The results show that the UBMA can accurately search out the user behavior sequence where the unsafe behavior is located from a large amount of user behavior information, which reduces the complexity of directly identifying the unsafe behavior. In addition, compared with the recursive unsupervised binary classification method, the UBMA model has a lower resource consumption and higher efficiency. In addition, the UBMA has great flexibility. The UBMA can be further updated and extended by re-establishing the statistical characteristics of the standard user behavior fields to quickly adapt to user changes and function upgrades in the LiB supply chain.</t>
  </si>
  <si>
    <t>[Wang, Zhujun; Su, Qin; Wang, Bi; Wang, Jie] Xi An Jiao Tong Univ, Sch Management, Xian 710049, Peoples R China; [Wang, Zhujun; Su, Qin; Wang, Bi; Wang, Jie] State Key Lab Mfg Syst Engn, Xian 710049, Peoples R China; [Wang, Zhujun; Su, Qin; Wang, Bi; Wang, Jie] Minist Educ Proc Control &amp; Efficiency Engn, Key Lab, Xian 710049, Peoples R China</t>
  </si>
  <si>
    <t>Xi'an Jiaotong University</t>
  </si>
  <si>
    <t>Su, Q (corresponding author), Xi An Jiao Tong Univ, Sch Management, Xian 710049, Peoples R China.;Su, Q (corresponding author), State Key Lab Mfg Syst Engn, Xian 710049, Peoples R China.;Su, Q (corresponding author), Minist Educ Proc Control &amp; Efficiency Engn, Key Lab, Xian 710049, Peoples R China.</t>
  </si>
  <si>
    <t>qinsu@mail.xjtu.edu.cn</t>
  </si>
  <si>
    <t>10.3390/su15043065</t>
  </si>
  <si>
    <t>9J3UW</t>
  </si>
  <si>
    <t>WOS:000940117100001</t>
  </si>
  <si>
    <t>Leung, KH; Luk, CC; Choy, KL; Lam, HY; Lee, CKM</t>
  </si>
  <si>
    <t>Leung, K. H.; Luk, C. C.; Choy, K. L.; Lam, H. Y.; Lee, Carman K. M.</t>
  </si>
  <si>
    <t>A B2B flexible pricing decision support system for managing the request for quotation process under e-commerce business environment</t>
  </si>
  <si>
    <t>data mining; artificial intelligence; market intelligence; fuzzy association rule mining; decision support system; e-commerce</t>
  </si>
  <si>
    <t>FUZZY ASSOCIATION RULES; SUPPLY CHAIN</t>
  </si>
  <si>
    <t>In the era of digitalisation, e-commerce retail sites have become decisive channels for reaching millions of potential customers worldwide. Digital marketing strategies are formulated by the marketing teams in order to increase the traffic on their e-commerce sites, thereby boosting the sales of the products. With the massive amount of data available from the cloud, which were conventionally made with a high degree of intuition based on decision makers' knowledge and experience, can now be supported with the application of artificial intelligence techniques. This paper introduces a novel approach in applying the fuzzy association rule mining approach and the fuzzy logic technique, for discovering the factors influencing the pricing decision of products launched in e-commerce retail site, and in formulating flexible, dynamic pricing strategies for each product launched in an e-commerce site. A pricing decision support system for B2B e-commerce retail businesses, namely Smart-Quo, is developed and implemented in a Hong Kong-based B2B e-commerce retail company. A six-month pilot run reveals a significant improvement in terms of the efficiency and effectiveness in making pricing decisions on each product. The case study demonstrates the feasibility and potential benefits of applying artificial intelligence techniques in marketing management in today's digital age.</t>
  </si>
  <si>
    <t>[Leung, K. H.; Luk, C. C.; Choy, K. L.; Lam, H. Y.; Lee, Carman K. M.] Hong Kong Polytech Univ, Dept Ind &amp; Syst Engn, Hung Hom, Kowloon, Hong Kong, Peoples R China</t>
  </si>
  <si>
    <t>Choy, KL (corresponding author), Hong Kong Polytech Univ, Dept Ind &amp; Syst Engn, Hung Hom, Kowloon, Hong Kong, Peoples R China.</t>
  </si>
  <si>
    <t>kl.choy@polyu.edu.hk</t>
  </si>
  <si>
    <t>Lam, H.Y./AAA-2616-2019; Lee, Carman/G-5618-2010; Leung, KH/AAE-4272-2019</t>
  </si>
  <si>
    <t>Lam, H.Y./0000-0002-5858-1894; Leung, Eric K. H./0000-0003-2058-0287; CHOY, King Lun Tommy/0000-0001-9252-1476; Lee, Carman/0000-0001-8577-4547</t>
  </si>
  <si>
    <t>OCT 18</t>
  </si>
  <si>
    <t>10.1080/00207543.2019.1566674</t>
  </si>
  <si>
    <t>IZ7UF</t>
  </si>
  <si>
    <t>WOS:000487303600016</t>
  </si>
  <si>
    <t>Liao, SH; Chen, CM; Wu, CH</t>
  </si>
  <si>
    <t>Liao, Shu-Hsien; Chen, Chyuan-Meei; Wu, Chung-Hsin</t>
  </si>
  <si>
    <t>Mining customer knowledge for product line and brand extension in retailing</t>
  </si>
  <si>
    <t>retailing; product line extension; brand extension; data mining; association rules; cluster analysis; knowledge extraction</t>
  </si>
  <si>
    <t>MODEL; SYSTEM; RULES; DETERMINANTS; TECHNOLOGIES; COMMONALITY; MANAGEMENT; ALGORITHM; PATTERNS; TIME</t>
  </si>
  <si>
    <t>Retailing consists of the final activities and steps needed to place a product in the hands of the consumer or to provide services to the consumer. In fact, retailing is actually the last step in a supply chain that may stretch from Europe or Asia to the customer's hometown. Therefore, any firm that sells a product or provides a service to the final consumer is performing the retailing function. On the other hand, product line extension, which adds depth to an existing product line by introducing new products in the same product category, can give customers greater choice and help to protect the firm from flanking attack by a competitor. In addition, a product line extension is marketed under the same general brand as a previous item or items. Thus, to distinguish the brand extension from the other item(s) under the primary brand, the retailer can either add secondary brand identification or add a generic brand. This paper investigates product line and brand extension issues in the Taiwan branch of a leading international retailing company, Carrefour, which is a hypermarket retailer. This paper develops a relational database and proposes Apriori algorithm and K-means as methodologies for association rule and cluster analysis for data mining, which is then implemented to mine customer knowledge from household customers. Knowledge extraction by data mining results is illustrated as knowledge patterns/rules and clusters in order to propose suggestions and solutions to the case firm for product line and brand extensions and knowledge management. (C) 2007 Published by Elsevier Ltd.</t>
  </si>
  <si>
    <t>[Liao, Shu-Hsien; Chen, Chyuan-Meei; Wu, Chung-Hsin] Tamkang Univ, Dept Management Sci &amp; Decis Making, Taipei 251, Taiwan</t>
  </si>
  <si>
    <t>Liao, SH (corresponding author), Tamkang Univ, Dept Management Sci &amp; Decis Making, 151 Yingjuan Rd, Taipei 251, Taiwan.</t>
  </si>
  <si>
    <t>Liao, Shu-hsien/AAW-1885-2020</t>
  </si>
  <si>
    <t>10.1016/j.eswa.2007.01.036</t>
  </si>
  <si>
    <t>262YB</t>
  </si>
  <si>
    <t>WOS:000253183700018</t>
  </si>
  <si>
    <t>Jain, S; Kumar, V</t>
  </si>
  <si>
    <t>Jain, Sheenam; Kumar, Vijay</t>
  </si>
  <si>
    <t>Garment Categorization Using Data Mining Techniques</t>
  </si>
  <si>
    <t>SYMMETRY-BASEL</t>
  </si>
  <si>
    <t>data mining; machine learning; classification; big data; decision trees; naive bayes; bayesian forest; random forest</t>
  </si>
  <si>
    <t>DECISION TREE; CLASSIFICATION; INDUSTRY; SYSTEM; HARD; SOFT</t>
  </si>
  <si>
    <t>The apparel industry houses a huge amount and variety of data. At every step of the supply chain, data is collected and stored by each supply chain actor. This data, when used intelligently, can help with solving a good deal of problems for the industry. In this regard, this article is devoted to the application of data mining on the industry's product data, i.e., data related to a garment, such as fabric, trim, print, shape, and form. The purpose of this article is to use data mining and symmetry-based learning techniques on product data to create a classification model that consists of two subsystems: (1) for predicting the garment category and (2) for predicting the garment sub-category. Classification techniques, such as Decision Trees, Naive Bayes, Random Forest, and Bayesian Forest were applied to the 'Deep Fashion' open-source database. The data contain three garment categories, 50 garment sub-categories, and 1000 garment attributes. The two subsystems were first trained individually and then integrated using soft classification. It was observed that the performance of the random forest classifier was comparatively better, with an accuracy of 86%, 73%, 82%, and 90%, respectively, for the garment category, and sub-categories of upper body garment, lower body garment, and whole-body garment.</t>
  </si>
  <si>
    <t>[Jain, Sheenam; Kumar, Vijay] Univ Boras, Swedish Sch Text, S-50190 Boras, Sweden; [Jain, Sheenam] ENSAIT, GEMTEX, F-59100 Roubaix, France; [Jain, Sheenam] Soochow Univ, Coll Text &amp; Clothing Engn, Suzhou 215006, Peoples R China; [Jain, Sheenam] Univ Lille Nord France, F-59000 Lille, France</t>
  </si>
  <si>
    <t>University of Boras; Universite de Lille - ISITE; Universite de Lille; Ecole Nationale Superieure des Arts et Industries Textiles (ENSAIT); Soochow University - China; Universite de Lille - ISITE; Universite de Lille</t>
  </si>
  <si>
    <t>Jain, S (corresponding author), Univ Boras, Swedish Sch Text, S-50190 Boras, Sweden.;Jain, S (corresponding author), ENSAIT, GEMTEX, F-59100 Roubaix, France.;Jain, S (corresponding author), Soochow Univ, Coll Text &amp; Clothing Engn, Suzhou 215006, Peoples R China.;Jain, S (corresponding author), Univ Lille Nord France, F-59000 Lille, France.</t>
  </si>
  <si>
    <t>sheenam.jain@hb.se; vijay.kumar@hb.se</t>
  </si>
  <si>
    <t>; Chahar, Vijay Kumar/A-2782-2015</t>
  </si>
  <si>
    <t>Jain, Sheenam/0000-0001-8337-251X; Chahar, Vijay Kumar/0000-0002-3460-6989</t>
  </si>
  <si>
    <t>Education, Audiovisual and Culture Executive Agency [532704]</t>
  </si>
  <si>
    <t>Education, Audiovisual and Culture Executive Agency</t>
  </si>
  <si>
    <t>This research was funded by Education, Audiovisual and Culture Executive Agency, grant number 532704.</t>
  </si>
  <si>
    <t>2073-8994</t>
  </si>
  <si>
    <t>Symmetry-Basel</t>
  </si>
  <si>
    <t>10.3390/sym12060984</t>
  </si>
  <si>
    <t>MR9YV</t>
  </si>
  <si>
    <t>WOS:000553945600001</t>
  </si>
  <si>
    <t>Buttermann, G; Germain, R; Iyer, KNS</t>
  </si>
  <si>
    <t>Buttermann, Garry; Germain, Richard; Iyer, Karthik N. S.</t>
  </si>
  <si>
    <t>Contingency theory fit as gestalt: An application to supply chain management</t>
  </si>
  <si>
    <t>TRANSPORTATION RESEARCH PART E-LOGISTICS AND TRANSPORTATION REVIEW</t>
  </si>
  <si>
    <t>contingency theory; supply chain; organizational fit</t>
  </si>
  <si>
    <t>ORGANIZATIONAL-STRUCTURE; MARKET ORIENTATION; PERFORMANCE; STRATEGY; SIZE; INNOVATIONS; ENVIRONMENT; TECHNOLOGY; ARCHETYPES; PARADIGM</t>
  </si>
  <si>
    <t>The research applies the fit as gestalt perspective to supply chain management. Constructed on clustering supply chain information technology and organizational structure variables, six archetypes are identified: (1) Simple, Low Performers; (2) Market Performiers; (3) Average Players: Large and ON, (4) Internally Integrated Loll, Performers; (5) Masters of Eefficiency: Technocratic, Complex, and Decentralized; and (6) Two-time Winners. The archetypes differ in terms of performance not only because of their unique supply chain information technology and organizational structure attributes, but also because of how the selected set of attributes fits the context of the firm. (C) 2008 Elsevier Ltd. All rights reserved.</t>
  </si>
  <si>
    <t>[Buttermann, Garry; Germain, Richard] Univ Louisville, Coll Business, Louisville, KY 40292 USA; [Iyer, Karthik N. S.] Univ No Iowa, Dept Mkt, Coll Business Adm, Cedar Falls, IA 50614 USA</t>
  </si>
  <si>
    <t>University of Louisville; University of Northern Iowa</t>
  </si>
  <si>
    <t>Buttermann, G (corresponding author), Univ Louisville, Coll Business, Louisville, KY 40292 USA.</t>
  </si>
  <si>
    <t>ggbutt01@louisville.edu; Richard.Germain@louisville.edu; Karthik.Iyer@uni.edu</t>
  </si>
  <si>
    <t>germain, richard/A-8185-2009</t>
  </si>
  <si>
    <t>1366-5545</t>
  </si>
  <si>
    <t>TRANSPORT RES E-LOG</t>
  </si>
  <si>
    <t>Transp. Res. Pt. e-Logist. Transp. Rev.</t>
  </si>
  <si>
    <t>10.1016/j.tre.2007.05.012</t>
  </si>
  <si>
    <t>Economics; Engineering, Civil; Operations Research &amp; Management Science; Transportation; Transportation Science &amp; Technology</t>
  </si>
  <si>
    <t>Business &amp; Economics; Engineering; Operations Research &amp; Management Science; Transportation</t>
  </si>
  <si>
    <t>351YF</t>
  </si>
  <si>
    <t>WOS:000259461200001</t>
  </si>
  <si>
    <t>Alfian, G; Rhee, J; Ahn, H; Lee, J; Farooq, U; Ijaz, MF; Syaekhoni, MA</t>
  </si>
  <si>
    <t>Alfian, Ganjar; Rhee, Jongtae; Ahn, Hyejung; Lee, Jaeho; Farooq, Umar; Ijaz, Muhammad Fazal; Syaekhoni, M. Alex</t>
  </si>
  <si>
    <t>Integration of RFID, wireless sensor networks, and data mining in an e-pedigree food traceability system</t>
  </si>
  <si>
    <t>JOURNAL OF FOOD ENGINEERING</t>
  </si>
  <si>
    <t>e-pedigree; Traceability; RFID; WSN; Data mining</t>
  </si>
  <si>
    <t>QUALITY; SAFETY; IDENTIFICATION; PRODUCTS; CHAIN</t>
  </si>
  <si>
    <t>Due to the growing customer health awareness, food quality and safety has gained considerable attention. Therefore, consumer demand for complete visibility of food quality and history along the supply chain has significantly increased. This study proposes an e-pedigree food traceability system, utilizing radio frequency identification technology to track and trace product location and wireless sensor network to collect temperature and humidity during storage and transportation. Missing sensor data may occur in real cases, as sensor data are lost or corrupted due to many reasons. The proposed system utilizes data mining techniques to predict missing sensor data. The proposed system was tested for kimchi supply chain in Korea, and showed significant benefit to managers as well as customers by providing real-time location as well as complete temperature and humidity history. The multilayer perceptron model provided the best prediction accuracy for missing sensor data compared to other models. The proposed e-pedigree food traceability system will help managers optimize food distribution while also increasing customer satisfaction, as it can monitor product freshness. (C) 2017 Elsevier Ltd. All rights reserved.</t>
  </si>
  <si>
    <t>[Alfian, Ganjar; Lee, Jaeho] Dongguk Univ Seoul, Nano Informat Technol Acad, U SCM Res Ctr, Seoul 100715, South Korea; [Rhee, Jongtae; Ahn, Hyejung; Farooq, Umar; Ijaz, Muhammad Fazal; Syaekhoni, M. Alex] Dongguk Univ Seoul, Dept Ind &amp; Syst Engn, Seoul 100715, South Korea</t>
  </si>
  <si>
    <t>Alfian, G (corresponding author), Dongguk Univ Seoul, Nano Informat Technol Acad, U SCM Res Ctr, Seoul 100715, South Korea.</t>
  </si>
  <si>
    <t>ganjar@dongguk.edu</t>
  </si>
  <si>
    <t>Alfian, Ganjar/P-5217-2018; Farooq, Umar/AAL-8838-2021</t>
  </si>
  <si>
    <t>Alfian, Ganjar/0000-0002-3273-1452; Farooq, Umar/0000-0003-3432-7119; Ijaz, Muhammad Fazal/0000-0001-5206-272X</t>
  </si>
  <si>
    <t>Ministry for Food, Agriculture, Forestry, and Fisheries through the Agriculture Research Center [710003-07-7-SB210]</t>
  </si>
  <si>
    <t>Ministry for Food, Agriculture, Forestry, and Fisheries through the Agriculture Research Center</t>
  </si>
  <si>
    <t>This work was supported by the Ministry for Food, Agriculture, Forestry, and Fisheries through the Agriculture Research Center under Grant 710003-07-7-SB210.</t>
  </si>
  <si>
    <t>0260-8774</t>
  </si>
  <si>
    <t>1873-5770</t>
  </si>
  <si>
    <t>J FOOD ENG</t>
  </si>
  <si>
    <t>J. Food Eng.</t>
  </si>
  <si>
    <t>10.1016/j.jfoodeng.2017.05.008</t>
  </si>
  <si>
    <t>Engineering, Chemical; Food Science &amp; Technology</t>
  </si>
  <si>
    <t>Engineering; Food Science &amp; Technology</t>
  </si>
  <si>
    <t>FD3CC</t>
  </si>
  <si>
    <t>WOS:000407410100008</t>
  </si>
  <si>
    <t>Dumitrascu, O; Dumitrascu, M; Dobrota, D</t>
  </si>
  <si>
    <t>Dumitrascu, Oana; Dumitrascu, Manuel; Dobrota, Dan</t>
  </si>
  <si>
    <t>Performance Evaluation for a Sustainable Supply Chain Management System in the Automotive Industry Using Artificial Intelligence</t>
  </si>
  <si>
    <t>performance evaluation; artificial intelligence; neural network; data mining; key performance indicator; risk management</t>
  </si>
  <si>
    <t>FINANCE</t>
  </si>
  <si>
    <t>Increasing the sustainability of a system can be achieved by evaluating the system, identifying the issues and their root cause and solving them. Performance evaluation translates into key performance indicators (KPIs) with a high impact on increasing overall efficacy and efficiency. As the pool of KPIs has increased over time in the context of evaluating the supply chain management (SCM) system's performance and assessing, communicating and managing its risks, a mathematical model based on neural networks has been developed. The SCM system has been structured into subsystems with the most relevant KPIs for set subsystems and their most important contributions on the increase in the overall SCM system performance and sustainability. As a result of the performed research based on the interview method, the five most relevant KPIs of each SCM subsystem and the most relevant problems are underlined. The main goal of this paper is to develop a performance evaluation model that links specific problems with the most relevant KPIs for every subsystem of the supply chain management. This paper demonstrates that by using data mining, the relationship between certain problems that appear in the supply chain management of every company and specific KPIs can be identified. The paper concludes with a graphical user interface (GUI) based on neural networks using the multilayer perceptron artificial intelligence algorithm where the most trustworthy KPIs for each selected problem can be predicted. This aspect provides a highly innovative contribution in solving supply chain management problems provided by organizations by allowing them to holistically track, communicate, analyze and improve the SCM system and ensure overall system sustainability.</t>
  </si>
  <si>
    <t>[Dumitrascu, Oana; Dumitrascu, Manuel; Dobrota, Dan] Lucian Blaga Univ Sibiu, Fac Engn, Ind Machines &amp; Equipment Dept, Sibiu 550025, Romania</t>
  </si>
  <si>
    <t>Lucian Blaga University of Sibiu</t>
  </si>
  <si>
    <t>Dumitrascu, O (corresponding author), Lucian Blaga Univ Sibiu, Fac Engn, Ind Machines &amp; Equipment Dept, Sibiu 550025, Romania.</t>
  </si>
  <si>
    <t>oana.dumitrascu@ulbsibiu.ro; manuel.dumitrascu@ulbsibiu.ro; dan.dobrota@ulbsibiu.ro</t>
  </si>
  <si>
    <t>Dobrota, Dan/AAK-8989-2021</t>
  </si>
  <si>
    <t>Dobrota, Dan/0000-0002-2202-7701; DUMITRASCU, OANA/0000-0002-7620-3379</t>
  </si>
  <si>
    <t>Lucian Blaga University of Sibiu; Hasso Plattner Foundation [LBUS-IRG-2019-05]</t>
  </si>
  <si>
    <t>Lucian Blaga University of Sibiu; Hasso Plattner Foundation</t>
  </si>
  <si>
    <t>This research was funded by Lucian Blaga University of Sibiu and Hasso Plattner Foundation, research grant LBUS-IRG-2019-05.</t>
  </si>
  <si>
    <t>10.3390/pr8111384</t>
  </si>
  <si>
    <t>OY7EL</t>
  </si>
  <si>
    <t>WOS:000594406300001</t>
  </si>
  <si>
    <t>Clancy, R; O'Sullivan, D; Bruton, K</t>
  </si>
  <si>
    <t>Clancy, Rose; O'Sullivan, Dominic; Bruton, Ken</t>
  </si>
  <si>
    <t>Data-driven quality improvement approach to reducing waste in manufacturing</t>
  </si>
  <si>
    <t>Digitisation; Digital manufacturing; Six sigma; CRISP-DM; Quality improvement; Data mining</t>
  </si>
  <si>
    <t>INDUSTRY 4.0 READINESS; BIG DATA ANALYTICS; LEAN PRODUCTION; IMPACT</t>
  </si>
  <si>
    <t>PurposeData-driven quality management systems, brought about by the implementation of digitisation and digital technologies, is an integral part of improving supply chain management performance. The purpose of this study is to determine a methodology to aid the implementation of digital technologies and digitisation of the supply chain to enable data-driven quality management and the reduction of waste from manufacturing processes.Design/methodology/approachMethodologies from both the quality management and data science disciplines were implemented together to test their effectiveness in digitalising a manufacturing process to improve supply chain management performance. The hybrid digitisation approach to process improvement (HyDAPI) methodology was developed using findings from the industrial use case.FindingsUpon assessment of the existing methodologies, Six Sigma and CRISP-DM were found to be the most suitable process improvement and data mining methodologies, respectively. The case study revealed gaps in the implementation of both the Six Sigma and CRISP-DM methodologies in relation to digitisation of the manufacturing process.Practical implicationsValuable practical learnings borne out of the implementation of these methodologies were used to develop the HyDAPI methodology. This methodology offers a pragmatic step by step approach for industrial practitioners to digitally transform their traditional manufacturing processes to enable data-driven quality management and improved supply chain management performance.Originality/valueThis study proposes the HyDAPI methodology that utilises key elements of the Six Sigma DMAIC and the CRISP-DM methodologies along with additions proposed by the author, to aid with the digitisation of manufacturing processes leading to data-driven quality management of operations within the supply chain.</t>
  </si>
  <si>
    <t>[Clancy, Rose] Univ Coll Cork, Civil Engn, Cork, Ireland; [O'Sullivan, Dominic; Bruton, Ken] Univ Coll Cork, Sch Engn, Cork, Ireland</t>
  </si>
  <si>
    <t>University College Cork; University College Cork</t>
  </si>
  <si>
    <t>Clancy, R (corresponding author), Univ Coll Cork, Civil Engn, Cork, Ireland.</t>
  </si>
  <si>
    <t>rosieclancy97@gmail.com; dominic.osullivan@ucc.ie; ken.bruton@ucc.ie</t>
  </si>
  <si>
    <t>O' Sullivan, Dominic/0000-0001-7370-471X; Bruton, Dr Ken/0000-0002-6509-2554</t>
  </si>
  <si>
    <t>Science Foundation Ireland (SFI) through MaREI; SFI Research Centre for Energy, Climate, and Marine [12/RC/2302_P2]; DePuy Synthes</t>
  </si>
  <si>
    <t>Science Foundation Ireland (SFI) through MaREI(Science Foundation Ireland); SFI Research Centre for Energy, Climate, and Marine; DePuy Synthes</t>
  </si>
  <si>
    <t>This publication has emanated from research that was part-funded by Science Foundation Ireland (SFI) through MaREI, the SFI Research Centre for Energy, Climate, and Marine [Grant No: 12/RC/2302_P2], with supporting funding obtained from DePuy Synthes. For the purpose of Open Access, the author has applied a CC BY public copyright license to any Author Accepted Manuscript version arising from this submission.</t>
  </si>
  <si>
    <t>10.1108/TQM-02-2021-0061</t>
  </si>
  <si>
    <t>8E3XH</t>
  </si>
  <si>
    <t>WOS:000918910000004</t>
  </si>
  <si>
    <t>Symeonidis, AL; Kehagias, DD; Mitkas, PA</t>
  </si>
  <si>
    <t>Intelligent policy recommendations on enterprise resource planning by the use of agent technology and data mining techniques</t>
  </si>
  <si>
    <t>supply chain management; customer relationship management; data mining; multi-agent systems; agent training</t>
  </si>
  <si>
    <t>Enterprise Resource Planning systems tend to deploy Supply Chain Management and/or Customer Relationship Management techniques, in order to successfully fuse information to customers, suppliers, manufacturers and warehouses, and therefore minimize system-wide costs while satisfying service level requirements. Although efficient, these systems are neither versatile nor adaptive, since newly discovered customer trends cannot be easily integrated with existing knowledge. Advancing on the way the above mentioned techniques apply on ERP systems, we have developed a multi-agent system that introduces adaptive intelligence as a powerful add-on for ERP software customization. The system can be thought of as a recommendation engine, which takes advantage of knowledge gained through the use of data mining techniques, and incorporates it into the resulting company selling policy. The intelligent agents of the system can be periodically retrained as new information is added to the ERP. In this paper, we present the architecture and development details of the system, and demonstrate its application on a real test case. (C) 2003 Elsevier Ltd. All rights reserved.</t>
  </si>
  <si>
    <t>Aristotle Univ Thessaloniki, Dept Elect &amp; Comp Engn, Thessaloniki 54124, Greece; CERTH, Informat &amp; Telemat Inst, Lab Intelligent Syst &amp; Software Engn, Thessaloniki, Greece</t>
  </si>
  <si>
    <t>Aristotle University of Thessaloniki; Centre for Research &amp; Technology Hellas</t>
  </si>
  <si>
    <t>Symeonidis, AL (corresponding author), Aristotle Univ Thessaloniki, Dept Elect &amp; Comp Engn, Thessaloniki 54124, Greece.</t>
  </si>
  <si>
    <t>asymeon@iti.gr</t>
  </si>
  <si>
    <t>Symeonidis, Andreas/N-3313-2015; Kehagias, Dionysios/H-9091-2016</t>
  </si>
  <si>
    <t>Symeonidis, Andreas/0000-0003-0235-6046; Kehagias, Dionysios/0000-0002-6912-3493</t>
  </si>
  <si>
    <t>10.1016/S0957-4174(03)00099-X</t>
  </si>
  <si>
    <t>720CF</t>
  </si>
  <si>
    <t>WOS:000185243400009</t>
  </si>
  <si>
    <t>Vries, D; van den Akker, B; Vonk, E; de Jong, W; van Summeren, J</t>
  </si>
  <si>
    <t>Vries, D.; van den Akker, B.; Vonk, E.; de Jong, W.; van Summeren, J.</t>
  </si>
  <si>
    <t>Application of machine learning techniques to predict anomalies in water supply networks</t>
  </si>
  <si>
    <t>WATER SCIENCE AND TECHNOLOGY-WATER SUPPLY</t>
  </si>
  <si>
    <t>anomaly detection; machine learning; online monitoring; water supply networks</t>
  </si>
  <si>
    <t>Methods to improve the operational efficiency of a water supply network by early detection of anomalies are investigated by making use of the data streams from multiple sensor locations within the network. The water supply network is a demonstration site of Vitens, a Dutch water company that has several district metering areas where flow, pressure, electrical conductance and temperature are measured and logged online. Three different machine learning approaches are tested for their feasibility to detect anomalies. In the first approach, day-dependent support vector regression (SVR) models are trained for predicting the measurement signals and compared to straightforward models using mean and median estimates, respectively. Using SVRs or the averaged data as real-time pattern recognizers on all available signals, large leakages can be detected. The second approach utilizes adaptive orthogonal projections and reports an event when the number of hidden variables required to describe the streaming data to a user-defined degree (energy-level threshold) increases. As a third approach, (unsupervised) clustering techniques are applied to detect anomalies and underlying patterns from the raw data streams. Preliminary results indicate that the current dataset is too limited in the amount of events and patterns to harness the potential of these techniques.</t>
  </si>
  <si>
    <t>[Vries, D.; van den Akker, B.; Vonk, E.; van Summeren, J.] KWR Watercycle Res Inst, POB 1072, NL-3430 BB Nieuwegein, Netherlands; [de Jong, W.] Vitens NV, POB 1090, NL-8200 BB Lelystad, Netherlands</t>
  </si>
  <si>
    <t>KWR Watercycle Research Institute</t>
  </si>
  <si>
    <t>Vries, D (corresponding author), KWR Watercycle Res Inst, POB 1072, NL-3430 BB Nieuwegein, Netherlands.</t>
  </si>
  <si>
    <t>dirk.vries@kwrwater.nl</t>
  </si>
  <si>
    <t>Vries, Dirk/0000-0003-2920-5926</t>
  </si>
  <si>
    <t>Topconsortia for Knowledge &amp; Innovation (TKIs) of the Dutch Ministry of Economic Affairs</t>
  </si>
  <si>
    <t>This activity is co-financed with TKI-funding from the Topconsortia for Knowledge &amp; Innovation (TKIs) of the Dutch Ministry of Economic Affairs. We thank the partners within the TKI project for their ideas and cooperation: Slavco Velickov (formerly Hydrologic), Jonathan van der Wielen (Hydrologic), Johan Fitie and Eelco Trietsch (Vitens), Sijbrand Balkema (formerly Hydrologic, now Royal HaskoningDHV), Henk van Duist (PWN), and Perry van der Marel (WLN).</t>
  </si>
  <si>
    <t>WATER SCI TECH-W SUP</t>
  </si>
  <si>
    <t>Water Sci. Technol.-Water Supply</t>
  </si>
  <si>
    <t>10.2166/ws.2016.062</t>
  </si>
  <si>
    <t>EG5XQ</t>
  </si>
  <si>
    <t>WOS:000391118500006</t>
  </si>
  <si>
    <t>Barros, J; Gonçalves, JNC; Cortez, P; Carvalho, MS</t>
  </si>
  <si>
    <t>Barros, Julio; Goncalves, Joao N. C.; Cortez, Paulo; Carvalho, M. Sameiro</t>
  </si>
  <si>
    <t>A decision support system based on a multivariate supervised regression strategy for estimating supply lead times</t>
  </si>
  <si>
    <t>ENGINEERING APPLICATIONS OF ARTIFICIAL INTELLIGENCE</t>
  </si>
  <si>
    <t>Supply chain risks; Lead time uncertainty; Safety stock; Data mining; Big data</t>
  </si>
  <si>
    <t>MACHINE LEARNING ALGORITHMS; BIG DATA ANALYTICS; INVENTORY MANAGEMENT; CHAIN MANAGEMENT; IMPACT; PREDICTION; UNCERTAINTY; CLASSIFICATION; OPTIMIZATION; INFORMATION</t>
  </si>
  <si>
    <t>Supply lead time constitutes a core parameter in inventory management and plays a critical role in supply chain performance. Yet, how to promote better supply lead time estimations that account for multivariate effects of historical supplier dynamics remains poorly understood. This paper proposes a decision support system that uses a supervised regression strategy with multivariate information for estimating supply lead times. We combine ideas from big data analytics and data mining to explore the effects of different supply-related variables on the dynamics of supply lead time. We design a robust rolling window evaluation scheme to compare both the statistical and inventory performance of different well-known data mining models. Numerical tests with empirical data from a large automotive manufacturer demonstrate that the Random Forest model consistently outperforms other competing models, leading to median decreases of 18%-24% in the mean absolute errors of supply lead time estimations. As a consequence of our results, we also provide insights on how these estimations contribute to the proactive management of safety stocks.</t>
  </si>
  <si>
    <t>[Barros, Julio; Cortez, Paulo] Univ Minho, Dept Informat Syst, ALGORITMI LASI Res Ctr, P-4800058 Braga, Portugal; [Goncalves, Joao N. C.] Catholic Univ Portugal, Inst Comp &amp; Data Sci, P-4710362 Braga, Portugal; [Goncalves, Joao N. C.; Carvalho, M. Sameiro] Univ Minho, Dept Prod &amp; Syst, ALGORITMI LASI Res Ctr, P-4710057 Braga, Portugal</t>
  </si>
  <si>
    <t>Universidade do Minho; Universidade Catolica Portuguesa; Universidade do Minho</t>
  </si>
  <si>
    <t>Barros, J (corresponding author), Univ Minho, Dept Informat Syst, ALGORITMI LASI Res Ctr, P-4800058 Braga, Portugal.</t>
  </si>
  <si>
    <t>julio.barros@dsi.uminho.pt; jngoncalves@ucp.pt; pcortez@dsi.uminho.pt; sameiro@dps.uminho.pt</t>
  </si>
  <si>
    <t>Barros, Júlio/IQW-9532-2023; carvalho, maria/E-6812-2012</t>
  </si>
  <si>
    <t>Barros, Júlio/0000-0002-2479-885X; carvalho, maria/0000-0001-7057-6775; Goncalves, Joao N. C./0000-0002-0933-1995</t>
  </si>
  <si>
    <t>FCT - Fundasao para a Ciencia e Tecnologia [UIDB/00319/2020, PD/BDE/142895/2018]</t>
  </si>
  <si>
    <t>FCT - Fundasao para a Ciencia e Tecnologia</t>
  </si>
  <si>
    <t>This work was supported by the FCT - Fundasao para a Ciencia e Tecnologia under R &amp; amp;D Units Project Scope: UIDB/00319/2020 and the PhD grant: PD/BDE/142895/2018.</t>
  </si>
  <si>
    <t>0952-1976</t>
  </si>
  <si>
    <t>1873-6769</t>
  </si>
  <si>
    <t>ENG APPL ARTIF INTEL</t>
  </si>
  <si>
    <t>Eng. Appl. Artif. Intell.</t>
  </si>
  <si>
    <t>10.1016/j.engappai.2023.106671</t>
  </si>
  <si>
    <t>Automation &amp; Control Systems; Computer Science, Artificial Intelligence; Engineering, Multidisciplinary; Engineering, Electrical &amp; Electronic</t>
  </si>
  <si>
    <t>Automation &amp; Control Systems; Computer Science; Engineering</t>
  </si>
  <si>
    <t>N3NI0</t>
  </si>
  <si>
    <t>WOS:001036115900001</t>
  </si>
  <si>
    <t>Drzymalski, J</t>
  </si>
  <si>
    <t>Drzymalski, Julie</t>
  </si>
  <si>
    <t>A MEASURE OF SUPPLY CHAIN COMPLEXITY INCORPORATING VIRTUAL ARCS</t>
  </si>
  <si>
    <t>JOURNAL OF SYSTEMS SCIENCE AND SYSTEMS ENGINEERING</t>
  </si>
  <si>
    <t>Supply chain; complexity; clustering; virtual networks</t>
  </si>
  <si>
    <t>ADAPTIVE SYSTEMS; NETWORK; RISKS</t>
  </si>
  <si>
    <t>Increased globalization, as well as the ability to have virtual supply chain partners, has had numerous effects on supply chains. While some of these effects are positive, making more resilient supply chains, there are also the negative effects of scale and complexity, making these supply chains more challenging than ever to manage. Having a means to measure the complexity is crucial for today's managers to make more informed decisions. This measure must not only account for the number of arcs, but the amount of information and material carried on it, as well as incorporate the benefit that virtual arcs add to the network by increasing efficiency and reducing information, product and financial transfer costs and time. This research utilizes newer models in network clustering and complexity theory to make them applicable to supply chains and creates a new, practical approach to measuring supply chain complexity which can be easily implemented by practitioners.</t>
  </si>
  <si>
    <t>[Drzymalski, Julie] Western New England Univ, Dept Ind Engn &amp; Engn Management, Springfield, MA USA</t>
  </si>
  <si>
    <t>Western New England University</t>
  </si>
  <si>
    <t>Drzymalski, J (corresponding author), Western New England Univ, Dept Ind Engn &amp; Engn Management, Springfield, MA USA.</t>
  </si>
  <si>
    <t>jdrzymalski@wne.edu</t>
  </si>
  <si>
    <t>Drzymalski, Julie/0000-0002-0495-3277</t>
  </si>
  <si>
    <t>1004-3756</t>
  </si>
  <si>
    <t>1861-9576</t>
  </si>
  <si>
    <t>J SYST SCI SYST ENG</t>
  </si>
  <si>
    <t>J. Syst. Sci. Syst. Eng.</t>
  </si>
  <si>
    <t>10.1007/s11518-015-5290-0</t>
  </si>
  <si>
    <t>DB4XR</t>
  </si>
  <si>
    <t>WOS:000368517400005</t>
  </si>
  <si>
    <t>Alfian, G; Syafrudin, M; Fitriyani, NL; Alam, S; Pratomo, DN; Subekti, L; Octava, MQH; Yulianingsih, ND; Atmaji, FTD; Benes, F</t>
  </si>
  <si>
    <t>Alfian, Ganjar; Syafrudin, Muhammad; Fitriyani, Norma Latif; Alam, Sahirul; Pratomo, Dinar Nugroho; Subekti, Lukman; Octava, Muhammad Qois Huzyan; Yulianingsih, Ninis Dyah; Atmaji, Fransiskus Tatas Dwi; Benes, Filip</t>
  </si>
  <si>
    <t>Utilizing Random Forest with iForest-Based Outlier Detection and SMOTE to Detect Movement and Direction of RFID Tags</t>
  </si>
  <si>
    <t>FUTURE INTERNET</t>
  </si>
  <si>
    <t>RFID; IoT; machine learning; tag direction; outlier detection; data balancing</t>
  </si>
  <si>
    <t>In recent years, radio frequency identification (RFID) technology has been utilized to monitor product movements within a supply chain in real time. By utilizing RFID technology, the products can be tracked automatically in real-time. However, the RFID cannot detect the movement and direction of the tag. This study investigates the performance of machine learning (ML) algorithms to detect the movement and direction of passive RFID tags. The dataset utilized in this study was created by considering a variety of conceivable tag motions and directions that may occur in actual warehouse settings, such as going inside and out of the gate, moving close to the gate, turning around, and static tags. The statistical features are derived from the received signal strength (RSS) and the timestamp of tags. Our proposed model combined Isolation Forest (iForest) outlier detection, Synthetic Minority Over Sampling Technique (SMOTE) and Random Forest (RF) has shown the highest accuracy up to 94.251% as compared to other ML models in detecting the movement and direction of RFID tags. In addition, we demonstrated the proposed classification model could be applied to a web-based monitoring system, so that tagged products that move in or out through a gate can be correctly identified. This study is expected to improve the RFID gate on detecting the status of products (being received or delivered) automatically.</t>
  </si>
  <si>
    <t>[Alfian, Ganjar; Alam, Sahirul; Pratomo, Dinar Nugroho; Subekti, Lukman; Octava, Muhammad Qois Huzyan; Yulianingsih, Ninis Dyah] Univ Gadjah Mada, Vocat Coll, Dept Elect Engn &amp; Informat, Yogyakarta 55281, Indonesia; [Syafrudin, Muhammad] Sejong Univ, Dept Artificial Intelligence, Seoul 05006, South Korea; [Fitriyani, Norma Latif] Sejong Univ, Dept Data Sci, Seoul 05006, South Korea; [Atmaji, Fransiskus Tatas Dwi] Telkom Univ, Ind &amp; Syst Engn Sch, Bandung 40257, Indonesia; [Benes, Filip] VSB Tech Univ Ostrava, Fac Min &amp; Geol, Dept Econ &amp; Control Syst, Ostrava 70800, Czech Republic</t>
  </si>
  <si>
    <t>Gadjah Mada University; Sejong University; Sejong University; Telkom University; Technical University of Ostrava</t>
  </si>
  <si>
    <t>Alfian, G (corresponding author), Univ Gadjah Mada, Vocat Coll, Dept Elect Engn &amp; Informat, Yogyakarta 55281, Indonesia.;Syafrudin, M (corresponding author), Sejong Univ, Dept Artificial Intelligence, Seoul 05006, South Korea.</t>
  </si>
  <si>
    <t>ganjar.alfian@ugm.ac.id; udin@sejong.ac.kr</t>
  </si>
  <si>
    <t>Atmaji, Fransiskus Tatas Dwi/AAA-8637-2019; Fitriyani, Norma Latif/S-4105-2018; Alfian, Ganjar/P-5217-2018; Syafrudin, Muhammad/P-9657-2017</t>
  </si>
  <si>
    <t>Fitriyani, Norma Latif/0000-0002-1133-3965; Alfian, Ganjar/0000-0002-3273-1452; Syafrudin, Muhammad/0000-0002-5640-4413; Benes, Filip/0000-0001-9997-6078</t>
  </si>
  <si>
    <t>1999-5903</t>
  </si>
  <si>
    <t>Future Internet</t>
  </si>
  <si>
    <t>10.3390/fi15030103</t>
  </si>
  <si>
    <t>A6KS3</t>
  </si>
  <si>
    <t>WOS:000956196200001</t>
  </si>
  <si>
    <t>Toba, AL; Paudel, R; Lin, YQ; Mendadhala, RV; Hartley, DS</t>
  </si>
  <si>
    <t>Toba, Ange-Lionel; Paudel, Rajiv; Lin, Yingqian; Mendadhala, Rohit V.; Hartley, Damon S.</t>
  </si>
  <si>
    <t>Integrated Land Suitability Assessment for Depots Siting in a Sustainable Biomass Supply Chain</t>
  </si>
  <si>
    <t>SENSORS</t>
  </si>
  <si>
    <t>supply chain analysis; geospatial modeling; suitability analysis; ecological factors; transportation network analysis; woody crop</t>
  </si>
  <si>
    <t>SHORT-ROTATION WILLOW; NETWORK DESIGN; AGRICULTURAL LAND; SIMULATION-MODEL; ENERGY CROPS; WOODY CROPS; OPTIMIZATION; SOIL; MANAGEMENT; FRAMEWORK</t>
  </si>
  <si>
    <t>A sustainable biomass supply chain would require not only an effective and fluid transportation system with a reduced carbon footprint and costs, but also good soil characteristics ensuring durable biomass feedstock presence. Unlike existing approaches that fail to account for ecological factors, this work integrates ecological as well as economic factors for developing sustainable supply chain development. For feedstock to be sustainably supplied, it necessitates adequate environmental conditions, which need to be captured in supply chain analysis. Using geospatial data and heuristics, we present an integrated framework that models biomass production suitability, capturing the economic aspect via transportation network analysis and the environmental aspect via ecological indicators. Production suitability is estimated using scores, considering both ecological factors and road transportation networks. These factors include land cover/crop rotation, slope, soil properties (productivity, soil texture, and erodibility factor) and water availability. This scoring determines the spatial distribution of depots with priority to fields scoring the highest. Two methods for depot selection are presented using graph theory and a clustering algorithm to benefit from contextualized insights from both and potentially gain a more comprehensive understanding of biomass supply chain designs. Graph theory, via the clustering coefficient, helps determine dense areas in the network and indicate the most appropriate location for a depot. Clustering algorithm, via K-means, helps form clusters and determine the depot location at the center of these clusters. An application of this innovative concept is performed on a case study in the US South Atlantic, in the Piedmont region, determining distance traveled and depot locations, with implications on supply chain design. The findings from this study show that a more decentralized depot-based supply chain design with 3depots, obtained using the graph theory method, can be more economical and environmentally friendly compared to a design obtained from the clustering algorithm method with 2 depots. In the former, the distance from fields to depots totals 801,031,476 miles, while in the latter, it adds up to 1,037,606,072 miles, which represents about 30% more distance covered for feedstock transportation.</t>
  </si>
  <si>
    <t>[Toba, Ange-Lionel] Idaho Natl Lab, Syst Dynam &amp; Modeling, Idaho Falls, ID 83415 USA; [Paudel, Rajiv; Lin, Yingqian; Hartley, Damon S.] Idaho Natl Lab, Operat Res &amp; Anal, Idaho Falls, ID 83415 USA; [Mendadhala, Rohit V.] Idaho Natl Lab, Geospatial Data Sci &amp; Applicat, Idaho Falls, ID 83415 USA</t>
  </si>
  <si>
    <t>United States Department of Energy (DOE); Idaho National Laboratory; United States Department of Energy (DOE); Idaho National Laboratory; United States Department of Energy (DOE); Idaho National Laboratory</t>
  </si>
  <si>
    <t>Paudel, R (corresponding author), Idaho Natl Lab, Operat Res &amp; Anal, Idaho Falls, ID 83415 USA.</t>
  </si>
  <si>
    <t>rajiv.paudel@inl.gov</t>
  </si>
  <si>
    <t>Mendadhala, Rohit Venkat Gandhi/HPC-9160-2023; Hartley, Damon/B-6302-2017</t>
  </si>
  <si>
    <t>Mendadhala, Rohit Venkat Gandhi/0000-0003-4847-0880; Toba, Ange Lionel/0000-0002-4858-5269; Paudel, Rajiv/0000-0002-3203-4534; Hartley, Damon/0000-0002-3115-8527</t>
  </si>
  <si>
    <t>U.S. Department of Energy, Office of Energy Efficiency and Renewable Energy, Bioenergy Technologies Office</t>
  </si>
  <si>
    <t>U.S. Department of Energy, Office of Energy Efficiency and Renewable Energy, Bioenergy Technologies Office(United States Department of Energy (DOE))</t>
  </si>
  <si>
    <t>This work is supported by the U.S. Department of Energy, Office of Energy Efficiency and Renewable Energy, Bioenergy Technologies Office.</t>
  </si>
  <si>
    <t>1424-8220</t>
  </si>
  <si>
    <t>SENSORS-BASEL</t>
  </si>
  <si>
    <t>Sensors</t>
  </si>
  <si>
    <t>10.3390/s23052421</t>
  </si>
  <si>
    <t>Chemistry, Analytical; Engineering, Electrical &amp; Electronic; Instruments &amp; Instrumentation</t>
  </si>
  <si>
    <t>Chemistry; Engineering; Instruments &amp; Instrumentation</t>
  </si>
  <si>
    <t>9U8UE</t>
  </si>
  <si>
    <t>WOS:000947979400001</t>
  </si>
  <si>
    <t>Trapero, JR; Cardós, M; Kourentzes, N</t>
  </si>
  <si>
    <t>Trapero, Juan R.; Cardos, Manuel; Kourentzes, Nikolaos</t>
  </si>
  <si>
    <t>Empirical safety stock estimation based on kernel and GARCH models</t>
  </si>
  <si>
    <t>Forecasting; Safety stock; Risk; Supply chain; Prediction intervals; Volatility; Kernel density estimation; GARCH</t>
  </si>
  <si>
    <t>INVENTORY CONTROL; SUPPLY CHAIN; DEMAND; PERFORMANCE; AGGREGATION; ADJUSTMENTS; VARIANCE; STATE</t>
  </si>
  <si>
    <t>Supply chain risk management has drawn the attention of practitioners and academics alike. One source of risk is demand uncertainty. Demand forecasting and safety stock levels are employed to address this risk. Most previous work has focused on point demand forecasting, given that the forecast errors satisfy the typical normal i.i.d. assumption. However, the real demand for products is difficult to forecast accurately, which means that-at minimum-the i.i.d. assumption should be questioned. This work analyzes the effects of possible deviations from the i.i.d. assumption and proposes empirical methods based on kernel density estimation (non-parametric) and GARCH(1,1) models (parametric), among others, for computing the safety stock levels. The results suggest that for shorter lead times, the normality deviation is more important, and kernel density estimation is most suitable. By contrast, for longer lead times, GARCH models are more appropriate because the autocorrelation of the variance of the forecast errors is the most important deviation. In fact, even when no autocorrelation is present in the original demand, such autocorrelation can be present as a consequence of the overlapping process used to compute the lead time forecasts and the uncertainties arising in the estimation of the parameters of the forecasting model. Improvements are shown in terms of cycle service level, inventory investment and backorder volume. Simulations and real demand data from a manufacturer are used to illustrate our methodology. (C) 2018 Elsevier Ltd. All rights reserved.</t>
  </si>
  <si>
    <t>[Trapero, Juan R.] Univ Castilla La Mancha, Dept Business Adm, E-13071 Ciudad Real, Spain; [Cardos, Manuel] Univ Politecn Valencia, Dept Business Adm, E-46022 Valencia, Spain; [Kourentzes, Nikolaos] Univ Lancaster, Sch Management, Dept Management Sci, Lancaster LA1 4YX, England</t>
  </si>
  <si>
    <t>Universidad de Castilla-La Mancha; Universitat Politecnica de Valencia; Lancaster University</t>
  </si>
  <si>
    <t>Trapero, JR (corresponding author), Univ Castilla La Mancha, Dept Business Adm, E-13071 Ciudad Real, Spain.</t>
  </si>
  <si>
    <t>juanramon.trapero@uclm.es; mcardos@doe.upv.es; nikolaos@kourentzes.com</t>
  </si>
  <si>
    <t>Trapero, Juan R/B-1527-2013; Cardós, Manuel/I-1070-2015; trapero, juan/AAG-6032-2020; Cardós, Manuel/N-3152-2016</t>
  </si>
  <si>
    <t>Cardós, Manuel/0000-0002-7831-5382; trapero, juan/0000-0002-5879-3133; Cardós, Manuel/0000-0002-7831-5382; Kourentzes, Nikolaos/0000-0003-0211-5218</t>
  </si>
  <si>
    <t>European Regional Development Fund; Spanish Government (MINECO/FEDER, UE) [DPI2015-64133-R]</t>
  </si>
  <si>
    <t>European Regional Development Fund(European Union (EU)); Spanish Government (MINECO/FEDER, UE)(Spanish Government)</t>
  </si>
  <si>
    <t>This work was supported by the European Regional Development Fund and the Spanish Government (MINECO/FEDER, UE) under project reference DPI2015-64133-R. The authors would also like to thank the anonymous referees for their useful comments and suggestions.</t>
  </si>
  <si>
    <t>1873-5274</t>
  </si>
  <si>
    <t>10.1016/j.omega.2018.05.004</t>
  </si>
  <si>
    <t>HI9FH</t>
  </si>
  <si>
    <t>Green Published, Green Accepted</t>
  </si>
  <si>
    <t>WOS:000456760200014</t>
  </si>
  <si>
    <t>Szymczak, M; Ryciuk, U; Leonczuk, D; Piotrowicz, W; Witkowski, K; Nazarko, J; Jakuszewicz, J</t>
  </si>
  <si>
    <t>Szymczak, Maciej; Ryciuk, Urszula; Leonczuk, Dorota; Piotrowicz, Wojciech; Witkowski, Krzysztof; Nazarko, Joanicjusz; Jakuszewicz, Joanna</t>
  </si>
  <si>
    <t>KEY FACTORS FOR INFORMATION INTEGRATION IN THE SUPPLY CHAIN - MEASUREMENT, TECHNOLOGY AND INFORMATION CHARACTERISTICS</t>
  </si>
  <si>
    <t>JOURNAL OF BUSINESS ECONOMICS AND MANAGEMENT</t>
  </si>
  <si>
    <t>Supply Chain Performance Management (SCPM); supply chain performance measurement; information management; information integration; information sharing technologies; Exploratory Factor Analysis (EFA)</t>
  </si>
  <si>
    <t>PERFORMANCE-MEASUREMENT SYSTEMS; METRICS; COLLABORATION; BENEFITS; QUALITY; DESIGN; MODELS; IMPACT</t>
  </si>
  <si>
    <t>This paper aims to identify key factors related to information management and integration in the supply chain. The initial set of factors was identified in the literature, namely, information quality and content, performance metrics, and information technologies. The construct was then tested empirically using the sample of 200 Polish companies. Computer-Assisted Telephone Interviews (CATI) were based on a structured questionnaire, then, data exploratory factor analysis (EFA) was performed. The conducted EFA determined four main factors for information management and integration in the supply chain that should be considered, namely, information characteristics, ICT used in information management, the scope of information and shared performance metrics. Results confirmed the importance of some of the factors related to information management in the supply chain, however having a different set of variables than indicated in the literature. Additionally, research introduced new factors, namely, information characteristics and the scope of shared information, instead of information quality and information content. Moreover, findings suggested that the key role in supply chain information integration was related to established technologies, focused on transport, customer, and ERP management, while emerging technologies, such as cloud computing and data mining were not of the top importance among the surveyed companies.</t>
  </si>
  <si>
    <t>[Szymczak, Maciej] Poznan Univ Econ &amp; Business, Fac Int Business &amp; Econ, Dept Int Logist, Poznan, Poland; [Ryciuk, Urszula; Leonczuk, Dorota; Nazarko, Joanicjusz; Jakuszewicz, Joanna] Bialystok Tech Univ, Fac Engn Management, Int Chinese &amp; Cent Eastern Europe Inst Logist &amp; S, Bialystok, Poland; [Piotrowicz, Wojciech] Hanken Sch Econ, Dept Mkt Supply Chain Management &amp; Social, Helsinki, Finland; [Witkowski, Krzysztof] Univ Zielona Gora, Fac Econ &amp; Management, Dept Logist, Zielona Gora, Poland</t>
  </si>
  <si>
    <t>Poznan University of Economics &amp; Business; Bialystok University of Technology; Hanken School of Economics; University of Zielona Gora</t>
  </si>
  <si>
    <t>Nazarko, J (corresponding author), Bialystok Tech Univ, Fac Engn Management, Int Chinese &amp; Cent Eastern Europe Inst Logist &amp; S, Bialystok, Poland.</t>
  </si>
  <si>
    <t>j.nazarko@pb.edu.pl</t>
  </si>
  <si>
    <t>Szymczak, Maciej/HLQ-1671-2023; Ryciuk, Urszula/R-5547-2017; Leończuk, Dorota/R-7576-2017; Ajmi, Ghalia Al/AAB-6467-2019; Nazarko, Joanicjusz/L-1285-2016</t>
  </si>
  <si>
    <t>Szymczak, Maciej/0000-0002-1107-3390; Ryciuk, Urszula/0000-0001-6410-9601; Leończuk, Dorota/0000-0002-0424-0226; Nazarko, Joanicjusz/0000-0002-0236-2334; Piotrowicz, Wojciech/0000-0002-4598-9065</t>
  </si>
  <si>
    <t>National Science Centre, Poland [2014/13/B/HS4/03293]</t>
  </si>
  <si>
    <t>National Science Centre, Poland(National Science Centre, Poland)</t>
  </si>
  <si>
    <t>This work was supported by the National Science Centre, Poland under Grant no. 2014/13/B/HS4/03293.</t>
  </si>
  <si>
    <t>VILNIUS GEDIMINAS TECH UNIV</t>
  </si>
  <si>
    <t>VILNIUS</t>
  </si>
  <si>
    <t>SAULETEKIO AL 11, VILNIUS, LT-10223, LITHUANIA</t>
  </si>
  <si>
    <t>1611-1699</t>
  </si>
  <si>
    <t>2029-4433</t>
  </si>
  <si>
    <t>J BUS ECON MANAG</t>
  </si>
  <si>
    <t>J. Bus. Econ. Manag.</t>
  </si>
  <si>
    <t>10.3846/jbem.2018.6359</t>
  </si>
  <si>
    <t>Business; Economics</t>
  </si>
  <si>
    <t>HF7QJ</t>
  </si>
  <si>
    <t>WOS:000454434100005</t>
  </si>
  <si>
    <t>Shah, SM; Lutjen, M; Freitag, M</t>
  </si>
  <si>
    <t>Shah, Sayed Mehdi; Luetjen, Michael; Freitag, Michael</t>
  </si>
  <si>
    <t>Text Mining for Supply Chain Risk Management in the Apparel Industry</t>
  </si>
  <si>
    <t>supply chain risk management; big data and big data analytics; text mining; apparel industry; data mining techniques; future technologies</t>
  </si>
  <si>
    <t>FASHION; SUSTAINABILITY</t>
  </si>
  <si>
    <t>Text mining tools are now widely used for the efficient management of information and resources in business, academic and research organizations. This paper provides a comprehensive overview of research articles on the application of text mining techniques in the field of Supply Chain Risk Management and the apparel industry. Research articles published between 2000 and 2020, were obtained from various journals through two online databases, i.e., SCOPUS and IEEE Xplore. Through a systematic approach following PRISMA guidelines, 370 research papers were screened, filtered and finally classified into three main areas: Supply Chain Risk Management and outsourcing in the apparel industry, application of text mining in Supply Chain Risk Management and application of text mining in the apparel industry. In this study, we have identified a comprehensive list of various available data sources for text mining, methodologies and risks associated with outsourcing in the apparel industry. We classify the gaps in expanding the application of text mining in the apparel industry's Supply Chain Risk Management. Extracting useful information from online newspapers through text mining could vividly enhance the ability to monitor supply chain risks and provide the ability to link data to provide decision makers with the right information at the right time.</t>
  </si>
  <si>
    <t>[Shah, Sayed Mehdi] Univ Bremen, Int Grad Sch Dynam Logist IGS, Hsch Ring 20, D-28359 Bremen, Germany; [Shah, Sayed Mehdi; Freitag, Michael] Univ Bremen, Fac Prod Engn, Badgasteiner Str, D-28359 Bremen, Germany; [Luetjen, Michael; Freitag, Michael] Univ Bremen, BIBA Bremer Inst Prod &amp; Logist GmbH, Hsch Ring 20, D-28359 Bremen, Germany</t>
  </si>
  <si>
    <t>University of Bremen; University of Bremen; BIBA - Bremer Institut fur Produktion &amp; Logistik; University of Bremen</t>
  </si>
  <si>
    <t>Shah, SM (corresponding author), Univ Bremen, Int Grad Sch Dynam Logist IGS, Hsch Ring 20, D-28359 Bremen, Germany.;Shah, SM (corresponding author), Univ Bremen, Fac Prod Engn, Badgasteiner Str, D-28359 Bremen, Germany.</t>
  </si>
  <si>
    <t>ssm@biba.uni-bremen.de; ltj@biba.uni-bremen.de; fre@biba.uni-bremen.de</t>
  </si>
  <si>
    <t>Freitag, Michael/E-6737-2017</t>
  </si>
  <si>
    <t>Freitag, Michael/0000-0003-1767-9104; Lutjen, Michael/0000-0001-9166-5646</t>
  </si>
  <si>
    <t>German Academic Exchange Service (DAAD); Higher Education Commission of Pakistan (HEC) [57343333]; University of Bremen, Staats- und Universitatsbibliothek Bremen Bibliothekstrasse, Bremen, Germany</t>
  </si>
  <si>
    <t>German Academic Exchange Service (DAAD)(Deutscher Akademischer Austausch Dienst (DAAD)); Higher Education Commission of Pakistan (HEC)(Higher Education Commission of Pakistan); University of Bremen, Staats- und Universitatsbibliothek Bremen Bibliothekstrasse, Bremen, Germany</t>
  </si>
  <si>
    <t>This research was funded by German Academic Exchange Service (DAAD) and the Higher Education Commission of Pakistan (HEC) grant number 57343333 And The APC was funded by University of Bremen, Staats- und Universitatsbibliothek Bremen Bibliothekstrasse, 28359 Bremen, Germany.</t>
  </si>
  <si>
    <t>10.3390/app11052323</t>
  </si>
  <si>
    <t>QV5AM</t>
  </si>
  <si>
    <t>WOS:000627984300001</t>
  </si>
  <si>
    <t>Mondal, S; Tiwari, MK</t>
  </si>
  <si>
    <t>Formulation of mobile agents for integration of supply chain using the KLAIM concept</t>
  </si>
  <si>
    <t>With the ever-growing use of the internet for electronic commerce and data mining type applications, there seems to be a need for new network computing paradigms that can overcome the barriers posed by network congestion and unreliability. Mobile agent programming is a paradigm that enables programs to move from one host to another, do the processing locally and return results asynchronously. In this article, mobile computing is implemented by the use of a kernel programming language, Kernel Language for Agent Interaction and Mobility (KLAIM), to coordinate efficiently and streamline the functionality of a supply chain in terms of data transactions. The proposed KLAIM-based approach addresses the issues relating to mobility, integrity, privacy and security, which are a prime concern when operating in an open environment as normally encountered in a supply chain network. The proposed approach is supported by an example case study where an attempt is made to expedite and streamline the information transaction of a supply chain related to an automotive industry.</t>
  </si>
  <si>
    <t>Natl Inst Foundry &amp; Forge Technol, Dept Mfg Engn, Ranchi 834003, Bihar, India; Natl Inst Foundry &amp; Forge Technol, Dept Met &amp; Mat Engn, Ranchi 834003, Bihar, India</t>
  </si>
  <si>
    <t>National Institute of Foundry &amp; Forge Technology; National Institute of Foundry &amp; Forge Technology</t>
  </si>
  <si>
    <t>Tiwari, MK (corresponding author), Natl Inst Foundry &amp; Forge Technol, Dept Mfg Engn, Ranchi 834003, Bihar, India.</t>
  </si>
  <si>
    <t>mkt09@hotmail.com</t>
  </si>
  <si>
    <t>Tiwari, Manoj Kumar/B-3592-2012; Tiwari, Manoj K/B-4471-2014</t>
  </si>
  <si>
    <t>Tiwari, Manoj Kumar/0000-0001-8564-1402;</t>
  </si>
  <si>
    <t>10.1080/00207540210159662</t>
  </si>
  <si>
    <t>633RK</t>
  </si>
  <si>
    <t>WOS:000180296100007</t>
  </si>
  <si>
    <t>Babaeinesami, A; Tohidi, H; Seyedaliakbar, SM</t>
  </si>
  <si>
    <t>Babaeinesami, Abdollah; Tohidi, Hamid; Seyedaliakbar, Seyed Mohsen</t>
  </si>
  <si>
    <t>Designing a data-driven leagile sustainable closed-loop supply chain network</t>
  </si>
  <si>
    <t>INTERNATIONAL JOURNAL OF MANAGEMENT SCIENCE AND ENGINEERING MANAGEMENT</t>
  </si>
  <si>
    <t>Leagility; sustainability; supply chain; disruption risks; data mining; multi-objective optimization</t>
  </si>
  <si>
    <t>ROBUST OPTIMIZATION MODEL; ALLOCATION; ALGORITHM</t>
  </si>
  <si>
    <t>Nowadays, there is a great deal of interest in applying sustainability concepts for logistics and supply chain management. This paper proposes a new multi objective model in the area of closed loop supply chain problem integrated with lot sizing by considering lean, agility and sustainability factors simultaneously. In this regard, responsiveness, environmental, social and economic aspects are regarded in the model in addition to the capacity and service-level constraints. Most importantly, strategic and operational backup decisions are developed to increase the resiliency of the system against disruption of the facilities and routes simultaneously. In the following, a new hybrid metaheuristic algorithm comprised a parallel Multi-Objective Particle Swarm Optimization (PMOPSO) algorithm and a multi objective social engineering optimizer (MOSEO) is developed to deal with large size problems efficiency. To ensure about the effectiveness of the proposed hybrid algorithm, the results of this algorithm are compared with a Non-dominated Sorting Genetic Algorithm (NSGA-II).</t>
  </si>
  <si>
    <t>[Babaeinesami, Abdollah; Tohidi, Hamid; Seyedaliakbar, Seyed Mohsen] Islamic Azad Univ, Dept Ind Engn, South Tehran Branch, Tehran, Iran</t>
  </si>
  <si>
    <t>Islamic Azad University</t>
  </si>
  <si>
    <t>Tohidi, H (corresponding author), Islamic Azad Univ, Dept Ind Engn, South Tehran Branch, Fac Ind Engn, Tehran, Iran.</t>
  </si>
  <si>
    <t>h_tohidi@azad.ac.ir</t>
  </si>
  <si>
    <t>seyedaliakbar, seyed mohsen/I-3455-2014; Tohidi, Hamid/A-3759-2016</t>
  </si>
  <si>
    <t>Tohidi, Hamid/0000-0003-1743-4254</t>
  </si>
  <si>
    <t>1750-9653</t>
  </si>
  <si>
    <t>1750-9661</t>
  </si>
  <si>
    <t>INT J MANAG SCI ENG</t>
  </si>
  <si>
    <t>Int. J. Manag. Sci. Eng. Manag.</t>
  </si>
  <si>
    <t>10.1080/17509653.2020.1811794</t>
  </si>
  <si>
    <t>RF3XY</t>
  </si>
  <si>
    <t>WOS:000634775600002</t>
  </si>
  <si>
    <t>Sun, L; Xu, X; Yang, YB; Liu, W; Jin, JH</t>
  </si>
  <si>
    <t>Sun, Ling; Xu, Xu; Yang, Yanbin; Liu, Wei; Jin, Jiahao</t>
  </si>
  <si>
    <t>Knowledge mapping of supply chain risk research based on CiteSpace</t>
  </si>
  <si>
    <t>COMPUTATIONAL INTELLIGENCE</t>
  </si>
  <si>
    <t>CiteSpace; knowledge mapping analysis; supply chain risk</t>
  </si>
  <si>
    <t>FUZZY TOPSIS; MANAGEMENT; SUSTAINABILITY; RESILIENCE; COCITATION; OPTIMIZATION; FLEXIBILITY; TRENDS; ISSUES; LEVEL</t>
  </si>
  <si>
    <t>Supply chain risk is a relatively new research field, and research results have been published in journals, and in master and doctoral articles. In this article, we first performed a quantitative analysis of existing literature on supply chain risk indexed in Web of Science (WOS). Then, we analyzed the author, institution, keywords, research hotspot, and cocited literature of existing publications in the research field of supply chain risk by using CiteSpace. The aim of this study is to investigate the trend, geographical distribution, author distribution, research field, keywords, keyword clustering, and other features of scientific articles on supply chain risk published in global journals, using the most advanced bibliometric analysis tools. The results of this study can be used to determine the most influential research institutions and authors in the research field of supply chain risk, as well as the research hotspots in different periods, and different research directions in this field.</t>
  </si>
  <si>
    <t>[Sun, Ling; Yang, Yanbin; Liu, Wei; Jin, Jiahao] Shanghai Maritime Univ, Coll Transport &amp; Commun, Shanghai, Peoples R China; [Xu, Xu] Shanghai DianJi Univ, Business Sch, 300 Shuihua Rd, Shanghai, Peoples R China</t>
  </si>
  <si>
    <t>Shanghai Maritime University; Shanghai Dianji University</t>
  </si>
  <si>
    <t>Xu, X (corresponding author), Shanghai DianJi Univ, Business Sch, 300 Shuihua Rd, Shanghai, Peoples R China.</t>
  </si>
  <si>
    <t>xuxu007@qq.com</t>
  </si>
  <si>
    <t>Yang, Yanbin/0000-0003-0258-628X</t>
  </si>
  <si>
    <t>Key Research Topics of Decision-making Consultation of Shanghai Municipal People's Government [2019-AZ-004]; Shanghai Philosophy and Social Science Planning Project [2019ECK005]</t>
  </si>
  <si>
    <t>Key Research Topics of Decision-making Consultation of Shanghai Municipal People's Government; Shanghai Philosophy and Social Science Planning Project</t>
  </si>
  <si>
    <t>Key Research Topics of Decision-making Consultation of Shanghai Municipal People's Government, Grant/Award Number: 2019-AZ-004; Shanghai Philosophy and Social Science Planning Project, Grant/Award Number: 2019ECK005</t>
  </si>
  <si>
    <t>0824-7935</t>
  </si>
  <si>
    <t>1467-8640</t>
  </si>
  <si>
    <t>COMPUT INTELL-US</t>
  </si>
  <si>
    <t>Comput. Intell.</t>
  </si>
  <si>
    <t>10.1111/coin.12306</t>
  </si>
  <si>
    <t>OV6UR</t>
  </si>
  <si>
    <t>WOS:000561633100001</t>
  </si>
  <si>
    <t>Singh, A; Shukla, N; Mishra, N</t>
  </si>
  <si>
    <t>Singh, Akshit; Shukla, Nagesh; Mishra, Nishikant</t>
  </si>
  <si>
    <t>Social media data analytics to improve supply chain management in food industries</t>
  </si>
  <si>
    <t>Beef supply chain; Twitter data; Sentiment analysis</t>
  </si>
  <si>
    <t>BIG-DATA; SENTIMENT ANALYSIS; BUSINESS INTELLIGENCE; LIPID OXIDATION; BEEF; TWITTER; TENDERNESS; STABILITY; QUALITY; TIME</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</si>
  <si>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 (C) 2017 Elsevier Ltd. All rights reserved.</t>
  </si>
  <si>
    <t>[Singh, Akshit] Univ Manchester, Alliance Manchester Business Sch, Manchester, Lancs, England; [Shukla, Nagesh] Univ Wollongong, Fac Engn &amp; Informat Sci, SMART Infrastruct Facil, Wollongong, NSW 2522, Australia; [Mishra, Nishikant] Univ Hull, Hull Univ Business Sch, Kingston Upon Hull, N Humberside, England</t>
  </si>
  <si>
    <t>University of Manchester; Alliance Manchester Business School; University of Wollongong; University of Hull</t>
  </si>
  <si>
    <t>Singh, A (corresponding author), Univ Manchester, Alliance Manchester Business Sch, Manchester, Lancs, England.</t>
  </si>
  <si>
    <t>akshit.singh@manchester.ac.uk</t>
  </si>
  <si>
    <t>Shukla, Nagesh/X-6556-2019</t>
  </si>
  <si>
    <t>Shukla, Nagesh/0000-0002-8421-3972; Singh, Akshit/0000-0001-6498-4190</t>
  </si>
  <si>
    <t>British Academy, UK [PM130233]</t>
  </si>
  <si>
    <t>British Academy, UK</t>
  </si>
  <si>
    <t>The authors would like to thank the project 'A cross country examination of supply chain barriers on market access for small and medium firms in India and UK' (Ref no: PM130233) funded by British Academy, UK for supporting this research.</t>
  </si>
  <si>
    <t>10.1016/j.tre.2017.05.008</t>
  </si>
  <si>
    <t>GK5KV</t>
  </si>
  <si>
    <t>WOS:000436214900022</t>
  </si>
  <si>
    <t>Garcia-Castro, FL; Ruiz-Femenia, R; Salcedo-Diaz, R; Caballero, JA</t>
  </si>
  <si>
    <t>Garcia-Castro, Florencia Lujan; Ruiz-Femenia, Ruben; Salcedo-Diaz, Raquel; Caballero, Jose A.</t>
  </si>
  <si>
    <t>Sustainable supply chain design under correlated uncertainty in energy and carbon prices</t>
  </si>
  <si>
    <t>Correlated uncertainty; Energy price; Carbon price; Supply chain; Stochastic programming</t>
  </si>
  <si>
    <t>NETWORK REDESIGN</t>
  </si>
  <si>
    <t>This paper aims to provide an improvement in the modeling of supply chain designs by incorporating correlated uncertainty among multiple parameters, resulting in a more resilient design. A new methodology to generate forecasts for historically correlated time series, regardless of their underlying probability distributions, is presented and applied to generate scenarios for energy and carbon prices, which historically proved to be correlated. These scenarios are then used in a stochastic computation to obtain a three-echelon supply chain design in Europe maximizing the economic performance. The emissions were monetarized through the incorporation of the European Union cap-and-trade emissions trading system into the model. The social impact of the supply chain network is measured in terms of the direct, indirect and induced jobs it creates, which are proportional to the economic performance. By combining the developed methodology with data mining algorithms, a reduction in the number of required scenarios by more than 90% was achieved. The numerical case study moreover shows that the stochastic design ensures an average reduction of emissions by more than 3 ktons compared to the use of a deterministic approach. In comparison, the computation of a stochastic supply chain design without parameter correlation takes 5 times longer.</t>
  </si>
  <si>
    <t>[Garcia-Castro, Florencia Lujan; Ruiz-Femenia, Ruben; Salcedo-Diaz, Raquel; Caballero, Jose A.] Univ Alicante, Inst Chem Proc Engn, Apartado Correos 99, Alicante 03080, Comunidad Valen, Spain</t>
  </si>
  <si>
    <t>Universitat d'Alacant</t>
  </si>
  <si>
    <t>Garcia-Castro, FL; Ruiz-Femenia, R (corresponding author), Univ Alicante, Inst Chem Proc Engn, Apartado Correos 99, Alicante 03080, Comunidad Valen, Spain.</t>
  </si>
  <si>
    <t>flgc1@alu.ua.es; ruben.ruiz@ua.es</t>
  </si>
  <si>
    <t>Conselleria de Innovacion, Universidades, Ciencia y Sociedad Digital of the Generalitat Valenciana, Spain [PROMETEO/2020/064, PID2021-124139NB-C21]</t>
  </si>
  <si>
    <t>Conselleria de Innovacion, Universidades, Ciencia y Sociedad Digital of the Generalitat Valenciana, Spain</t>
  </si>
  <si>
    <t>The authors gratefully acknowledge financial support to the Conselleria de Innovacion, Universidades, Ciencia y Sociedad Digital of the Generalitat Valenciana, Spain, under project PROMETEO/2020/064 and PID2021-124139NB-C21.</t>
  </si>
  <si>
    <t>AUG 15</t>
  </si>
  <si>
    <t>10.1016/j.jclepro.2023.137612</t>
  </si>
  <si>
    <t>L5IM5</t>
  </si>
  <si>
    <t>WOS:001023600800001</t>
  </si>
  <si>
    <t>Bridgelall, R</t>
  </si>
  <si>
    <t>Bridgelall, Raj</t>
  </si>
  <si>
    <t>Data-Driven Deployment of Cargo Drones: A U.S. Case Study Identifying Key Markets and Routes</t>
  </si>
  <si>
    <t>ALGORITHMS</t>
  </si>
  <si>
    <t>electric and autonomous aircraft; cargo shipping disruption; data-mining techniques; sustainable supply chain; supply chain redesign</t>
  </si>
  <si>
    <t>IMPACTS</t>
  </si>
  <si>
    <t>Electric and autonomous aircraft (EAA) are set to disrupt current cargo-shipping models. To maximize the benefits of this technology, investors and logistics managers need information on target commodities, service location establishment, and the distribution of origin-destination pairs within EAA's range limitations. This research introduces a three-phase data-mining and geographic information system (GIS) algorithm to support data-driven decision-making under uncertainty. Analysts can modify and expand this workflow to scrutinize origin-destination commodity flow datasets representing various locations. The algorithm identifies four commodity categories contributing to more than one-third of the value transported by aircraft across the contiguous United States, yet only 5% of the weight. The workflow highlights 8 out of 129 regional locations that moved more than 20% of the weight of those four commodity categories. A distance band of 400 miles among these eight locations accounts for more than 80% of the transported weight. This study addresses a literature gap, identifying opportunities for supply chain redesign using EAA. The presented methodology can guide planners and investors in identifying prime target markets for emerging EAA technologies using regional datasets.</t>
  </si>
  <si>
    <t>[Bridgelall, Raj] North Dakota State Univ, Coll Business, Transportat Logist &amp; Finance, POB 6050, Fargo, ND 58108 USA</t>
  </si>
  <si>
    <t>North Dakota State University Fargo</t>
  </si>
  <si>
    <t>Bridgelall, R (corresponding author), North Dakota State Univ, Coll Business, Transportat Logist &amp; Finance, POB 6050, Fargo, ND 58108 USA.</t>
  </si>
  <si>
    <t>raj@bridgelall.com</t>
  </si>
  <si>
    <t>Bridgelall, Raj/R-6245-2018</t>
  </si>
  <si>
    <t>Bridgelall, Raj/0000-0003-3743-6652</t>
  </si>
  <si>
    <t>United States' Department of Transportation</t>
  </si>
  <si>
    <t>This research was funded by the United States' Department of Transportation, grant name Mountain Plains Consortium.</t>
  </si>
  <si>
    <t>1999-4893</t>
  </si>
  <si>
    <t>Algorithms</t>
  </si>
  <si>
    <t>10.3390/a16080373</t>
  </si>
  <si>
    <t>Computer Science, Artificial Intelligence; Computer Science, Theory &amp; Methods</t>
  </si>
  <si>
    <t>Q4LZ5</t>
  </si>
  <si>
    <t>WOS:001057263800001</t>
  </si>
  <si>
    <t>Costa, G; Manco, G; Masciari, E</t>
  </si>
  <si>
    <t>Costa, Gianni; Manco, Giuseppe; Masciari, Elio</t>
  </si>
  <si>
    <t>Dealing with trajectory streams by clustering and mathematical transforms</t>
  </si>
  <si>
    <t>JOURNAL OF INTELLIGENT INFORMATION SYSTEMS</t>
  </si>
  <si>
    <t>Spatial data; Math transforms; Clustering</t>
  </si>
  <si>
    <t>FRAMEWORK</t>
  </si>
  <si>
    <t>Nowadays, almost all kind of electronic devices leave traces of their movements (e.g. smartphone, GPS devices and so on). Thus, the huge number of this tiny data sources leads to the generation of massive data streams of geo-referenced data. As a matter of fact, the effective analysis of such amounts of data is challenging, since the possibility to extract useful information from this peculiar kind of data is crucial in many application scenarios such as vehicle traffic management, hand-off in cellular networks, supply chain management. Moreover, spatial data streams management poses new challenges both for their proper definition and acquisition, thus making the overall process harder than for classical point data. In particular, we are interested in solving the problem of effective trajectory data streams clustering, that revealed really intriguing as we deal with sequential data that have to be properly managed due to their ordering. We propose a framework that allow data pre-elaboration in order to make the mining step more effective. As for every data mining tool, the experimental evaluation is crucial, thus we performed several tests on real world datasets that confirmed the efficiency and effectiveness of the proposed approach.</t>
  </si>
  <si>
    <t>[Costa, Gianni; Manco, Giuseppe; Masciari, Elio] CNR, ICAR, Via Pietro Bucci 41C, I-87036 Arcavacata Di Rende, Italy</t>
  </si>
  <si>
    <t>Masciari, E (corresponding author), CNR, ICAR, Via Pietro Bucci 41C, I-87036 Arcavacata Di Rende, Italy.</t>
  </si>
  <si>
    <t>costa@icar.cnr.it; manco@icar.cnr.it; masciari@icar.cnr.it</t>
  </si>
  <si>
    <t>Manco, Giuseppe/O-2428-2015; Costa, Gianni/AAM-9286-2021; Costa, Gianni/IQT-0189-2023</t>
  </si>
  <si>
    <t>Manco, Giuseppe/0000-0001-9672-3833; Costa, Gianni/0000-0003-2267-9280; Masciari, Elio/0000-0002-1778-5321</t>
  </si>
  <si>
    <t>0925-9902</t>
  </si>
  <si>
    <t>1573-7675</t>
  </si>
  <si>
    <t>J INTELL INF SYST</t>
  </si>
  <si>
    <t>J. Intell. Inf. Syst.</t>
  </si>
  <si>
    <t>10.1007/s10844-013-0267-2</t>
  </si>
  <si>
    <t>Computer Science, Artificial Intelligence; Computer Science, Information Systems</t>
  </si>
  <si>
    <t>304JU</t>
  </si>
  <si>
    <t>WOS:000330743700008</t>
  </si>
  <si>
    <t>Safaei, AS; Heidarpoor, F; Paydar, MM</t>
  </si>
  <si>
    <t>Safaei, Abdul Sattar; Heidarpoor, Farnaz; Paydar, Mohammad Mandi</t>
  </si>
  <si>
    <t>Group purchasing organization design: a clustering approach</t>
  </si>
  <si>
    <t>COMPUTATIONAL &amp; APPLIED MATHEMATICS</t>
  </si>
  <si>
    <t>Group purchasing organization (GPO); Healthcare; Multi-objective model; NSGA-II; Clustering</t>
  </si>
  <si>
    <t>SUPPLY CHAIN; HEALTH-CARE</t>
  </si>
  <si>
    <t>Supply chain management is monitoring of activities involved in supply chain, for integrating and coordinating between suppliers, manufacturing, inventory and transportation both within and among members. The ultimate aim of supply chains is to reduce costs and increase market coverage. Procuring and purchasing requested items in a timely manner are the two most important issues for supply chain stockholders. Group purchasing is one of the purchasing strategies in supply chains. It offers great potential by ordering large volumes to decrease expenses which can increase services to customers. A clustering optimization approach is employed to model group purchasing for a set of pharmacies in the field of healthcare. The proposed model determines a cooperation strategy based on factors such as distance between pharmacies and procurement expenditure in this network. Moreover, the proposed multi-objective group purchasing model is optimized using both goal programming and non-dominated sorting genetic algorithm. To illustrate the application of the proposed model, designing a purchasing group organization for Chalus city pharmacies is investigated. Purchasing groups are established in the way that sum of pharmacies ordering quantity has been located in the second or the third level of discount rate. Thus, the results show that GPOs can take the advantage of this cooperation.</t>
  </si>
  <si>
    <t>[Safaei, Abdul Sattar; Heidarpoor, Farnaz; Paydar, Mohammad Mandi] Babol Noshirvani Univ Technol, Dept Ind Engn, Babol Sar, Iran</t>
  </si>
  <si>
    <t>Babol Noshirvani University of Technology</t>
  </si>
  <si>
    <t>Safaei, AS (corresponding author), Babol Noshirvani Univ Technol, Dept Ind Engn, Babol Sar, Iran.</t>
  </si>
  <si>
    <t>s.safaei@nit.ac.ir</t>
  </si>
  <si>
    <t>Safaei, Abdul sattar/AFS-3881-2022; Paydar, Mohammad Mahdi/Y-7856-2019</t>
  </si>
  <si>
    <t>Paydar, Mohammad Mahdi/0000-0002-0941-247X; Safaei, Abdul Sattar/0000-0002-6494-7784</t>
  </si>
  <si>
    <t>2238-3603</t>
  </si>
  <si>
    <t>1807-0302</t>
  </si>
  <si>
    <t>COMPUT APPL MATH</t>
  </si>
  <si>
    <t>Comput. Appl. Math.</t>
  </si>
  <si>
    <t>10.1007/s40314-017-0439-8</t>
  </si>
  <si>
    <t>Mathematics, Applied</t>
  </si>
  <si>
    <t>GG6NY</t>
  </si>
  <si>
    <t>WOS:000432815000066</t>
  </si>
  <si>
    <t>Ma, ZJ</t>
  </si>
  <si>
    <t>Ma, Zhijun</t>
  </si>
  <si>
    <t>An Optimization Algorithm of Overseas Surgical Warehouse Location of Cross- Border Medical Supply Chain Network Based on Parallel Big Data Mining</t>
  </si>
  <si>
    <t>JOURNAL OF TESTING AND EVALUATION</t>
  </si>
  <si>
    <t>parallel big data mining cross-border supply chain network; overseas warehouse; location optimization algorithm</t>
  </si>
  <si>
    <t>SELECTION; MODEL</t>
  </si>
  <si>
    <t>Because the current algorithm fails to combine the actual needs of the demand area to build the market-value evaluation system, the user satisfaction and optimal probability decrease, and the minimum cost of the system increases. This paper proposes an optimization algorithm of overseas surgical warehouse location in the cross-border medical supply chain network based on parallel big data mining. Taking the overseas warehouse location problem of cross-border e-commerce enterprises as the research background, the paper establishes an overseas warehouse with parallel big data mining technology in the case of domestic supply points determined, so as to meet the demand of the overseas market for distribution services. According to the cross-border transportation cost, local transportation cost, and warehouse building operation cost, the total logistics cost of overseas warehouse mode is composed; the actual demand of overseas warehouse location is analyzed; and the market value is introduced into the decision-making of overseas warehouse location. Through the preliminary analysis of the factors affecting the market value, combined with the level analysis method, the market-value evaluation system of demand area is constructed, and the market value right of each demand area is calculated. By introducing the concept of time window, the customer satisfaction function is established based on whether the delivery time meets the customer's psychological expectation; by introducing market value and customer satisfaction, the multi-objective location model of customer satisfaction considering cost and market value is established. The improved particle swarm optimization algorithm is applied to the multi-objective model to solve the multi-objective location problem with constraints, so as to obtain a higher market share and determine the best location. Simulation results show that the proposed algorithm can effectively improve user satisfaction and optimal probability and reduce the lowest cost of the system.</t>
  </si>
  <si>
    <t>[Ma, Zhijun] Zhengzhou Univ Aeronaut, Sch Management Sci &amp; Engn, 15 Wenyuan West Rd, Zhengzhou 450046, Henan, Peoples R China</t>
  </si>
  <si>
    <t>Zhengzhou University of Aeronautics</t>
  </si>
  <si>
    <t>Ma, ZJ (corresponding author), Zhengzhou Univ Aeronaut, Sch Management Sci &amp; Engn, 15 Wenyuan West Rd, Zhengzhou 450046, Henan, Peoples R China.</t>
  </si>
  <si>
    <t>gary_2000@126.com</t>
  </si>
  <si>
    <t>AMER SOC TESTING MATERIALS</t>
  </si>
  <si>
    <t>W CONSHOHOCKEN</t>
  </si>
  <si>
    <t>100 BARR HARBOR DR, W CONSHOHOCKEN, PA 19428-2959 USA</t>
  </si>
  <si>
    <t>0090-3973</t>
  </si>
  <si>
    <t>1945-7553</t>
  </si>
  <si>
    <t>J TEST EVAL</t>
  </si>
  <si>
    <t>J. Test. Eval.</t>
  </si>
  <si>
    <t>2022 FEB 18</t>
  </si>
  <si>
    <t>10.1520/JTE20210449</t>
  </si>
  <si>
    <t>Materials Science, Characterization &amp; Testing</t>
  </si>
  <si>
    <t>Materials Science</t>
  </si>
  <si>
    <t>6D8XH</t>
  </si>
  <si>
    <t>WOS:000882967600001</t>
  </si>
  <si>
    <t>Gopal, PRC; Rana, NP; Krishna, TV; Ramkumar, M</t>
  </si>
  <si>
    <t>Gopal, P. R. C.; Rana, Nripendra P.; Krishna, Thota Vamsi; Ramkumar, M.</t>
  </si>
  <si>
    <t>Impact of big data analytics on supply chain performance: an analysis of influencing factors</t>
  </si>
  <si>
    <t>Multi criteria decision making; TODIM; Retail supply chains; Big data practices</t>
  </si>
  <si>
    <t>MANAGEMENT-PRACTICES; MISSING LINK; BLOCKCHAINS; OPERATIONS; STRATEGY; INSIGHTS; SYSTEM; MODEL; TIME</t>
  </si>
  <si>
    <t>This paper aims to understand the impact of big data analytics on the retail supply chain. For doing so, we set our context to select the best big data practices amongst the available alternatives based on retail supply chain performance. We have applied TODIM (an acronym in Portuguese for Interactive Multi-criteria Decision Making) for the selection of the best big data analytics tools among the identified nine practices (data science, neural networks, enterprise resource planning, cloud computing, machine learning, data mining, RFID, Blockchain and IoT and Business intelligence) based on seven supply chain performance criteria (supplier integration, customer integration, cost, capacity utilization, flexibility, demand management, and time and value). One of the intriguing understandings from this paper is that most of the retail firms are in a dilemma between customer loyalty and cost while implementing the big data practices in their organization. This study analyses the dominance of the big data practices at the retail supply chain level. This helps the newly emerging retail firms in evaluating the best big data practice based on the importance and dominance of supply chain performance measures.</t>
  </si>
  <si>
    <t>[Gopal, P. R. C.; Krishna, Thota Vamsi] Natl Inst Technol Warangal, Sch Management, Warangal 506004, Telangana, India; [Rana, Nripendra P.] Qatar Univ, Coll Business &amp; Econ, POB 2713, Doha, Qatar; [Ramkumar, M.] Indian Inst Management Raipur, Operat Management &amp; Quantitat Tech Grp, Naya Raipur 493661, Chhattisgarh, India</t>
  </si>
  <si>
    <t>National Institute of Technology (NIT System); National Institute of Technology Warangal; Qatar University; Indian Institute of Management (IIM System); Indian Institute of Management Raipur</t>
  </si>
  <si>
    <t>Rana, NP (corresponding author), Qatar Univ, Coll Business &amp; Econ, POB 2713, Doha, Qatar.</t>
  </si>
  <si>
    <t>prcgopal@nitw.ac.in; nrananp@gmail.com; vamsikrishna051294@gmail.com; mramkumar@iimraipur.ac.in</t>
  </si>
  <si>
    <t>Rana, Nripendra P./ABA-4719-2020</t>
  </si>
  <si>
    <t>Rana, Nripendra P./0000-0003-1105-8729</t>
  </si>
  <si>
    <t>Qatar National Library</t>
  </si>
  <si>
    <t>Qatar National Library(Qatar National Research Fund (QNRF))</t>
  </si>
  <si>
    <t>Open Access funding provided by the Qatar National Library.</t>
  </si>
  <si>
    <t>2022 MAY 27</t>
  </si>
  <si>
    <t>10.1007/s10479-022-04749-6</t>
  </si>
  <si>
    <t>1U6KW</t>
  </si>
  <si>
    <t>WOS:000805520200001</t>
  </si>
  <si>
    <t>Uen, TS; Rodríguez , LF</t>
  </si>
  <si>
    <t>Uen, Tinn-Shuan; Rodriguez, Luis F.</t>
  </si>
  <si>
    <t>An integrated approach for sustainable food waste management towards renewable resource production and GHG reduction</t>
  </si>
  <si>
    <t>Food recovery; Supply chain; Bioresource; Waste-to-Energy; Techno-economic analysis; Biogas</t>
  </si>
  <si>
    <t>ANAEROBIC-DIGESTION; SUPPLY CHAIN; CLUSTERING-ALGORITHM; ENERGY; BIOMASS; CHALLENGES; EMISSIONS; MODEL</t>
  </si>
  <si>
    <t>Acknowledgement We thank for the support of the NSF Grant Numbers 1833225, 1639340, the USDA NIFA Grant Number ILLU-741-624, and the Taiwan-UIUC Fellowship for developing this study.</t>
  </si>
  <si>
    <t>[Uen, Tinn-Shuan; Rodriguez, Luis F.] Univ Illinois, Dept Agr &amp; Biol Engn, Champaign, IL 61801 USA; [Uen, Tinn-Shuan] 1304 W Penn Ave, Urbana, IL 61801 USA</t>
  </si>
  <si>
    <t>University of Illinois System; University of Illinois Urbana-Champaign</t>
  </si>
  <si>
    <t>Uen, TS (corresponding author), Univ Illinois, Dept Agr &amp; Biol Engn, Champaign, IL 61801 USA.;Uen, TS (corresponding author), 1304 W Penn Ave, Urbana, IL 61801 USA.</t>
  </si>
  <si>
    <t>tuen2@illinois.edu; lfr@illinois.edu</t>
  </si>
  <si>
    <t>NSF [1833225, 1639340]; USDA NIFA [ILLU-741-624]; Taiwan- UIUC Fellowship</t>
  </si>
  <si>
    <t>NSF(National Science Foundation (NSF)); USDA NIFA(United States Department of Agriculture (USDA)); Taiwan- UIUC Fellowship</t>
  </si>
  <si>
    <t>We thank for the support of the NSF Grant Numbers 1833225, 1639340, the USDA NIFA Grant Number ILLU-741-624, and the Taiwan- UIUC Fellowship for developing this study.</t>
  </si>
  <si>
    <t>AUG 1</t>
  </si>
  <si>
    <t>10.1016/j.jclepro.2023.137251</t>
  </si>
  <si>
    <t>H9EZ2</t>
  </si>
  <si>
    <t>WOS:000998920600001</t>
  </si>
  <si>
    <t>Abosuliman, SS</t>
  </si>
  <si>
    <t>Abosuliman, Shougi Suliman</t>
  </si>
  <si>
    <t>Deep learning techniques for securing cyber-physical systems in supply chain 4.0</t>
  </si>
  <si>
    <t>Cyber-physical production system; Supply chain 4; 0; Industrial revolution 4; Deep learning; Machine learning; information technology</t>
  </si>
  <si>
    <t>FRAMEWORK; SMART</t>
  </si>
  <si>
    <t>The fourth industrial revolution's transformation utilizes a Cyber-Physical System (CPS) to secure Supply Chain 4.0. It integrates manufacturing information with internet communication technology to create a smart CPS that tracks products from manufacture to customer delivery using the Internet of Things (IoT). This research uses a Machine Learning (ML) approach for network anomaly detection and constructing data-driven models to detect DDoS attacks on Industry 4.0 CPSs. Limitations of existing techniques, such as artificial data and small datasets, are addressed by capturing network traffic data from a real-world semiconductor production factory. 45 bidirectional network flow features are extracted, and labeled datasets are constructed for training and testing ML models. The proposed PCA-BSO algorithm is employed to select the most relevant features based on their eigenvalues, as the feature with the highest eigenvalues may not always improve classification accuracy. Supervised ML algorithms are evaluated through simulations to assess their performance.</t>
  </si>
  <si>
    <t>[Abosuliman, Shougi Suliman] King Abdulaziz Univ, Fac Maritime Studies, Dept Port &amp; Maritime Transportat, Jeddah 21588, Saudi Arabia</t>
  </si>
  <si>
    <t>King Abdulaziz University</t>
  </si>
  <si>
    <t>Abosuliman, SS (corresponding author), King Abdulaziz Univ, Fac Maritime Studies, Dept Port &amp; Maritime Transportat, Jeddah 21588, Saudi Arabia.</t>
  </si>
  <si>
    <t>sabusulaiman@kau.edu.sa</t>
  </si>
  <si>
    <t>Deanship of Scientific Research (DSR) , King Abdulaziz University, Jeddah [DF- 195-980-1441]</t>
  </si>
  <si>
    <t>Deanship of Scientific Research (DSR) , King Abdulaziz University, Jeddah</t>
  </si>
  <si>
    <t>This work was supported by the Deanship of Scientific Research (DSR) , King Abdulaziz University, Jeddah, under grant No. (DF- 195-980-1441) . The authors, therefore, gratefully acknowledge DSR technical and financial support.</t>
  </si>
  <si>
    <t>10.1016/j.compeleceng.2023.108637</t>
  </si>
  <si>
    <t>C4MH2</t>
  </si>
  <si>
    <t>WOS:000961668500001</t>
  </si>
  <si>
    <t>Chakraborty, A; Ikeda, Y</t>
  </si>
  <si>
    <t>Chakraborty, Abhijit; Ikeda, Yuichi</t>
  </si>
  <si>
    <t>Testing efficient supply chain propositions using topological characterization of the global supply chain network</t>
  </si>
  <si>
    <t>In this paper, we study the topological properties of the global supply chain network in terms of its degree distribution, clustering coefficient, degree-degree correlation, bow-tie structure, and community structure to test the efficient supply chain propositions proposed by E. J.S. Hearnshaw et al. The global supply chain data in the year 2017 are constructed by collecting various company data from the web site of Standard &amp; Poor's Capital IQ platform. The in and out-degree distributions are characterized by a power law of the form of Y-in = 2.42 and Y-out = 2.11. The clustering coefficient decays &lt; C(k)&gt; similar to k(-beta k) with an exponent beta(k)= 0.46. The nodal degree-degree correlations (k(nn)(k)) indicates the absence of assortativity. The bowtie structure of giant weakly connected component (GWCC) reveals that the OUT component is the largest and consists 41.1% of all firms. The giant strong connected component (GSCC) is comprised of 16.4% of all firms. We observe that upstream or downstream firms are located a few steps away from the GSCC. Furthermore, we uncover the community structures of the network and characterize them according to their location and industry classification. We observe that the largest community consists of the consumer discretionary sector based mainly in the United States (US). These firms belong to the OUT component in the bow-tie structure of the global supply chain network. Finally, we confirm the validity of Hearnshaw et al.'s efficient supply chain propositions, namely Proposition 51 (short path length), Proposition S2 (power-law degree distribution), Proposition S3 (high clustering coefficient), Proposition S4 (fit-gets-richer growth mechanism), Proposition S5 (truncation of power-law degree distribution), and Proposition S7 (community structure with overlapping boundaries) regarding the global supply chain network. While the original propositions 51 just mentioned a short path length, we found the short path from the GSCC to IN and OUT by analyzing the bow-tie structure. Therefore, the short path length in the bow-tie structure is a conceptual addition to the original propositions of Hearnshaw.</t>
  </si>
  <si>
    <t>[Chakraborty, Abhijit] Univ Hyogo, Grad Sch Simulat Studies, Kobe, Hyogo, Japan; [Ikeda, Yuichi] Kyoto Univ, Grad Sch Adv Integrated Studies Human Survivabil, Kyoto, Japan; [Chakraborty, Abhijit] Complex Sci Hub Vienna, Vienna, Austria; [Chakraborty, Abhijit] Int Inst Appl Syst Anal, Adv Syst Anal, Laxenburg, Austria</t>
  </si>
  <si>
    <t>University of Hyogo; Kyoto University; International Institute for Applied Systems Analysis (IIASA)</t>
  </si>
  <si>
    <t>Ikeda, Y (corresponding author), Kyoto Univ, Grad Sch Adv Integrated Studies Human Survivabil, Kyoto, Japan.</t>
  </si>
  <si>
    <t>ikeda.yuichi.2w@kyoto-u.ac.jp</t>
  </si>
  <si>
    <t>Chakraborty, Abhijit/GLN-5371-2022; Chakraborty, Abhijit/AAJ-4443-2021</t>
  </si>
  <si>
    <t>Chakraborty, Abhijit/0000-0001-5866-1985; Ikeda, Yuichi/0000-0002-9929-3813</t>
  </si>
  <si>
    <t>Ministry of Education, Science, Sports, and Culture [17KT0034]; Exploratory Challenges on Post-K computer (Studies of Multilevel Spatiotemporal Simulation of Socioeconomic Phenomena); Grants-in-Aid for Scientific Research [17KT0034] Funding Source: KAKEN</t>
  </si>
  <si>
    <t>Ministry of Education, Science, Sports, and Culture(Ministry of Education, Culture, Sports, Science and Technology, Japan (MEXT)); Exploratory Challenges on Post-K computer (Studies of Multilevel Spatiotemporal Simulation of Socioeconomic Phenomena); Grants-in-Aid for Scientific Research(Ministry of Education, Culture, Sports, Science and Technology, Japan (MEXT)Japan Society for the Promotion of ScienceGrants-in-Aid for Scientific Research (KAKENHI))</t>
  </si>
  <si>
    <t>The present study was supported by the Ministry of Education, Science, Sports, and Culture, Grants-in-Aid for Scientific Research (B), Grant no. 17KT0034 (2017-2019) to YI and Exploratory Challenges on Post-K computer (Studies of Multilevel Spatiotemporal Simulation of Socioeconomic Phenomena) to AC.</t>
  </si>
  <si>
    <t>OCT 1</t>
  </si>
  <si>
    <t>e0239669</t>
  </si>
  <si>
    <t>10.1371/journal.pone.0239669</t>
  </si>
  <si>
    <t>OS6KJ</t>
  </si>
  <si>
    <t>gold, Green Accepted, Green Submitted, Green Published</t>
  </si>
  <si>
    <t>WOS:000590270000046</t>
  </si>
  <si>
    <t>Yazdinejad, A; Rabieinejad, E; Hasani, T; Srivastava, G</t>
  </si>
  <si>
    <t>Yazdinejad, Abbas; Rabieinejad, Elnaz; Hasani, Tahereh; Srivastava, Gautam</t>
  </si>
  <si>
    <t>A BERT-based recommender system for secure blockchain-based cyber physical drug supply chain management</t>
  </si>
  <si>
    <t>Supply chain; DSCM; CPS; BERT; Blockchain; Machine learning</t>
  </si>
  <si>
    <t>THINGS IOT; INTERNET; CHALLENGES</t>
  </si>
  <si>
    <t>Drug Supply Chain Management (DSCM) can be one of the most affected streams in healthcare due to pandemics. The delivery of medicine to patients through DSCM is a complex process. Also, DSCM has several challenges, including counterfeiting, fraud, and the availability of medicine. Therefore, there is a need for security and intelligence strategies to remove pharmaceutical fraud, which remains a significant challenge since ensuring fair and secure access to medicine, services, and assistance is essential in Cyber-Physical Systems (CPS)-based DSCM. The existing CPS-based DSCM systems do, however, have some limitations in security, intelligence, planning, scheduling, quality, and logistics. This paper proposes a secure drug supply chain management framework that can acheive more security and intelligence via machine learning models. The proposed framework utilizes Bidirectional Encoder Representations from Transformers (BERT)-based and machine learning-based attack detection modules to provide more intelligence and security in block chain-based DSCM. Evaluation results show that BERT-based recommender systems ideally suggest appropriate alternative drugs that are close to 99% similar to the prescribed medication based on public datasets. Moreover, attack detection in the proposed framework provides significant accuracy, precision, recall, and F-measure results in threat detection (phishing, scamming, and abnormal transactions) in the blockchain layer:</t>
  </si>
  <si>
    <t>[Yazdinejad, Abbas; Rabieinejad, Elnaz] Univ Guelph, Sch Comp Sci, Cyber Sci Lab, Guelph, ON, Canada; [Hasani, Tahereh] Univ Guelph, Lang Sch Business &amp; Econ, Guelph, ON, Canada; [Srivastava, Gautam] Brandon Univ, Dept Math &amp; Comp Sci, Brandon, MB, Canada; [Srivastava, Gautam] Lebanese Amer Univ, Dept Comp Sci &amp; Math, Beirut, Lebanon; [Srivastava, Gautam] China Med Univ, Res Ctr Interneural Comp, Taichung, Taiwan</t>
  </si>
  <si>
    <t>University of Guelph; University of Guelph; Brandon University; Lebanese American University; China Medical University Taiwan</t>
  </si>
  <si>
    <t>Srivastava, G (corresponding author), Brandon Univ, Dept Math &amp; Comp Sci, Brandon, MB, Canada.;Srivastava, G (corresponding author), Lebanese Amer Univ, Dept Comp Sci &amp; Math, Beirut, Lebanon.;Srivastava, G (corresponding author), China Med Univ, Res Ctr Interneural Comp, Taichung, Taiwan.</t>
  </si>
  <si>
    <t>ayazdine@uoguelph.ca; erabiein@uoguelph.ca; htahereh@uoguelph.ca; srivastavag@brandonu.ca</t>
  </si>
  <si>
    <t>Srivastava, Gautam/N-5668-2019</t>
  </si>
  <si>
    <t>Srivastava, Gautam/0000-0001-9851-4103</t>
  </si>
  <si>
    <t>2023 JUN 23</t>
  </si>
  <si>
    <t>10.1007/s10586-023-04088-6</t>
  </si>
  <si>
    <t>K9GD6</t>
  </si>
  <si>
    <t>WOS:001019439100004</t>
  </si>
  <si>
    <t>Song, B; Wang, Y; Lou, LP</t>
  </si>
  <si>
    <t>Song, Bing; Wang, Yan; Lou, Li-Ping</t>
  </si>
  <si>
    <t>SSD-Based Carton Packaging Quality Defect Detection System for the Logistics Supply Chain</t>
  </si>
  <si>
    <t>ECOLOGICAL CHEMISTRY AND ENGINEERING S-CHEMIA I INZYNIERIA EKOLOGICZNA S</t>
  </si>
  <si>
    <t>green and sustainable development; logistics supply chain; SSD; implicit Feature Pyramid Network; multiscale attention mechanism</t>
  </si>
  <si>
    <t>With the deepening of green and sustainable development and the rapid development of the social economy, the modern logistics industry has also developed to an unprecedented level. In the logistics supply chain, due to the high value of the items inside the arrival carton, appearance inspection must be carried out before warehousing. However, manual inspection is slow and ineffective, resulting in the waste of manpower and packaging carton resources, which is not conducive to sustainable development. To address the above problems, this paper designs a logistics supply chain carton packaging quality defect detection system based on improved Single Shot MultiBox Detector (SSD) in the context of green sustainable development. The Implicit Feature Pyramid Network (IFPN) is introduced into SSD to improve the feature extraction ability of the model; the multiscale attention mechanism is introduced to collect more feature information. The experiment shows that the mAP and FPS of the system on the self-built data set reach 0.9662 and 36 respectively, which can realise the detection of the appearance defects of logistics cartons and help promote green sustainable development.</t>
  </si>
  <si>
    <t>[Song, Bing] Yiwu Ind &amp; Commercial Coll, Yiwu 322000, Zhejiang, Peoples R China; [Wang, Yan] Jiujiang Univ, Jiujiang 332005, Jiangxi, Peoples R China; [Lou, Li-Ping] Zhejiang Inst Mech &amp; Elect Technician, Yiwu 322000, Zhejiang, Peoples R China</t>
  </si>
  <si>
    <t>Jiujiang University</t>
  </si>
  <si>
    <t>Song, B (corresponding author), Yiwu Ind &amp; Commercial Coll, Yiwu 322000, Zhejiang, Peoples R China.</t>
  </si>
  <si>
    <t>songbing@ywicc.edu.cn</t>
  </si>
  <si>
    <t>SCIENDO</t>
  </si>
  <si>
    <t>WARSAW</t>
  </si>
  <si>
    <t>BOGUMILA ZUGA 32A, WARSAW, MAZOVIA, POLAND</t>
  </si>
  <si>
    <t>1898-6196</t>
  </si>
  <si>
    <t>2084-4549</t>
  </si>
  <si>
    <t>ECOL CHEM ENG S</t>
  </si>
  <si>
    <t>Ecol. Chem. Eng. S-</t>
  </si>
  <si>
    <t>MAR 1</t>
  </si>
  <si>
    <t>10.2478/eces-2023-0011</t>
  </si>
  <si>
    <t>D3CC2</t>
  </si>
  <si>
    <t>WOS:000967526500011</t>
  </si>
  <si>
    <t>Caramia, M; Pizzari, E</t>
  </si>
  <si>
    <t>Caramia, Massimiliano; Pizzari, Emanuele</t>
  </si>
  <si>
    <t>Clustering, location, and allocation in two stage supply chain for waste management: A fractional programming approach</t>
  </si>
  <si>
    <t>Waste management; Fractional programming; Clustering; Location; Allocation</t>
  </si>
  <si>
    <t>In this paper, we deal with waste management. Our modelling proposal is to use fractional programming to solve two strategical objectives related to the costs incurred and utility generated in servicing customers when clustering, location, and allocation are performed on the supply chain associated with the considered waste management problem. To the best of our knowledge, this is the first model in the literature acting in these directions. After describing the fractional model and its rationale, we apply a reformulation of the latter in terms of mixed-integer linear programming. Experiments carried out after its implementation reveal that the model is effective in producing high quality solutions for the problem.</t>
  </si>
  <si>
    <t>[Caramia, Massimiliano; Pizzari, Emanuele] Univ Roma Tor Vergata, Dipartimento Ingn Impresa, Via Politecn 1, I-00133 Rome, Italy</t>
  </si>
  <si>
    <t>University of Rome Tor Vergata</t>
  </si>
  <si>
    <t>Caramia, M; Pizzari, E (corresponding author), Univ Roma Tor Vergata, Dipartimento Ingn Impresa, Via Politecn 1, I-00133 Rome, Italy.</t>
  </si>
  <si>
    <t>caramia@dii.uniroma2.it; emanuele.pizzari@uniroma2.it</t>
  </si>
  <si>
    <t>Caramia, Massimiliano/GVU-3548-2022; Pizzari, Emanuele/IVV-2360-2023</t>
  </si>
  <si>
    <t>Caramia, Massimiliano/0000-0002-9925-1306; Pizzari, Emanuele/0000-0001-6950-2445</t>
  </si>
  <si>
    <t>10.1016/j.cie.2022.108297</t>
  </si>
  <si>
    <t>2N7WD</t>
  </si>
  <si>
    <t>WOS:000818584600006</t>
  </si>
  <si>
    <t>Hamdani, FE; Quintero, IAQ; Enjolras, M; Camargo, M; Monticolo, D; Lelong, C</t>
  </si>
  <si>
    <t>Hamdani, Fatima-Ezzahra; Quintero, Ivan Andres Quintero; Enjolras, Manon; Camargo, Mauricio; Monticolo, Davy; Lelong, Christelle</t>
  </si>
  <si>
    <t>Agile supply chain analytic approach: a case study combining agile and CRISP-DM in an end-to-end supply chain</t>
  </si>
  <si>
    <t>SUPPLY CHAIN FORUM</t>
  </si>
  <si>
    <t>Supply chain management; Big Data Analytics; agile methodology; CRISP-DM methodology; Scrum; project management</t>
  </si>
  <si>
    <t>BIG DATA ANALYTICS; MANAGEMENT; CHALLENGES; FRAMEWORK; CAPABILITY; STRATEGY; IMPACT</t>
  </si>
  <si>
    <t>In the current competitive environment, Big Data Analytics (BDA) has become a prominent metric to reach an integrated, efficient, and effective supply chain (SC). In the literature, the BDA capabilities have been at the forefront of research in operational supply chain management (SCM), however, there has been a paucity of literature regarding its technical and organisational implementation in the industry. Hence, despite its capabilities and importance, many organisations are reluctant to adopt this promising concept in SC operations management, due to the ambiguity of its practical implementation from a technical and organisational point of view. To address this gap, this paper draws on agile project management, data mining model processing, and case study approaches to propose and test a framework for BDA organisational implementation in SCM. The feasibility of the proposed framework is illustrated and tested by a case study in an end-to-end SC within a large corporation. Our contribution lies in handling the organisational, managerial, and socio-technical challenges of BDA projects implementation in SCM.</t>
  </si>
  <si>
    <t>[Hamdani, Fatima-Ezzahra; Enjolras, Manon; Camargo, Mauricio; Monticolo, Davy] Univ Lorraine, ERPI, Equipe Rech Sur Proc Innovatifs, F-54000 Nancy, France; [Quintero, Ivan Andres Quintero] Mars Inc, Supply Chain Execut, Haguenau, France; [Lelong, Christelle] Mars Inc, Change &amp; Innovat Delivery Digital Supply Chain Ex, Haguenau, France</t>
  </si>
  <si>
    <t>Universite de Lorraine</t>
  </si>
  <si>
    <t>Hamdani, FE (corresponding author), Univ Lorraine, ERPI, Equipe Rech Sur Proc Innovatifs, F-54000 Nancy, France.</t>
  </si>
  <si>
    <t>fatima-ezzahra.hamdani@univ-lorraine.fr</t>
  </si>
  <si>
    <t>CAMARGO, Mauricio/HJP-7111-2023</t>
  </si>
  <si>
    <t>1625-8312</t>
  </si>
  <si>
    <t>1624-6039</t>
  </si>
  <si>
    <t>Supply Chain Forum</t>
  </si>
  <si>
    <t>2022 APR 15</t>
  </si>
  <si>
    <t>10.1080/16258312.2022.2064721</t>
  </si>
  <si>
    <t>0N3BD</t>
  </si>
  <si>
    <t>WOS:000782716500001</t>
  </si>
  <si>
    <t>Qu, Q; Liu, C; Bao, XZ</t>
  </si>
  <si>
    <t>Qu, Qiao; Liu, Cheng; Bao, Xinzhong</t>
  </si>
  <si>
    <t>E-Commerce Enterprise Supply Chain Financing Risk Assessment Based on Linked Data Mining and Edge Computing</t>
  </si>
  <si>
    <t>MOBILE INFORMATION SYSTEMS</t>
  </si>
  <si>
    <t>RESOURCE-ALLOCATION; FUZZY</t>
  </si>
  <si>
    <t>In recent years, the rapid development of information technology has affected the way the world economy operates. The emergence of e-commerce has greatly shortened the time and space distance between economic participants and maximized the sharing of resources. However, the financial management and risk assessment capabilities of the existing supply are insufficient to adapt to the rapidly developing new environment. This article uses a combination of normative analysis and empirical analysis to analyze the status quo of the supply chain of small and medium e-commerce companies. First, this article establishes an evaluation framework for the supply chain of e-commerce companies based on edge computing. Second, according to the distribution of the supply chain, this article adds the member's predetermined quota, reputation, execution time, and other indicators as parameters to establish a fuzzy neural network model. On this basis, combined with the price regression model, the pricing plan is evaluated. The results show that the financing risk obtained by this model differs very little from the actual risk. The above-mentioned model constructs an e-commerce enterprise supply chain financing risk management model that adapts to the environment of the new era.</t>
  </si>
  <si>
    <t>[Qu, Qiao; Liu, Cheng] Univ Sci &amp; Technol Beijing, Sch Econ &amp; Management, Beijing 100083, Peoples R China; [Bao, Xinzhong] Beijing Union Univ, Sch Management, Beijing 100101, Peoples R China</t>
  </si>
  <si>
    <t>University of Science &amp; Technology Beijing; Beijing Union University</t>
  </si>
  <si>
    <t>Qu, Q (corresponding author), Univ Sci &amp; Technol Beijing, Sch Econ &amp; Management, Beijing 100083, Peoples R China.</t>
  </si>
  <si>
    <t>b20170399@xs.ustb.edu.cn; liucheng@ustb.edu.cn; xinzhongbao@vip.sina.com</t>
  </si>
  <si>
    <t>1574-017X</t>
  </si>
  <si>
    <t>1875-905X</t>
  </si>
  <si>
    <t>MOB INF SYST</t>
  </si>
  <si>
    <t>Mob. Inf. Syst.</t>
  </si>
  <si>
    <t>10.1155/2021/9938325</t>
  </si>
  <si>
    <t>TD0HH</t>
  </si>
  <si>
    <t>WOS:000669016700007</t>
  </si>
  <si>
    <t>Fordal, JM; Schjolberg, P; Helgetun, H; Skjermo, TO; Wang, Y; Wang, C</t>
  </si>
  <si>
    <t>Fordal, Jon Martin; Schjolberg, Per; Helgetun, Hallvard; Skjermo, Tor Oistein; Wang, Yi; Wang, Chen</t>
  </si>
  <si>
    <t>Application of sensor data based predictive maintenance and artificial neural networks to enable Industry 4.0</t>
  </si>
  <si>
    <t>ADVANCES IN MANUFACTURING</t>
  </si>
  <si>
    <t>Predictive maintenance (PdM) platform; Industry 4; 0; Value chain performance; Anomaly detection; Artificial neural networks (ANN)</t>
  </si>
  <si>
    <t>ANOMALY DETECTION; INTERNET; THINGS; SMART; ARCHITECTURES; PLATFORM; SYSTEMS; MODELS</t>
  </si>
  <si>
    <t>Possessing an efficient production line relies heavily on the availability of the production equipment. Thus, to ensure that the required function for critical equipment is in compliance, and unplanned downtime is minimized, succeeding with the field of maintenance is essential for industrialists. With the emergence of advanced manufacturing processes, incorporating predictive maintenance capabilities is seen as a necessity. Another field of interest is how modern value chains can support the maintenance function in a company. Accessibility to data from processes, equipment and products have increased significantly with the introduction of sensors and Industry 4.0 technologies. However, how to gather and utilize these data for enabling improved decision making within maintenance and value chain is still a challenge. Thus, the aim of this paper is to investigate on how maintenance and value chain data can collectively be used to improve value chain performance through prediction. The research approach includes both theoretical testing and industrial testing. The paper presents a novel concept for a predictive maintenance platform, and an artificial neural network (ANN) model with sensor data input. Further, a case of a company that has chosen to apply the platform, with the implications and determinants of this decision, is also provided. Results show that the platform can be used as an entry-level solution to enable Industry 4.0 and sensor data based predictive maintenance.</t>
  </si>
  <si>
    <t>[Fordal, Jon Martin; Schjolberg, Per] Norwegian Univ Sci &amp; Technol NTNU, Dept Mech &amp; Ind Engn, N-7491 Trondheim, Norway; [Helgetun, Hallvard; Skjermo, Tor Oistein] El Watch AS, N-6657 Rindal, Norway; [Wang, Yi; Wang, Chen] Univ Bedfordshire, Business Sch, Luton, England; [Wang, Chen] Hubei Univ Automot Technol, Sch Mech Engn, Shiyan 442002, Hubei, Peoples R China</t>
  </si>
  <si>
    <t>Norwegian University of Science &amp; Technology (NTNU); University of Bedfordshire; Hubei University of Automotive Technology</t>
  </si>
  <si>
    <t>Fordal, JM (corresponding author), Norwegian Univ Sci &amp; Technol NTNU, Dept Mech &amp; Ind Engn, N-7491 Trondheim, Norway.</t>
  </si>
  <si>
    <t>jon.m.fordal@ntnu.no; per.schjolberg@ntnu.no</t>
  </si>
  <si>
    <t>Fordal, Jon Martin/0000-0002-9106-1006</t>
  </si>
  <si>
    <t>NTNU Norwegian University of Science and Technology (incl St. Olavs Hospital - Trondheim University Hospital)</t>
  </si>
  <si>
    <t>Open access funding provided by NTNU Norwegian University of Science and Technology (incl St. Olavs Hospital - Trondheim University Hospital).</t>
  </si>
  <si>
    <t>2095-3127</t>
  </si>
  <si>
    <t>2195-3597</t>
  </si>
  <si>
    <t>ADV MANUF</t>
  </si>
  <si>
    <t>Adv. Manuf.</t>
  </si>
  <si>
    <t>10.1007/s40436-022-00433-x</t>
  </si>
  <si>
    <t>Engineering, Manufacturing; Materials Science, Multidisciplinary</t>
  </si>
  <si>
    <t>Engineering; Materials Science</t>
  </si>
  <si>
    <t>F7TV4</t>
  </si>
  <si>
    <t>WOS:000943640800001</t>
  </si>
  <si>
    <t>Bakhtadze, N; Suleykin, A</t>
  </si>
  <si>
    <t>Bakhtadze, Natalia; Suleykin, Alexander</t>
  </si>
  <si>
    <t>Industrial digital ecosystems: Predictive models and architecture development issues</t>
  </si>
  <si>
    <t>ANNUAL REVIEWS IN CONTROL</t>
  </si>
  <si>
    <t>Digital ecosystems; Predictive models; Knowledge bases; Search for associative rules; Supply chains; Ecosystem architecture model</t>
  </si>
  <si>
    <t>SUPPLY CHAIN MANAGEMENT; CHALLENGES; STRATEGY</t>
  </si>
  <si>
    <t>The concept of digital ecosystem (DES) is widely used in autonomous manufacturing process control and the development of complex, stable, interactive, self-organizing and reliable management systems for various industries. The paper offers a concept of DES control system architecture based on predictive models. For estimating and predicting the state of resources in production processes, an approach is developed using data mining based model generation. The paper also reviews the current state of research in the field of DES and their applications in supply chain management (SCM).</t>
  </si>
  <si>
    <t>[Bakhtadze, Natalia; Suleykin, Alexander] VA Trapeznikov Inst Control Sci, 65 Profsoyuznaya Str, Moscow, Russia</t>
  </si>
  <si>
    <t>V.A. Trapeznikov Institute of Control Sciences, Russian Academy of Sciences</t>
  </si>
  <si>
    <t>Bakhtadze, N (corresponding author), VA Trapeznikov Inst Control Sci, 65 Profsoyuznaya Str, Moscow, Russia.</t>
  </si>
  <si>
    <t>sung7@yandex.ru; aless.sull@mail.ru</t>
  </si>
  <si>
    <t>Bakhtadze, Natalia/P-7164-2017; Сулейкин, Александр/AAC-6050-2022</t>
  </si>
  <si>
    <t>Bakhtadze, Natalia/0000-0001-9319-6951; Сулейкин, Александр/0000-0003-2294-6449</t>
  </si>
  <si>
    <t>1367-5788</t>
  </si>
  <si>
    <t>1872-9088</t>
  </si>
  <si>
    <t>ANNU REV CONTROL</t>
  </si>
  <si>
    <t>Annu. Rev. Control</t>
  </si>
  <si>
    <t>10.1016/j.arcontrol.2020.11.001</t>
  </si>
  <si>
    <t>SX0YO</t>
  </si>
  <si>
    <t>WOS:000664938900005</t>
  </si>
  <si>
    <t>Liao, SH; Hsiao, PY</t>
  </si>
  <si>
    <t>Liao, Shu-Hsien; Hsiao, Pei-Yuan</t>
  </si>
  <si>
    <t>Mining business knowledge for developing integrated key performance indicators on an optical mould firm</t>
  </si>
  <si>
    <t>data mining; association rules; cluster analysis; optical mould firm; key performance index (KPI); business intelligence</t>
  </si>
  <si>
    <t>The supply chain for Taiwanese optical components accounts for 39.7% of the total supply chain of the optical mould industry. However, some critical elements of the optical mould industry are difficult to predict; these include personnel, mechanical equipment, material, environmental and complex management factors. Therefore, these enterprises need flexibility to fine-tune their organisational structure, so that the main functions of various departments operate with the best processes. Beside case firm database, this study collects subjective data by designing a questionnaire with nominal scale question to investigate employees' potential attitude and behaviour in relation to the case firm's key perfomance indicators (KPIs). A total of 250 questionnaires were sent and 220 questionnaires were returned, including 207 effective questionnaires. All data source are designed on a entity relationships (ER) model and constructed on a relational database. In addition, this study applies a data mining approach using association rules, an Apriori algorithm, and cluster analysis to develop the integrated KPIs for a Taiwanese optical mould company. This study investigates the data mining process and considers how the development of the integrated KPIs for this company might serve as a business intelligence example for other firms and industries.</t>
  </si>
  <si>
    <t>[Liao, Shu-Hsien] Tamkang Univ, Dept Management Sci, New Taipei City, Taiwan; [Hsiao, Pei-Yuan] Tamkang Univ, Grad Sch PhD Program, Dept Management Sci, New Taipei City, Taiwan</t>
  </si>
  <si>
    <t>Tamkang University; Tamkang University</t>
  </si>
  <si>
    <t>Liao, SH (corresponding author), Tamkang Univ, Dept Management Sci, New Taipei City, Taiwan.</t>
  </si>
  <si>
    <t>Liao, Shu-hsien/0000-0002-3667-2867; Hsiao, Pei-Yuan/0000-0002-2169-3155</t>
  </si>
  <si>
    <t>National Science Council, Taiwan, Republic of China [NSC 100-2410-H-032-018-MY3]</t>
  </si>
  <si>
    <t>This research was funded by the National Science Council, Taiwan, Republic of China, under contract No. NSC 100-2410-H-032-018-MY3.</t>
  </si>
  <si>
    <t>10.1080/0951192X.2013.766933</t>
  </si>
  <si>
    <t>194FR</t>
  </si>
  <si>
    <t>WOS:000322616900002</t>
  </si>
  <si>
    <t>Deng, JF; Chen, C; Huang, XY; Chen, WY; Cheng, LL</t>
  </si>
  <si>
    <t>Deng, Jianfeng; Chen, Chong; Huang, Xinyi; Chen, Wenyan; Cheng, Lianglun</t>
  </si>
  <si>
    <t>Research on the construction of event logic knowledge graph of supply chain management</t>
  </si>
  <si>
    <t>Event logic knowledge graph; Supply chain management; Event knowledge autonomous extraction; Event argument entity recognition; GAN active learning</t>
  </si>
  <si>
    <t>ONTOLOGY; FRAMEWORK</t>
  </si>
  <si>
    <t>Knowledge graph technology plays an important role in knowledge supporting for efficient supply chain management (SCM) of manufacturing enterprises, a SCM knowledge graph can be constructed based on the relevant case corpus. In order to solve the problems of coarse concept granularity of event ontology knowledge in SCM cases, potential words of characters in the existing entity recognition models may not be matched or matched incorrectly, key features of entities with different lengths may interfere with each other in the expression of attention mechanism, and lack of a large number of annotation training samples, a top-down construction method of SCM event logic knowledge graph (ELKG) is proposed. Firstly, SCM event argument classes and class relations are defined, an event logic ontology model is built, and the event argument entities according to event logic ontology are labeled. Then, an active learning event argument entity recognition (EAER) model based on two-stage generative adversarial network (GAN) is proposed. In GAN generator, an EAER model based on binocular attention-based stacked BiLSTM with CNN (BACSBN) is proposed, which combines word-level character feature attention mechanism and n-gram pooling feature attention mechanism to improve the attention to character features of constituent words and highlight entity key information with different lengths, respectively. Two-stage GAN adversarial training and label space attention mechanism are introduced to select the correct predicted label samples for active learning training. The experimental results show that BACSBN can improve the entity recognition accuracy, and the two-stage GAN's active learning can further improve the recognition effect on the basis of full annotation sample training, and can still maintain a high accuracy in the absence of a large number of manual annotation data. Further, according to the sentence pattern and keyword matching, the matching relations of argument entities are completed, and the SCM ELKG is constructed to provide knowledge support for autonomous SCM.</t>
  </si>
  <si>
    <t>[Deng, Jianfeng] Guangzhou Railway Polytech, Sch Elect Engn, Guangzhou 510430, Peoples R China; [Deng, Jianfeng] Guangdong Univ Technol, Sch Automat, Guangzhou 510006, Peoples R China; [Chen, Chong; Huang, Xinyi; Chen, Wenyan; Cheng, Lianglun] Guangdong Univ Technol, Guangdong Prov Key Lab Cyber Phys Syst, Guangzhou 510006, Peoples R China</t>
  </si>
  <si>
    <t>Guangzhou Railway Polytechnic; Guangdong University of Technology; Guangdong University of Technology</t>
  </si>
  <si>
    <t>Chen, C (corresponding author), Guangdong Univ Technol, Guangdong Prov Key Lab Cyber Phys Syst, Guangzhou 510006, Peoples R China.</t>
  </si>
  <si>
    <t>chenc2021@gdut.edu.cn</t>
  </si>
  <si>
    <t>Chen, Chong/AGA-2564-2022</t>
  </si>
  <si>
    <t>Chen, Chong/0000-0003-2800-4647</t>
  </si>
  <si>
    <t>Guang-dong Provincial Key Laboratory of Cyber-Physical System, China; Supply chain collaborative service platform for large manufacturing enterprises, China [2020B1212060069]; Key Program of NSFC-Guangdong Joint Funds, China; [2019YFB1705503]; [U1801263]</t>
  </si>
  <si>
    <t>Guang-dong Provincial Key Laboratory of Cyber-Physical System, China; Supply chain collaborative service platform for large manufacturing enterprises, China; Key Program of NSFC-Guangdong Joint Funds, China; ;</t>
  </si>
  <si>
    <t>Our work is supported by multiple funds in China, including Supply chain collaborative service platform for large manufacturing enterprises, China (2019YFB1705503), the Key Program of NSFC-Guangdong Joint Funds, China (U1801263). Our work is also supported by Guang-dong Provincial Key Laboratory of Cyber-Physical System, China (2020B1212060069).</t>
  </si>
  <si>
    <t>10.1016/j.aei.2023.101921</t>
  </si>
  <si>
    <t>A9BK7</t>
  </si>
  <si>
    <t>WOS:000957996000001</t>
  </si>
  <si>
    <t>Protogerou, A; Papadopoulos, S; Drosou, A; Tzovaras, D; Refanidis, I</t>
  </si>
  <si>
    <t>Protogerou, Aikaterini; Papadopoulos, Stavros; Drosou, Anastasios; Tzovaras, Dimitrios; Refanidis, Ioannis</t>
  </si>
  <si>
    <t>A graph neural network method for distributed anomaly detection in IoT</t>
  </si>
  <si>
    <t>EVOLVING SYSTEMS</t>
  </si>
  <si>
    <t>IoT cybersecurity; Graph inherent anomaly detection framework; Graph neural networks; DDoS attack detection; Decentralized detection; Synergistic detection; Multi-agent detection</t>
  </si>
  <si>
    <t>DEEP LEARNING APPROACH; ATTACKS; SVM</t>
  </si>
  <si>
    <t>Recent IoT proliferation has undeniably affected the way organizational activities and business procedures take place within several IoT domains such as smart manufacturing, food supply chain, intelligent transportation systems, medical care infrastructures etc. The number of the interconnected edge devices has dramatically increased, creating a huge volume of transferred data susceptible to leakage, modification or disruption, ultimately affecting the security level, robustness and QoS of the attacked IoT ecosystem. In an attempt to prevent or mitigate network abnormalities while accommodating the cohesiveness among the involved entities, modeling their interrelations and incorporating their structural, content and temporal attributes, graph-based anomaly detection solutions have been repeatedly adopted. In this article we propose, a multi-agent system, with each agent implementing a Graph Neural Network, in order to exploit the collaborative and cooperative nature of intelligent agents for anomaly detection. To this end, against the propagating nature of cyber-attacks such as the Distributed Denial-of-Service (DDoS), we propose a distributed detection scheme, which aims to monitor efficiently the entire network infrastructure. To fulfill this task, we consider employing monitors on active network nodes such as IoT devices, SDN forwarders, Fog Nodes, achieving localization of anomaly detection, distribution of allocated resources such as the bandwidth and power consumption and higher accuracy results. In order to facilitate the training, testing and evaluation activities of the Graph Neural Network algorithm, we create simulated datasets of network flows of various normal and abnormal distributions, out of which we extract essential structural and content features to be passed to neighbouring agents.</t>
  </si>
  <si>
    <t>[Protogerou, Aikaterini; Refanidis, Ioannis] Univ Macedonia, 156 Egnatia Str, Macedonia, Greece; [Papadopoulos, Stavros; Drosou, Anastasios; Tzovaras, Dimitrios] Informat Technol Inst CERTH, 6th Km Harilaou Thermis, Thessaloniki, Greece</t>
  </si>
  <si>
    <t>University of Macedonia</t>
  </si>
  <si>
    <t>Protogerou, A (corresponding author), Univ Macedonia, 156 Egnatia Str, Macedonia, Greece.</t>
  </si>
  <si>
    <t>k.protogerou@uom.edu.gr; spap@iti.gr; drosou@iti.gr; Dimitrios.Tzovaras@iti.gr; yrefanid@uom.edu.gr</t>
  </si>
  <si>
    <t>Tzovaras, Dimitrios/ABB-9576-2021; Refanidis, Ioannis/AAN-9389-2020; Drosou, Anastasios/AAV-5969-2020</t>
  </si>
  <si>
    <t>Tzovaras, Dimitrios/0000-0001-6915-6722; Refanidis, Ioannis/0000-0003-4697-4751;</t>
  </si>
  <si>
    <t>European Unions Horizon 2020 Research and Innovation Program through the SerIoT project [780139]; H2020 Societal Challenges Programme [780139] Funding Source: H2020 Societal Challenges Programme</t>
  </si>
  <si>
    <t>European Unions Horizon 2020 Research and Innovation Program through the SerIoT project; H2020 Societal Challenges Programme(Horizon 2020)</t>
  </si>
  <si>
    <t>This work is supported by the European Unions Horizon 2020 Research and Innovation Program through the SerIoT project under Grant Agreement No. 780139 (https://seriot-project.eu/project/).</t>
  </si>
  <si>
    <t>1868-6478</t>
  </si>
  <si>
    <t>1868-6486</t>
  </si>
  <si>
    <t>EVOL SYST-GER</t>
  </si>
  <si>
    <t>Evol. Syst.</t>
  </si>
  <si>
    <t>10.1007/s12530-020-09347-0</t>
  </si>
  <si>
    <t>JUN 2020</t>
  </si>
  <si>
    <t>RF2XW</t>
  </si>
  <si>
    <t>WOS:000540944900001</t>
  </si>
  <si>
    <t>Becker, DR; Moseley, C; Lee, C</t>
  </si>
  <si>
    <t>Becker, Dennis R.; Moseley, Cassandra; Lee, Christine</t>
  </si>
  <si>
    <t>A supply chain analysis framework for assessing state-level forest biomass utilization policies in the United States</t>
  </si>
  <si>
    <t>BIOMASS &amp; BIOENERGY</t>
  </si>
  <si>
    <t>Forest biomass; State policy; Supply chain; Utilization</t>
  </si>
  <si>
    <t>FUEL; IMPACTS; PROGRAMS; TREES</t>
  </si>
  <si>
    <t>The number of state policies aimed at fostering biomass utilization has proliferated in recent years in the United States. Several states aim to increase the use of forest and agriculture biomass through renewable energy production. Several more indirectly encourage utilization by targeting aspects of the supply chain from trees standing in the forest to goods sold. This research classifies 370 state policies from across the United States that provides incentives for forest biomass utilization. We compare those policies by types of incentives relative to the supply chain and geographic clustering. We then develop a framework for policy evaluation building on the supply chain steps, which can be used to assess intended and unintended consequences of policy interactions. These findings may inform policy development and identify synergies at different steps in the supply chain to enhance forest biomass utilization. (C) 2010 Elsevier Ltd. All rights reserved.</t>
  </si>
  <si>
    <t>[Becker, Dennis R.; Lee, Christine] Univ Minnesota, Dept Forest Resources, St Paul, MN 55117 USA; [Moseley, Cassandra] Univ Oregon, Ecosyst Workforce Program, Inst Sustainable Environm, Eugene, OR 97403 USA</t>
  </si>
  <si>
    <t>University of Minnesota System; University of Minnesota Twin Cities; University of Oregon</t>
  </si>
  <si>
    <t>Becker, DR (corresponding author), Univ Minnesota, Dept Forest Resources, 1530 Cleveland Ave N, St Paul, MN 55117 USA.</t>
  </si>
  <si>
    <t>drbecker@umn.edu; cmoseley@uoregon.edu</t>
  </si>
  <si>
    <t>Becker, Dennis/E-6249-2017</t>
  </si>
  <si>
    <t>0961-9534</t>
  </si>
  <si>
    <t>1873-2909</t>
  </si>
  <si>
    <t>BIOMASS BIOENERG</t>
  </si>
  <si>
    <t>Biomass Bioenerg.</t>
  </si>
  <si>
    <t>10.1016/j.biombioe.2010.07.030</t>
  </si>
  <si>
    <t>Agricultural Engineering; Biotechnology &amp; Applied Microbiology; Energy &amp; Fuels</t>
  </si>
  <si>
    <t>Agriculture; Biotechnology &amp; Applied Microbiology; Energy &amp; Fuels</t>
  </si>
  <si>
    <t>751IT</t>
  </si>
  <si>
    <t>WOS:000289611400006</t>
  </si>
  <si>
    <t>Zou, ZH; Tseng, TL; Sohn, H; Song, GF; Gutierrez, R</t>
  </si>
  <si>
    <t>Zou, Zhonghai; Tseng, Tzu-Liang (Bill); Sohn, Hansuk; Song, Guofang; Gutierrez, Rafael</t>
  </si>
  <si>
    <t>A rough set based approach to distributor selection in supply chain management</t>
  </si>
  <si>
    <t>Distributor selections; Data mining; Rough set theory (RST); Supply chain management (SCM)</t>
  </si>
  <si>
    <t>HIERARCHY PROCESS; MODEL; PREDICTION; AHP</t>
  </si>
  <si>
    <t>Distributor's selection is an important issue in Supply chain management, particularly in the current competitive environment. The current research works provide only conceptual, descriptive, and simulation results, focusing mainly on firm resources and general marketing factors. The selection and evaluation of distributors generally incorporate qualitative information: however, analyzing qualitative information is difficult by standard statistical techniques. Consequently, a more suitable approach is desired. In this paper, a method based on Rough set theory, which has been recognized as a powerful tool in dealing with qualitative data in the literature, is introduced and modified for preferred distributor selection. We derived certain decision rules which are able to facilitate distributor selection and identified several significant features based on an empirical study conducted in China. (C) 2010 Elsevier Ltd. All rights reserved.</t>
  </si>
  <si>
    <t>[Tseng, Tzu-Liang (Bill); Gutierrez, Rafael] Univ Texas El Paso, Dept Ind Engn, El Paso, TX 79968 USA; [Zou, Zhonghai; Song, Guofang] Shanghai Univ, Sch Management, Shanghai, Peoples R China; [Sohn, Hansuk] New Mexico State Univ, Dept Ind Engn, Las Cruces, NM 88003 USA</t>
  </si>
  <si>
    <t>University of Texas System; University of Texas El Paso; Shanghai University; New Mexico State University</t>
  </si>
  <si>
    <t>Tseng, TL (corresponding author), Univ Texas El Paso, Dept Ind Engn, El Paso, TX 79968 USA.</t>
  </si>
  <si>
    <t>btseng@utep.edu</t>
  </si>
  <si>
    <t>Sohn, Hansuk/B-9808-2013</t>
  </si>
  <si>
    <t>Sohn, Hansuk/0000-0002-8126-730X</t>
  </si>
  <si>
    <t>10.1016/j.eswa.2010.06.021</t>
  </si>
  <si>
    <t>660AA</t>
  </si>
  <si>
    <t>WOS:000282607800013</t>
  </si>
  <si>
    <t>Maghsoodi, AI; Kavian, A; Khalilzadeh, M; Brauers, WKM</t>
  </si>
  <si>
    <t>Maghsoodi, Abteen Ijadi; Kavian, Azad; Khalilzadeh, Mohammad; Brauers, Willem K. M.</t>
  </si>
  <si>
    <t>CLUS-MCDA: A novel framework based on cluster analysis and multiple criteria decision theory in a supplier selection problem</t>
  </si>
  <si>
    <t>Supplier Selection Problem (SSP); Cluster analysis; Data mining; Multiple Criteria Decision Analysis (MCDM); MULTIMOORA method; Cluster analysis for improving Multiple Criteria Decision Analysis (CLUS-MCDA)</t>
  </si>
  <si>
    <t>MULTIMOORA METHOD; SUPPORT-SYSTEM; PARTNER SELECTION; MAKING TECHNIQUES; CHAIN MANAGEMENT; ORDER ALLOCATION; RISK-MANAGEMENT; FUZZY APPROACH; VIKOR METHOD; MODEL</t>
  </si>
  <si>
    <t>In past recent years, by increasing in the considerations on the significance of data science many studies have been developed concerning the big data structured problems. Along with the information science, in the field of decision science, multi-attribute decision-making (MADM) approaches have been considerably applied in research studies. One of the most important procedures in supply chain management is selecting the optimal supplier to maintain the long-term productivity of the supply chain. There has been a vast amount of research which utilized MADM approaches to tackle the supplier selection problems, but only a few of these research considered big data structured problems. The current study presents a comprehensive novel approach for improving Multiple Criteria Decision Analysis (MCDA) based on cluster analysis considering crisp big data structure input which is called CLUS-MCDA (Cluster analysis for improving Multiple Criteria Decision Analysis) algorithm. The proposed method is based on consolidating a data mining technique i.e. k-means clustering method and a MADM approach which is MULTIMOORA method. CLUS-MCDA method is a fast and practical approach which has been developed in this research which is implied in a supplier selection problem considering crisp big data structured input. A real-world case study in MAMUT multi-national corporation has been presented to show the validity and practicality of the CLUS-MCDA approach which calculated considering the business areas and criteria based on expert comments of mentioned organizations and previous literature on supplier selection problem.</t>
  </si>
  <si>
    <t>[Maghsoodi, Abteen Ijadi; Khalilzadeh, Mohammad] Islamic Azad Univ, Dept Ind Engn, Sci &amp; Res Branch, Daneshgah Blvd,Simon Bulivar Blvd 14515-775, Tehran, Iran; [Kavian, Azad] Amirkabir Univ Technol, Tehran Polytech, Fac Math &amp; Comp Sci, Tehran, Iran; [Brauers, Willem K. M.] Univ Antwerp, Fac Appl Econ, Antwerp, Belgium; [Kavian, Azad] Amirkabir Univ Technol, 424 Hafez Ave, Tehran 158754413, Iran; [Brauers, Willem K. M.] Univ Antwerp, Fac Appl Econ, Dept Econ, Prinsstr 13, B-2000 Antwerp, Belgium</t>
  </si>
  <si>
    <t>Islamic Azad University; Amirkabir University of Technology; University of Antwerp; Amirkabir University of Technology; University of Antwerp</t>
  </si>
  <si>
    <t>Maghsoodi, AI (corresponding author), Islamic Azad Univ, Dept Ind Engn, Sci &amp; Res Branch, Daneshgah Blvd,Simon Bulivar Blvd 14515-775, Tehran, Iran.</t>
  </si>
  <si>
    <t>Aimaghsoodi@srbiau.ac.ir; azad.kavian@gmail.com; mo.kzadeh@gmail.com; willem.brauers@uantwerpen.be</t>
  </si>
  <si>
    <t>Brauers, Willem/AAS-5072-2021; Maghsoodi, Abtin Ijadi/R-5475-2016</t>
  </si>
  <si>
    <t>Maghsoodi, Abtin Ijadi/0000-0001-5944-865X; KHALILZADEH, MOHAMMAD/0000-0002-2373-8505</t>
  </si>
  <si>
    <t>10.1016/j.cie.2018.03.011</t>
  </si>
  <si>
    <t>GD8TR</t>
  </si>
  <si>
    <t>WOS:000430785500034</t>
  </si>
  <si>
    <t>Chang, L; Ouzrout, Y; Nongaillard, A; Bouras, A; Jiliu, Z</t>
  </si>
  <si>
    <t>Chang, Liu; Ouzrout, Yacine; Nongaillard, Antoine; Bouras, Abdelaziz; Jiliu, Zhou</t>
  </si>
  <si>
    <t>Multi-criteria decision making based on trust and reputation in supply chain</t>
  </si>
  <si>
    <t>Trust and reputation model; K-mean clustering; Multi-criteria decision making; Variable weights; Satisfaction principle; Supply chain formation</t>
  </si>
  <si>
    <t>MODEL; SELECTION</t>
  </si>
  <si>
    <t>Decision making is a core problem in Supply Chains. A large number of studies in literature have reported various decision making techniques based on customers' requirements. Taking into account high risk transactions in virtual Supply Chain market, trust is a very critical element and should be treated as an important reference when customers try to select proper suppliers. Recently, a great effort has been carried out to develop decision making based on trust and reputation. However, these research works still stay on the stage of theoretical research. This paper presents and implements a multi-criteria decision making approach based on trust and reputation in Supply Chain. Firstly, this paper defines general trust indicators in real Supply Chain settings, and designs a multi-dimensional trust and reputation model. This paper also introduces K-mean clustering algorithm to remove unfair rating scores. Then, based on this trust and reputation model, we propose a multi-criteria decision making approach based on variable weights and satisfaction principle. In order to validate the performance of this approach, we simulate a practical Supply Chain setting with multi-agents platform. The simulation experiments demonstrate that the proposed trust and reputation model can effectively filter unfair ratings from those customers who did lie and the proposed multi-criteria decision making method can help customers make right decisions. (C) 2013 Elsevier B.V. All rights reserved.</t>
  </si>
  <si>
    <t>[Chang, Liu; Ouzrout, Yacine; Nongaillard, Antoine; Bouras, Abdelaziz] Univ Lyon 2, DISP Lab, F-69365 Lyon 07, France; [Chang, Liu; Jiliu, Zhou] Key Lab Pattern Recognit &amp; Intelligent Informat P, Chengdu, Peoples R China; [Chang, Liu; Jiliu, Zhou] Chengdu Univ, Coll Informat Sci &amp; Technol, Chengdu, Peoples R China</t>
  </si>
  <si>
    <t>Universite Lyon 2; Chengdu University</t>
  </si>
  <si>
    <t>Ouzrout, Y (corresponding author), Univ Lyon 2, DISP Lab, F-69365 Lyon 07, France.</t>
  </si>
  <si>
    <t>Chang.liu@univ-lyon2.fr; yacine.ouzrout@univ-lyon2.fr</t>
  </si>
  <si>
    <t>NONGAILLARD, Antoine/0000-0001-8551-0509</t>
  </si>
  <si>
    <t>European Erasmus-Mundus Sustainable eTourism project</t>
  </si>
  <si>
    <t>This work is supported by the European Erasmus-Mundus Sustainable eTourism project 2010-2014.</t>
  </si>
  <si>
    <t>10.1016/j.ijpe.2013.04.014</t>
  </si>
  <si>
    <t>WOS:000329880300017</t>
  </si>
  <si>
    <t>Tsou, CM</t>
  </si>
  <si>
    <t>Tsou, Chi-Ming</t>
  </si>
  <si>
    <t>On the strategy of supply chain collaboration based on dynamic inventory target level management: A theory of constraint perspective</t>
  </si>
  <si>
    <t>APPLIED MATHEMATICAL MODELLING</t>
  </si>
  <si>
    <t>Supply chain collaboration; Theory of constraint; Target inventory level</t>
  </si>
  <si>
    <t>TOC; PERFORMANCE; BOUNDS</t>
  </si>
  <si>
    <t>After the financial tsunami in 2008, how to adjust the target inventory level dynamically and instantly in order to reduce the risk that an enterprise encountered in a rapid demand changing market has become a crucial issue in the field of supply chain management. This paper explores the strategies of supply chain collaboration by utilizing theory of constraint to achieve the goal of adjusting the target inventory level dynamically. Three time-series-data-mining techniques - Sequential Probability Ratio Test (SPRT), CUSUM chart and Auto-regression Test (AR(1)) are used to detect the timing of market demand change. The results are used to adjust the target inventory level. Simulation techniques are used to explore the relative efficiency of the demand-change detection for the three methods. The techniques are also used to explore the effectiveness of various inventory management strategies on inventory performance based on the three demand change detection methods. (C) 2012 Elsevier Inc. All rights reserved.</t>
  </si>
  <si>
    <t>Lunghwa Univ Sci &amp; Technol, Dept Informat Management, Guishan 333, Taoyuan Country, Taiwan</t>
  </si>
  <si>
    <t>Tsou, CM (corresponding author), Lunghwa Univ Sci &amp; Technol, Dept Informat Management, 300,Sec 1,Wanshou Rd, Guishan 333, Taoyuan Country, Taiwan.</t>
  </si>
  <si>
    <t>im065@mail.lhu.edu.tw</t>
  </si>
  <si>
    <t>0307-904X</t>
  </si>
  <si>
    <t>1872-8480</t>
  </si>
  <si>
    <t>APPL MATH MODEL</t>
  </si>
  <si>
    <t>Appl. Math. Model.</t>
  </si>
  <si>
    <t>10.1016/j.apm.2012.10.031</t>
  </si>
  <si>
    <t>Engineering, Multidisciplinary; Mathematics, Interdisciplinary Applications; Mechanics</t>
  </si>
  <si>
    <t>Engineering; Mathematics; Mechanics</t>
  </si>
  <si>
    <t>112GB</t>
  </si>
  <si>
    <t>WOS:000316579600048</t>
  </si>
  <si>
    <t>Hossain, M; Jahan, R</t>
  </si>
  <si>
    <t>Hossain, Moazzem; Jahan, Rawnak</t>
  </si>
  <si>
    <t>Supply chain improvement and product diversification through integrated zoning of Bangladesh rice milling industry</t>
  </si>
  <si>
    <t>INTERNATIONAL JOURNAL OF VALUE CHAIN MANAGEMENT</t>
  </si>
  <si>
    <t>rice supply chain; chain integration; clustering; specialised zone; business with rice by-products; Bangladesh; rice producing countries</t>
  </si>
  <si>
    <t>MANAGEMENT INTEGRATION; PERFORMANCE</t>
  </si>
  <si>
    <t>The purpose of this paper is to assess the integration status and associated weaknesses of informal rice milling industry in Bangladesh, and explores the achievable benefits through reorientation of the informal rice industry into integrated and specialised rice industry zone(s) (SRIZ). The study investigates the feasible integrated development of rice and paddy/rice oriented supplementary industries through clustering and grouping into SRIZ. Furthermore, it identifies new opportunities in terms of business, technology up gradation, product diversification, industry sustainability, standardisation and food security in an otherwise traditional rice supply chain of Bangladesh and similar other rice producing developing countries. Both structured and semi-structured questionnaire survey have been conducted to know the detail characteristics of sporadically developed rice manufacturing industry in various parts of Bangladesh. Using proposed integration evaluation criteria, rice supply chain integration status is evaluated along with identification of associated problems due to current poor integration situation. Analysis of endogenous and exogenous shortcomings of informal rice mills system in Bangladesh engenders solution mechanisms through promotion of integration, clustering and specialised zoning of rice mills. The findings of this research will be useful both for policy makers and agribusiness researchers in rice-producing countries, especially, which have informal setup of rapidly growing rice mills.</t>
  </si>
  <si>
    <t>[Hossain, Moazzem; Jahan, Rawnak] Bangladesh Univ Engn &amp; Technol, Dept Civil Engn, Dhaka 1000, Bangladesh</t>
  </si>
  <si>
    <t>Bangladesh University of Engineering &amp; Technology (BUET)</t>
  </si>
  <si>
    <t>Hossain, M (corresponding author), Bangladesh Univ Engn &amp; Technol, Dept Civil Engn, Dhaka 1000, Bangladesh.</t>
  </si>
  <si>
    <t>moazzem@ce.buet.ac.bd; mail2rawnak@yahoo.com</t>
  </si>
  <si>
    <t>1741-5357</t>
  </si>
  <si>
    <t>1741-5365</t>
  </si>
  <si>
    <t>INT J VALUE CHAIN MA</t>
  </si>
  <si>
    <t>Int. J. Chain Manag.</t>
  </si>
  <si>
    <t>10.1504/IJVCM.2018.10013601</t>
  </si>
  <si>
    <t>HI3QV</t>
  </si>
  <si>
    <t>WOS:000456367100005</t>
  </si>
  <si>
    <t>Jain, V; Wadhwa, S; Deshmukh, SG</t>
  </si>
  <si>
    <t>Jain, Vipul; Wadhwa, S.; Deshmukh, S. G.</t>
  </si>
  <si>
    <t>Select supplier-related issues in modelling a dynamic supply chain: potential, challenges and direction for future research</t>
  </si>
  <si>
    <t>supplier selection; supplier-buyer relationships; multi-agent; fuzzy logic; supply chain management</t>
  </si>
  <si>
    <t>ANALYTIC HIERARCHY PROCESS; DECISION-MAKING; PETRI NETS; TOTAL-COST; PERFORMANCE; MANAGEMENT; CRITERIA; SYSTEM; PARTNERSHIPS; INFORMATION</t>
  </si>
  <si>
    <t>This paper is aimed at providing a broad review of the main approaches to supplier-related issues especially supplier selection, supplier-buyer relationships, supplier-buyer flexibility in relationships in a dynamic supply chain, through the description of the main characteristics, techniques, ongoing developments and research activities. Also, the issues relating to integration of core processes across organisational boundaries through improved communication, partnerships, alliances and cooperation are addressed, with its inherent focus on Web-enabled collaboration among the suppliers and the buyers. The aim of this paper is to consolidate the existing research efforts concerning the supplier-related issues, and to identify promising emerging issues for further study in this area. More specifically, this work analyses how diverse modelling techniques such as agent technology, petri nets, fuzzy logic and data mining can be applied to support dynamic supply chain configurations with reference to supplier-related issues.</t>
  </si>
  <si>
    <t>[Jain, Vipul; Wadhwa, S.; Deshmukh, S. G.] Indian Inst Technol, Dept Mech Engn, New Delhi 110016, India</t>
  </si>
  <si>
    <t>Deshmukh, SG (corresponding author), Indian Inst Technol, Dept Mech Engn, New Delhi 110016, India.</t>
  </si>
  <si>
    <t>deshmukh@mech.iitd.ernet.in</t>
  </si>
  <si>
    <t>Deshmukh, S/E-8267-2013</t>
  </si>
  <si>
    <t>Deshmukh, S/0000-0002-7043-6948; Jain, Vipul/0000-0002-4421-5535</t>
  </si>
  <si>
    <t>PII 790479307</t>
  </si>
  <si>
    <t>10.1080/00207540701769958</t>
  </si>
  <si>
    <t>434QL</t>
  </si>
  <si>
    <t>WOS:000265289100010</t>
  </si>
  <si>
    <t>Ghadge, A; Weiss, M; Caldwell, ND; Wilding, R</t>
  </si>
  <si>
    <t>Ghadge, Abhijeet; Weiss, Maximilian; Caldwell, Nigel D.; Wilding, Richard</t>
  </si>
  <si>
    <t>Managing cyber risk in supply chains: a review and research agenda</t>
  </si>
  <si>
    <t>SUPPLY CHAIN MANAGEMENT-AN INTERNATIONAL JOURNAL</t>
  </si>
  <si>
    <t>Risk management; Cybersecurity; Text mining; Systematic literature review; Supply chain disruptions; Supply chain risk management; Supply risk; Supply chain resilience; Cyber-attacks; Cyber risks; Cyber resilience</t>
  </si>
  <si>
    <t>INFORMATION SECURITY; MANAGEMENT; MITIGATION; FUTURE; COLLABORATION; CYBERSECURITY; INTEGRATION; RESILIENCE; KNOWLEDGE; MODELS</t>
  </si>
  <si>
    <t>Purpose In spite of growing research interest in cyber security, inter-firm based cyber risk studies are rare. Therefore, this study aims to investigate cyber risk management in supply chain contexts. Design/methodology/approach Adapting a systematic literature review process, papers from interdisciplinary areas published between 1990 and 2017 were selected. Different typologies, developed for conducting descriptive and thematic analysis, were established using data mining techniques to conduct a comprehensive, replicable and transparent review. Findings The review identifies multiple future research directions for cyber security/resilience in supply chains. A conceptual model is developed, which indicates a strong link between information technology, organisational and supply chain security systems. The human/behavioural elements within cyber security risk are found to be critical; however, behavioural risks have attracted less attention because of a perceived bias towards technical (data, application and network) risks. There is a need for raising risk awareness, standardised policies, collaborative strategies and empirical models for creating supply chain cyber-resilience. Research limitations/implications - Different types of cyber risks and their points of penetration, propagation levels, consequences and mitigation measures are identified. The conceptual model developed in this study drives an agenda for future research on supply chain cyber security/resilience. Practical implications - A multi-perspective, systematic study provides a holistic guide for practitioners in understanding cyber-physical systems. The cyber risk challenges and the mitigation strategies identified support supply chain managers in making informed decisions. Originality/value To the best of the authors' knowledge, this is the first systematic literature review on managing cyber risks in supply chains. The review defines supply chain cyber risk and develops a conceptual model for supply chain cyber security systems and an agenda for future studies.</t>
  </si>
  <si>
    <t>[Ghadge, Abhijeet; Wilding, Richard] Cranfield Univ, Cranfield Sch Management, Ctr Logist &amp; Supply Chain Management, Cranfield, Beds, England; [Weiss, Maximilian; Caldwell, Nigel D.] Heriot Watt Univ, Dept Logist Res Ctr, Sch Social Sci, Edinburgh, Midlothian, Scotland</t>
  </si>
  <si>
    <t>Cranfield University; Heriot Watt University</t>
  </si>
  <si>
    <t>Ghadge, A (corresponding author), Cranfield Univ, Cranfield Sch Management, Ctr Logist &amp; Supply Chain Management, Cranfield, Beds, England.</t>
  </si>
  <si>
    <t>Abhijeet.Ghadge@Cranfield.ac.uk; maxweiss99@googlemail.com; N.D.Caldwell@hw.ac.uk; r.d.wilding@cranfield.ac.uk</t>
  </si>
  <si>
    <t>Ghadge, Abhijeet/B-2249-2012; Wilding, Richard/AAA-3267-2022</t>
  </si>
  <si>
    <t>Ghadge, Abhijeet/0000-0002-0310-2761; Wilding, Richard/0000-0002-8547-6133; Caldwell, Nigel/0000-0002-5323-3831</t>
  </si>
  <si>
    <t>1359-8546</t>
  </si>
  <si>
    <t>1758-6852</t>
  </si>
  <si>
    <t>SUPPLY CHAIN MANAG</t>
  </si>
  <si>
    <t>Supply Chain Manag.</t>
  </si>
  <si>
    <t>10.1108/SCM-10-2018-0357</t>
  </si>
  <si>
    <t>KN9JY</t>
  </si>
  <si>
    <t>WOS:000515165100001</t>
  </si>
  <si>
    <t>Chiang, TA; Che, ZH; Hung, CW</t>
  </si>
  <si>
    <t>Chiang, Tzu-An; Che, Zhen-Hua; Hung, Chao-Wei</t>
  </si>
  <si>
    <t>A K-Means Clustering and the Prim's Minimum Spanning Tree-Based Optimal Picking-List Consolidation and Assignment Methodology for Achieving the Sustainable Warehouse Operations</t>
  </si>
  <si>
    <t>sustainable supply chain; K-means clustering; Prim's minimum spanning tree; picking-list consolidation; picking-list assignment; carbon emissions</t>
  </si>
  <si>
    <t>Rapid industrialization has caused the concentration of greenhouse gases in the atmosphere to increase rapidly, leading to drastic global climate changes and ecological degradation. To establish a sustainable supply chain for consumer electronic products, this study focuses on warehouse operations and develops a K-means clustering and Prim's minimum spanning tree-based optimal picking-list consolidation and assignment methodology. Compact camera modules are used to demonstrate and verify the effectiveness of this methodology. This methodology can be divided into two parts. First, the K-means clustering method is applied to conduct a picking-list consolidation analysis to create an optimal picking-list consolidation strategy for sustainable warehouse operations. Second, the most similar picking lists in each cluster are connected using Prim's minimum spanning tree algorithm to generate the connected graph with the minimum spanning tree so as to establish a picking-list assignment strategy for sustainable warehouse operations. In this case study, this to-be model substantially reduced the traveling distance of the electric order-picking trucks within a warehouse and increased the picking efficiency to diminish the carbon emissions toward a sustainable supply chain.</t>
  </si>
  <si>
    <t>[Chiang, Tzu-An; Hung, Chao-Wei] Natl Taipei Univ Business, Dept Business Adm, Taipei 100, Taiwan; [Che, Zhen-Hua] Natl Taipei Univ Technol, Dept Ind Engn &amp; Management, Taipei 106, Taiwan</t>
  </si>
  <si>
    <t>National Taipei University of Business; National Taipei University of Technology</t>
  </si>
  <si>
    <t>Che, ZH (corresponding author), Natl Taipei Univ Technol, Dept Ind Engn &amp; Management, Taipei 106, Taiwan.</t>
  </si>
  <si>
    <t>zhche@ntut.edu.tw</t>
  </si>
  <si>
    <t>Ministry of Science and Technology, Taiwan [MOST 111-2221-E-141-003]</t>
  </si>
  <si>
    <t>Ministry of Science and Technology, Taiwan(Ministry of Science and Technology, Taiwan)</t>
  </si>
  <si>
    <t>This research was funded by the Ministry of Science and Technology, Taiwan, grant number MOST 111-2221-E-141-003.</t>
  </si>
  <si>
    <t>10.3390/su15043544</t>
  </si>
  <si>
    <t>9L1ZK</t>
  </si>
  <si>
    <t>WOS:000941354500001</t>
  </si>
  <si>
    <t>Managing product variety through configuration of pre-assembled vanilla boxes using hierarchical clustering</t>
  </si>
  <si>
    <t>vanilla box configuration; hierarchical clustering; product variety; mass customisation; postponement</t>
  </si>
  <si>
    <t>PLATFORM DESIGN; DELAYED DIFFERENTIATION; STOCHASTIC DEMAND; DECISIONS; FAMILIES; REDESIGN; LINES</t>
  </si>
  <si>
    <t>Postponement strategy and platform-based production are common practices of mass customisation to address supply chain challenges due to the requirement of product variety. This paper focuses on implementing mass customisation through development of semi-finished forms of products (vanilla boxes) to reduce supply chain cost and facilitate the production process. The challenge is that the possible number of vanilla box configurations grows dramatically with the increase in number of product variants. In the solution approach, the basic information of product variety is captured in a matrix format, specifying the component requirements for each product variant. Then, hierarchical clustering is applied over the components with the considerations of demands. The clustering method consists of three major stages: similarity analysis, tree construction and tree-based analysis. The key stage is similarity analysis, in which problem-specific information can be incorporated in the clustering process. Two numerical examples from the literature are used to verify that the clustering approach can yield good-quality solutions.</t>
  </si>
  <si>
    <t>[Daie, Pooya] Concordia Univ, Dept Mech &amp; Ind Engn, Montreal, PQ, Canada; [Li, Simon] Univ Calgary, Dept Mech &amp; Mfg Engn, Calgary, AB, Canada</t>
  </si>
  <si>
    <t>Li, S (corresponding author), Univ Calgary, Dept Mech &amp; Mfg Engn, Calgary, AB, Canada.</t>
  </si>
  <si>
    <t>Natural Sciences and Engineering Research Council of Canada [RGPIN 341061]</t>
  </si>
  <si>
    <t>Natural Sciences and Engineering Research Council of Canada(Natural Sciences and Engineering Research Council of Canada (NSERC)CGIAR)</t>
  </si>
  <si>
    <t>This work was supported by the Natural Sciences and Engineering Research Council of Canada [Discovery Grants/RGPIN 341061].</t>
  </si>
  <si>
    <t>10.1080/00207543.2016.1158879</t>
  </si>
  <si>
    <t>DS8VJ</t>
  </si>
  <si>
    <t>WOS:000381060800008</t>
  </si>
  <si>
    <t>Jain, R; Singh, AR; Yadav, HC; Mishra, PK</t>
  </si>
  <si>
    <t>Jain, Rajeev; Singh, A. R.; Yadav, H. C.; Mishra, P. K.</t>
  </si>
  <si>
    <t>Using data mining synergies for evaluating criteria at pre-qualification stage of supplier selection</t>
  </si>
  <si>
    <t>Supply chain management (SCM); Supplier selection; Supplier's pre-qualification; Data mining; i-PM algorithm</t>
  </si>
  <si>
    <t>FUZZY; MANAGEMENT; SYSTEM</t>
  </si>
  <si>
    <t>A company must purchase a lot of diverse components and raw material from different upstream suppliers to manufacture or assemble its products. Under this situation the supplier selection has become a critical issue for the purchasing department.The selection of suppliers depends on number of criteria and the challenge is to optimize selection process based on critical criteria and select the best supplier(s). During supplier selection process initial screening of potential suppliers from a large set is vital and the determination of prospective supplier is largely dependent on the criteria chosen of such pre-qualification. In the literature, many judgments based methods are proposed and derived criteria selection from the opinion of either the customers or the experts. All these techniques use the knowledge and experience of the decision makers. These methods inherit certain degree of uncertainty due to complex supply chain structure. The extraction of hidden knowledge is one of the most important tools to address such uncertainty and data mining is one such concept to account for such uncertainty and it has been found applicable in many scenarios. The proposed research aims to introduce a data mining approach, to discover the hidden relationships among the supplier's pre-qualification data with the overall supplier rating that have been derived after observation of previously executed work for a period of time. It provides an overview that how supplier's initial strength influence its final work performance.</t>
  </si>
  <si>
    <t>[Jain, Rajeev] Kalaniketan Polytech Coll, Dept Mech Engn, Jabalpur 482001, India; [Singh, A. R.; Yadav, H. C.; Mishra, P. K.] Motilal Nehru Natl Inst Technol, Dept Mech Engn, Allahabad 211004, Uttar Pradesh, India</t>
  </si>
  <si>
    <t>National Institute of Technology (NIT System); Motilal Nehru National Institute of Technology</t>
  </si>
  <si>
    <t>Jain, R (corresponding author), Kalaniketan Polytech Coll, Dept Mech Engn, Jabalpur 482001, India.</t>
  </si>
  <si>
    <t>rjain@mnnit.ac.in</t>
  </si>
  <si>
    <t>Singh, Amitraj/I-3903-2019; Jain, Rajeev/N-9699-2014</t>
  </si>
  <si>
    <t>Singh, Amitraj/0000-0003-2112-5948; Jain, Rajeev/0000-0001-9014-2843</t>
  </si>
  <si>
    <t>10.1007/s10845-012-0684-z</t>
  </si>
  <si>
    <t>302GL</t>
  </si>
  <si>
    <t>WOS:000330590600013</t>
  </si>
  <si>
    <t>Song, H; Li, MY; Yu, KK</t>
  </si>
  <si>
    <t>Song, Hua; Li, Mengyin; Yu, Kangkang</t>
  </si>
  <si>
    <t>Big data analytics in digital platforms: how do financial service providers customise supply chain finance?</t>
  </si>
  <si>
    <t>INTERNATIONAL JOURNAL OF OPERATIONS &amp; PRODUCTION MANAGEMENT</t>
  </si>
  <si>
    <t>Supply chain finance; Financial service providers; Discriminative effects; Supportive effects; Digital platform; Big data analytics</t>
  </si>
  <si>
    <t>Purpose This study examines the role of financial service providers (FSPs) in assessing the supply chain credit of small and medium-sized enterprises (SMEs) and how they help SMEs obtain supply chain finance (SCF) through an established digital platform using big data analytics (BDA). Design/methodology/approach This study conducted data mining analysis on the archival data of China's FSPs in the mobile production industry from 2015 to 2018, using neural networks in the first stage and multiple regression in the second stage. Findings The findings suggest that digital platforms sponsored by FSPs have a discriminative effect based on implicit BDA on identifying the quality and potential risks of borrowers. The results also show that tailored information utilised by FSPs has a supportive effect based on explicit BDA in helping SMEs obtain financing. Originality/value This study contributes to the emergent research on BDA in supply chain management by extending the contextual research on information signalling and platform theory in SCF. Furthermore, it examines the distinctive financing decision models of FSPs and provides a solution that addresses the information deficiency and overload of both lenders and borrowers and plays a certain reference role in alleviating the financing problems of SMEs.</t>
  </si>
  <si>
    <t>[Song, Hua] Renmin Univ, Sch Business, Beijing, Peoples R China; [Li, Mengyin] China Conservatory Mus, Dept Arts Management, Beijing, Peoples R China; [Yu, Kangkang] Renmin Univ China, Sch Agr Econ &amp; Rural Dev, Beijing, Peoples R China</t>
  </si>
  <si>
    <t>Renmin University of China; China Conservatory of Music; Renmin University of China</t>
  </si>
  <si>
    <t>Yu, KK (corresponding author), Renmin Univ China, Sch Agr Econ &amp; Rural Dev, Beijing, Peoples R China.</t>
  </si>
  <si>
    <t>yukangkang@ruc.edu.cn</t>
  </si>
  <si>
    <t>Li, Mengyin/IST-0509-2023</t>
  </si>
  <si>
    <t>Yu, Kangkang/0000-0002-5817-2695</t>
  </si>
  <si>
    <t>National Natural Science Foundation of China [71872177, 72072174]</t>
  </si>
  <si>
    <t>This study is supported by the National Natural Science Foundation of China (No. 71872177; 72072174).</t>
  </si>
  <si>
    <t>0144-3577</t>
  </si>
  <si>
    <t>1758-6593</t>
  </si>
  <si>
    <t>INT J OPER PROD MAN</t>
  </si>
  <si>
    <t>Int. J. Oper. Prod. Manage.</t>
  </si>
  <si>
    <t>10.1108/IJOPM-07-2020-0485</t>
  </si>
  <si>
    <t>SN6JB</t>
  </si>
  <si>
    <t>WOS:000634575400001</t>
  </si>
  <si>
    <t>Zhou, RY; Awasthi, A; Stal-Le Cardinal, J</t>
  </si>
  <si>
    <t>Zhou, Rongyan; Awasthi, Anjali; Stal-Le Cardinal, Julie</t>
  </si>
  <si>
    <t>The main trends for multi-tier supply chain in Industry 4.0 based on Natural Language Processing</t>
  </si>
  <si>
    <t>Multi-tier supply chain (MSC); Industry 4.0; Literature review; Text mining; Unsupervised learning</t>
  </si>
  <si>
    <t>Multi-tier supply chains in Industry 4.0 are critical emerging issues today. This article briefly examines the Industry 4.0 policies in different countries. In order to decide on a better model and the number of topics in the model, a comparative test of the coherence value for two machine learning classification methods based on Latent Dirichlet Allocation was conducted. Subsequently, the article combines the traditional literature review method with a survey article referring to Industry 4.0 and multi-tier supply chain, indexed by science citation index expanded (SCI-EXPANDED) and social sciences citation index (SSCI) during 2009-2018. The research direction, research type, and research approaches of each paper were extracted, and the topics of all the articles were classified by machine learning, which provides feasible routes and valuable research directions for researchers in this field. Afterward, the research status and future research directions were identified. The combination of natural language processing in machine learning to classify research topics and traditional literature review to investigate article details greatly improved the objectivity and scientificity of the study and laid a solid foundation for further research. (c) 2020 Elsevier B.V. All rights reserved.</t>
  </si>
  <si>
    <t>[Zhou, Rongyan; Stal-Le Cardinal, Julie] Univ Paris Saclay, Cent Supelec, Lab Genie Ind, 3 Rue Joliot Curie, F-91190 Gif Sur Yvette, France; [Awasthi, Anjali] Concordia Univ, CIISE EV 6 221, Montreal, PQ, Canada</t>
  </si>
  <si>
    <t>UDICE-French Research Universities; Universite Paris Saclay; Concordia University - Canada</t>
  </si>
  <si>
    <t>Zhou, RY (corresponding author), Univ Paris Saclay, Cent Supelec, Lab Genie Ind, 3 Rue Joliot Curie, F-91190 Gif Sur Yvette, France.</t>
  </si>
  <si>
    <t>rongyan.zhou@centralesupelec.fr; anjali.awasthi@concordia.ca; julie.le-cardinal@centralesupelec.fr</t>
  </si>
  <si>
    <t>Le Cardinal, Julie/0000-0003-3269-4484</t>
  </si>
  <si>
    <t>Universite Paris-Saclay; CentraleSupelec; Concordia University; Canada Mitacs [FR37639]; China Scholarship Council [JXJZHM 20171324]</t>
  </si>
  <si>
    <t>Universite Paris-Saclay; CentraleSupelec; Concordia University; Canada Mitacs; China Scholarship Council(China Scholarship Council)</t>
  </si>
  <si>
    <t>Thanks, human resources, material, and financial support provided by the Universite Paris-Saclay, CentraleSupelec, and Concordia University. Furthermore, we would like to extend our sincere gratitude to the funds provided by the Canada Mitacs (FR37639) and the China Scholarship Council (JXJZHM 20171324) to support our research.</t>
  </si>
  <si>
    <t>10.1016/j.compind.2020.103369</t>
  </si>
  <si>
    <t>QE1RD</t>
  </si>
  <si>
    <t>WOS:000615986800001</t>
  </si>
  <si>
    <t>Janjua, NK; Nawaz, F; Prior, DD</t>
  </si>
  <si>
    <t>Janjua, Naeem Khalid; Nawaz, Falak; Prior, Daniel D.</t>
  </si>
  <si>
    <t>A fuzzy supply chain risk assessment approach using real-time disruption event data from Twitter</t>
  </si>
  <si>
    <t>Supply chain; risk assessment; social media; fuzzy logic; natural language processing</t>
  </si>
  <si>
    <t>SOCIAL MEDIA; PROACTIVE MANAGEMENT; SLA VIOLATIONS; PERFORMANCE; MITIGATION; KNOWLEDGE; CLOUD</t>
  </si>
  <si>
    <t>In this study, we develop a novel methodology to identify supply chain disruption events using Twitter feeds in real time. Underpinned by advances in Natural Language Processing (NLP) and machine learning, we propose an approach that includes a state-of-the-art variant of Conditional Random Field (CRF) model for event annotation, location-based clustering of the annotated events, and a fuzzy inference system to evaluate supply chain risk. We validate the new approach through a text corpus derived from a Twitter data stream, which is a popular method in NLP. The results show that the proposed model outperforms the baseline model.</t>
  </si>
  <si>
    <t>[Janjua, Naeem Khalid] Edith Cowan Univ, Sch Sci Comp &amp; Secur, Perth, WA, Australia; [Nawaz, Falak] Australian Natl Univ, Natl Computat Infrastruct NCI, Canberra, ACT, Australia; [Prior, Daniel D.] Univ New South Wales, Sch Business, Canberra, ACT, Australia</t>
  </si>
  <si>
    <t>Edith Cowan University; Australian National University; University of New South Wales Sydney</t>
  </si>
  <si>
    <t>Janjua, NK (corresponding author), Edith Cowan Univ, Sch Sci, Perth, WA, Australia.</t>
  </si>
  <si>
    <t>n.janjua@ecu.edu.au</t>
  </si>
  <si>
    <t>Prior, Daniel/0000-0002-4365-2100</t>
  </si>
  <si>
    <t>10.1080/17517575.2021.1959652</t>
  </si>
  <si>
    <t>9S3QX</t>
  </si>
  <si>
    <t>WOS:000680273500001</t>
  </si>
  <si>
    <t>Jain, V; Benyoucef, L; Deshmukh, SG</t>
  </si>
  <si>
    <t>Jain, Vipul; Benyoucef, Lyes; Deshmukh, S. G.</t>
  </si>
  <si>
    <t>A new approach for evaluating agility in supply chains using Fuzzy Association Rules Mining</t>
  </si>
  <si>
    <t>12th IFAC/IFIP/IFORS/IEEE Symposium on Information Control Problems in Manufacturing (INCOM 2006)</t>
  </si>
  <si>
    <t>MAY 17-JUL 19, 2006</t>
  </si>
  <si>
    <t>St Etienne, FRANCE</t>
  </si>
  <si>
    <t>IFAC,IFIP,IFORS,IEEE</t>
  </si>
  <si>
    <t>supply chain management; agility; association rules; fuzzy logic</t>
  </si>
  <si>
    <t>FRAMEWORK; SYSTEMS; DESIGN</t>
  </si>
  <si>
    <t>Besides its effectiveness, supply chain management (SCM) is a complex process because of the stochastic and dynamic nature, multi-criterion and ever-increasing complexity of supply chains. Furthermore, companies have realized that agility is essential for their survival and competitiveness. Consequently, there is no generally accepted method by researchers and practitioners for designing, operating and evaluating agile supply chains. Moreover, the ability to build agile supply chain has developed more slowly than anticipated, because technology for managing agile supply chain is still being developed. Therefore, in this paper, we develop a new approach based oil Fuzzy Association Rule Mining to support the decision makers by enhancing the flexibility in making decisions for evaluating agility with both tangibles and intangibles attributes/criteria such as Flexibility, Profitability, Quality, Innovativeness, Pro-activity, Speed of response, Cost and Robustness. Also, by checking the fuzzy classification rules, the goal of knowledge acquisition can be achieved in a framework in which evaluation of agility could be established without constraints, and consequently checked and compared in several details. Efficacy and intricacy of the proposed approach for finding fuzzy association rules from the database for evaluating agility is demonstrated with the help of a numerical example. (C) 2007 Elsevier Ltd. All rights reserved.</t>
  </si>
  <si>
    <t>[Deshmukh, S. G.] Indian Inst Technol, Dept Mech Engn, Delhi 110016, India; [Jain, Vipul; Benyoucef, Lyes] INRIA Lorraine, COSTEAM Project, F-57000 Metz, France</t>
  </si>
  <si>
    <t>Benyoucef, L (corresponding author), INRIA Lorraine, COSTEAM Project, ISGMP Bat A,Ile du Saulcy, F-57000 Metz, France.</t>
  </si>
  <si>
    <t>vipul.jain@loria.fr; lyes.benyoucef@loria.fr; deshmukh@mech.iitd.ernet.in</t>
  </si>
  <si>
    <t>10.1016/j.engappai.2007.07.004</t>
  </si>
  <si>
    <t>312ZF</t>
  </si>
  <si>
    <t>WOS:000256710200007</t>
  </si>
  <si>
    <t>Ganesh, AD; Kalpana, P</t>
  </si>
  <si>
    <t>Ganesh, A. Deiva; Kalpana, P.</t>
  </si>
  <si>
    <t>Supply chain risk identification: a real-time data-mining approach</t>
  </si>
  <si>
    <t>INDUSTRIAL MANAGEMENT &amp; DATA SYSTEMS</t>
  </si>
  <si>
    <t>Supply chain risk identification; Data analytics; Text-mining; Sentiment analysis; Social-media</t>
  </si>
  <si>
    <t>ARTIFICIAL-INTELLIGENCE; MANAGEMENT; CLASSIFICATION; AHP</t>
  </si>
  <si>
    <t>Purpose The global pandemic COVID-19 unveils transforming the supply chain (SC) to be more resilient against unprecedented events. Identifying and assessing these risk factors is the most significant phase in supply chain risk management (SCRM). The earlier risk quantification methods make timely decision-making more complex due to their inability to provide early warning. The paper aims to propose a model for analyzing the social media data to understand the potential SC risk factors in real-time. Design/methodology/approach In this paper, the potential of text-mining, one of the most popular Artificial Intelligence (AI)-based data analytics approaches for extracting information from social media is exploited. The model retrieves the information using Twitter streaming API from online SC forums. Findings The potential risk factors that disrupt SC performance are obtained from the recent data by text-mining analyses. The outcomes carry valuable insights about some contemporary SC issues due to the pandemic during the year 2021. The most frequent risk factors using rule mining techniques are also analyzed. Originality/value This study presents the significant role of Twitter in real-time risk identification from online SC platforms like Supply Chain Dive, Supply Chain Brain and Supply Chain Digest. The results indicate the significant role of data analytics in achieving accurate decision-making. Future research will extend to represent a digital twin for identifying potential risks through social media analytics, assessing risk propagation and obtaining mitigation strategies.</t>
  </si>
  <si>
    <t>[Ganesh, A. Deiva; Kalpana, P.] Indian Inst Informat Technol Design &amp; Mfg, Chennai, Tamil Nadu, India</t>
  </si>
  <si>
    <t>Indian Institute of Information Technology, Design &amp; Manufacturing, Kancheepuram</t>
  </si>
  <si>
    <t>Kalpana, P (corresponding author), Indian Inst Informat Technol Design &amp; Mfg, Chennai, Tamil Nadu, India.</t>
  </si>
  <si>
    <t>kalpana@iiitdm.ac.in</t>
  </si>
  <si>
    <t>Pitchaimani, Kalpana/0000-0002-0206-1144</t>
  </si>
  <si>
    <t>0263-5577</t>
  </si>
  <si>
    <t>1758-5783</t>
  </si>
  <si>
    <t>IND MANAGE DATA SYST</t>
  </si>
  <si>
    <t>Ind. Manage. Data Syst.</t>
  </si>
  <si>
    <t>10.1108/IMDS-11-2021-0719</t>
  </si>
  <si>
    <t>1D5SD</t>
  </si>
  <si>
    <t>WOS:000784766100001</t>
  </si>
  <si>
    <t>Deng, XZ; Han, Z; Xie, W; Wang, GX; Fan, Z</t>
  </si>
  <si>
    <t>Deng, Xiangzheng; Han, Ze; Xie, Wei; Wang, Guoxia; Fan, Zhe</t>
  </si>
  <si>
    <t>Risk evaluation of the grain supply chain in China</t>
  </si>
  <si>
    <t>INTERNATIONAL JOURNAL OF LOGISTICS-RESEARCH AND APPLICATIONS</t>
  </si>
  <si>
    <t>Grain supply chain; food supply chain; grain risk; international trade; epidemics</t>
  </si>
  <si>
    <t>FOOD SECURITY; IMPACT; PRODUCTIVITY; PERFORMANCE; MANAGEMENT; LOGISTICS; TRADE; MODEL</t>
  </si>
  <si>
    <t>The food supply chain (GSC) involves multiple links from production to consumption. The interruption of one or more links will lead to supply risks, evolving into food crises. To better guarantee food security, maintain national security, it is essential to improve the structural imbalance of China's food supply. This article innovatively regards trade as an important link in the food supply chain and quantitatively designs 16 indicators from the four links of production, consumption, trade, and circulation to evaluate the food supply chain risks of 30 provinces in China from 2003 to 2019. The results show that: (1) The GSC risk value at the regional scale is generally stable, and the western region is slightly higher than the eastern region. (2) The distribution of risk value shows significant spatial clustering. (3) During the study period, China's grain risk has not changed significantly. The highest average risk is the production link of the supply chain, followed by the distribution and trade links. He also believes that adjusting production, enhancing regional trade, strengthening suitability, and enhancing defensiveness are corresponding measures to improve the food supply chain. It is expected to provide a reasonable reference for government agencies.</t>
  </si>
  <si>
    <t>[Deng, Xiangzheng; Han, Ze] Chinese Acad Sci, Inst Geog Sci &amp; Nat Resources Res, Key Lab Land Surface Pattern &amp; Simulat, Beijing, Peoples R China; [Deng, Xiangzheng] Univ Chinese Acad Sci, Beijing, Peoples R China; [Xie, Wei] Peking Univ, China Ctr Agr Policy, Sch Adv Agr Sci, Beijing, Peoples R China; [Wang, Guoxia] Shanxi Univ, Sch Econ &amp; Management, Taiyuan, Peoples R China; [Fan, Zhe] Southwest Forestry Univ, Sch Econ &amp; Management, Kunming, Yunnan, Peoples R China</t>
  </si>
  <si>
    <t>Chinese Academy of Sciences; Institute of Geographic Sciences &amp; Natural Resources Research, CAS; Chinese Academy of Sciences; University of Chinese Academy of Sciences, CAS; Peking University; Shanxi University; Southwest Forestry University - China</t>
  </si>
  <si>
    <t>Deng, XZ (corresponding author), Chinese Acad Sci, Inst Geog Sci &amp; Nat Resources Res, Key Lab Land Surface Pattern &amp; Simulat, Beijing, Peoples R China.;Deng, XZ (corresponding author), Univ Chinese Acad Sci, Beijing, Peoples R China.</t>
  </si>
  <si>
    <t>dengxz@igsnrr.ac.cn</t>
  </si>
  <si>
    <t>wu, yi/JEP-1581-2023; zhang, xu/JEO-4879-2023; Han, Ze/IQW-0406-2023</t>
  </si>
  <si>
    <t>National Natural Science Foundation of China [41771568,72042020]; Strategic Priority Research Program of Chinese Academy of Sciences [XDA23070400]</t>
  </si>
  <si>
    <t>National Natural Science Foundation of China(National Natural Science Foundation of China (NSFC)); Strategic Priority Research Program of Chinese Academy of Sciences(Chinese Academy of Sciences)</t>
  </si>
  <si>
    <t>This work was supported by National Natural Science Foundation of China: [Grant Number 41771568,72042020]; Strategic Priority Research Program of Chinese Academy of Sciences: [Grant Number XDA23070400].</t>
  </si>
  <si>
    <t>1367-5567</t>
  </si>
  <si>
    <t>1469-848X</t>
  </si>
  <si>
    <t>INT J LOGIST-RES APP</t>
  </si>
  <si>
    <t>Int. J. Logist.-Res. Appl.</t>
  </si>
  <si>
    <t>2021 DEC 1</t>
  </si>
  <si>
    <t>10.1080/13675567.2021.2009450</t>
  </si>
  <si>
    <t>XF3UJ</t>
  </si>
  <si>
    <t>WOS:000723999000001</t>
  </si>
  <si>
    <t>Luo, P; Ngai, EWT; Cheng, TCE</t>
  </si>
  <si>
    <t>Luo, Peng; Ngai, Eric W. T.; Cheng, T. C. Edwin</t>
  </si>
  <si>
    <t>Supply chain network structures and firm financial performance: the moderating role of international relations</t>
  </si>
  <si>
    <t>Supply chain network; International relations; Network structures; Firm financial performance; Empirical study</t>
  </si>
  <si>
    <t>TEAM NATIONALITY DIVERSITY; MARKETING ALLIANCES; DIVERSIFICATION; INNOVATION; IMPACT; RISK; PRODUCT; ENTREPRENEURSHIP; EXPANSION; COMPANIES</t>
  </si>
  <si>
    <t>PurposeThis paper examines the relationship between supply chain network structures and firm financial performance and the moderating role of international relations. In this study, which is grounded in social capital theory and applies the perspective of systemic risk, the authors theorize the effects of supply chain network structures on firm performance.Design/methodology/approachThe authors extracted data from two Chinese databases and constructed a supply chain network of the firms concerned based on nearly 4,300 supply chain relations between 2009 and 2018. The authors adopted the fixed effects model to investigate the relationship between supply chain network structures and firm financial performance.FindingsThe econometrics results indicate that network structures, including the degree, centrality, clustering coefficients and structural holes, are significantly related to firm financial performance. A significant and negative relationship exists between international relations and firm financial performance. The authors also find that international relations strongly weaken the relationship between supply chain network structures and firm financial performance.Originality/valueThis study, which collects secondary data from developing countries (e.g. China) and explores the impacts of supply chain network structures on firm stock performance, contributes to the existing literature and provides practical implications.</t>
  </si>
  <si>
    <t>[Luo, Peng] Sichuan Univ, Business Sch, Chengdu, Sichuan, Peoples R China; [Ngai, Eric W. T.] Hong Kong Polytech Univ, Dept Management &amp; Mkt, Hung Hom, Hong Kong, Peoples R China; [Cheng, T. C. Edwin] Hong Kong Polytech Univ, Dept Logist &amp; Maritime Studies, Hung Hom, Hong Kong, Peoples R China</t>
  </si>
  <si>
    <t>Sichuan University; Hong Kong Polytechnic University; Hong Kong Polytechnic University</t>
  </si>
  <si>
    <t>Luo, P (corresponding author), Sichuan Univ, Business Sch, Chengdu, Sichuan, Peoples R China.</t>
  </si>
  <si>
    <t>luopeng@scu.edu.cn; eric.ngai@polyu.edu.hk; edwin.cheng@polyu.edu.hk</t>
  </si>
  <si>
    <t>Cheng, Edwin/D-5688-2015</t>
  </si>
  <si>
    <t>Cheng, Edwin/0000-0001-5127-6419; LUO, Peng/0000-0003-1126-0329</t>
  </si>
  <si>
    <t>National Natural Science Foundation of China [72101169]; MOE (Ministry of Education in China) Project of Humanities and Social Sciences [20XJC630003]; Natural Science Foundation of Sichuan Province [2023NSFSC1023]; Hong Kong Polytechnic University [CD4T]</t>
  </si>
  <si>
    <t>National Natural Science Foundation of China(National Natural Science Foundation of China (NSFC)); MOE (Ministry of Education in China) Project of Humanities and Social Sciences; Natural Science Foundation of Sichuan Province; Hong Kong Polytechnic University(Hong Kong Polytechnic University)</t>
  </si>
  <si>
    <t>The authors gratefully acknowledge the reviewers' comments on earlier versions of the paper. Peng Luo acknowledges the support of the National Natural Science Foundation of China (72101169), MOE (Ministry of Education in China) Project of Humanities and Social Sciences (20XJC630003) and Natural Science Foundation of Sichuan Province (2023NSFSC1023). Eric W.T. Ngai acknowledges the support of the Hong Kong Polytechnic University (CD4T).</t>
  </si>
  <si>
    <t>2023 APR 27</t>
  </si>
  <si>
    <t>10.1108/IJOPM-07-2022-0434</t>
  </si>
  <si>
    <t>E5PC0</t>
  </si>
  <si>
    <t>WOS:000976049200001</t>
  </si>
  <si>
    <t>Wen, Z; Liao, HC</t>
  </si>
  <si>
    <t>Wen, Zhi; Liao, Huchang</t>
  </si>
  <si>
    <t>Capturing attitudinal characteristics of decision-makers in group decision making: application to select policy recommendations to enhance supply chain resilience under COVID-19 outbreak</t>
  </si>
  <si>
    <t>Group decision making; Supply chain resilience; Attitudinal characteristic; Probabilistic linguistic term set; Ordinal k-means clustering; Gained and lost dominance score method; Personalized quantifier; COVID-19</t>
  </si>
  <si>
    <t>SUBJECTIVE EXPECTED VALUE; CONSENSUS MODEL; INFORMATION; QUANTIFIER</t>
  </si>
  <si>
    <t>The impact of COVID-19 on the global outbreak of supply chain is enormous. It is crucial for governments to take policy recommendations to enhance the supply chain resilience to mitigate the negative impact of COVID-19. For such a major issue, it is a common occurrence that a large number of decision-makers (DMs) are invited to participate in the decision-making process so as to ensure the comprehensiveness and reliability of decision results. Since the attitudinal characteristics of DMs are important factors affecting decision results, this study focuses on capturing the attitudinal characteristics of DMs in the large-scale group decision making process. The capturing process combines the ordinal k-means clustering algorithm, gained and lost dominance score method and personalized quantifiers. To enable DMs to express their cognitions in depth, we use the probabilistic linguistic term set to express the evaluation information of DMs. A case study on selecting the optimal policy recommendation for improving the integration capability of supply chain is given to illustrate the applicability of the proposed process. The superiority of the proposed algorithm is highlighted through sensitive analysis and comparative analysis.</t>
  </si>
  <si>
    <t>[Wen, Zhi; Liao, Huchang] Sichuan Univ, Business Sch, Chengdu 610064, Peoples R China</t>
  </si>
  <si>
    <t>Sichuan University</t>
  </si>
  <si>
    <t>Liao, HC (corresponding author), Sichuan Univ, Business Sch, Chengdu 610064, Peoples R China.</t>
  </si>
  <si>
    <t>wenzhi_456789@163.com; liaohuchang@163.com</t>
  </si>
  <si>
    <t>Liao, Huchang/F-9716-2015</t>
  </si>
  <si>
    <t>Liao, Huchang/0000-0001-8278-3384</t>
  </si>
  <si>
    <t>National Natural Science Foundation of China [71771156, 71971145]</t>
  </si>
  <si>
    <t>The work was supported by the National Natural Science Foundation of China under Grant 71771156, 71971145.</t>
  </si>
  <si>
    <t>10.1007/s12063-020-00170-z</t>
  </si>
  <si>
    <t>WOS:000605126700001</t>
  </si>
  <si>
    <t>Shukla, V; Naim, M</t>
  </si>
  <si>
    <t>Shukla, Vinaya; Naim, Mohamed</t>
  </si>
  <si>
    <t>Detecting disturbances in supply chains: the case of capacity constraints</t>
  </si>
  <si>
    <t>INTERNATIONAL JOURNAL OF LOGISTICS MANAGEMENT</t>
  </si>
  <si>
    <t>Supply chain risk; Clustering; Disturbance detection; Capacity constraint</t>
  </si>
  <si>
    <t>TIME-SERIES DATA; RESEARCH ISSUES; INFORMATION; PERFORMANCE; DISRUPTION; RISK; MITIGATION; STRATEGIES; INSIGHTS; IMPACT</t>
  </si>
  <si>
    <t>Purpose - The ability to detect disturbances quickly as they arise in a supply chain helps to manage them efficiently and effectively. The purpose of this paper is to demonstrate the feasibility of automatically and therefore quickly detecting a specific disturbance, which is constrained capacity at a supply chain echelon. Design/methodology/approach - Different supply chain echelons of a simulated four echelon supply chain were individually capacity constrained to assess their impacts on the profiles of system variables, and to develop a signature that related the profiles to the echelon location of the capacity constraint. A review of disturbance detection techniques across various domains formed the basis for considering the signature-based technique. Findings - The signature for detecting a capacity constrained echelon was found to be based on cluster profiles of shipping and net inventory variables for that echelon as well as other echelons in a supply chain, where the variables are represented as spectra. Originality/value - Detection of disturbances in a supply chain including that of constrained capacity at an echelon has seen limited research where this study makes a contribution.</t>
  </si>
  <si>
    <t>[Shukla, Vinaya] Middlesex Univ, Dept Int Management &amp; Innovat, London, England; [Naim, Mohamed] Cardiff Univ, Cardiff Business Sch, Dept Logist &amp; Operat Management, Cardiff, Wales</t>
  </si>
  <si>
    <t>Middlesex University; Cardiff University</t>
  </si>
  <si>
    <t>Shukla, V (corresponding author), Middlesex Univ, Dept Int Management &amp; Innovat, London, England.</t>
  </si>
  <si>
    <t>v.shukla@mdx.ac.uk</t>
  </si>
  <si>
    <t>0957-4093</t>
  </si>
  <si>
    <t>1758-6550</t>
  </si>
  <si>
    <t>INT J LOGIST MANAG</t>
  </si>
  <si>
    <t>Int. J. Logist. Manag.</t>
  </si>
  <si>
    <t>10.1108/IJLM-12-2015-0223</t>
  </si>
  <si>
    <t>EX0IN</t>
  </si>
  <si>
    <t>WOS:000402903700010</t>
  </si>
  <si>
    <t>Yin, XF; Khoo, LP</t>
  </si>
  <si>
    <t>Yin, X. F.; Khoo, L. P.</t>
  </si>
  <si>
    <t>Multiple population search strategy for routing selection and sequence optimization of a supply chain</t>
  </si>
  <si>
    <t>supply chain optimization; genetic algorithm; tabu search</t>
  </si>
  <si>
    <t>SYSTEM; MODEL</t>
  </si>
  <si>
    <t>The current paper outlines a framework of a distributed hierarchical model for supply chain planning and scheduling optimization. The framework comprises three main modules: routing and sequence optimization, supply chain virtual clustering and supply chain order scheduling. It is envisaged that the hierarchical model can be used to realize management level strategies, facilitate planning and optimize the detailed operation schedules of various supply chain units in a supply chain. The detailed design of a multiple population search strategy (MPSS) based on genetic algorithm (GA) and tabu search (TS) for routing selection and operation sequence optimization is presented. Using the tabu search, the crossover and mutation rates of GA can be made adaptive to suit different stages of search. The results show that the MPSS is not only able to reach a better solution, but also able to reduce the computational time. The work has also demonstrated the possibility of adopting a hybrid approach that combines the strengths of the tabu search and genetic algorithms for the optimization of routing and sequence in a supply chain in order to achieve management level objectives such as minimizing cost and increasing the level of on-time delivery.</t>
  </si>
  <si>
    <t>Nanyang Technol Univ, Sch Mech &amp; Aerosp Engn, Singapore 639798, Singapore</t>
  </si>
  <si>
    <t>Nanyang Technological University &amp; National Institute of Education (NIE) Singapore; Nanyang Technological University</t>
  </si>
  <si>
    <t>Khoo, LP (corresponding author), Nanyang Technol Univ, Sch Mech &amp; Aerosp Engn, 50 Nanyang Ave, Singapore 639798, Singapore.</t>
  </si>
  <si>
    <t>MLPKHOO@ntu.edu.sg</t>
  </si>
  <si>
    <t>10.1080/09511920600795605</t>
  </si>
  <si>
    <t>133RQ</t>
  </si>
  <si>
    <t>WOS:000244031000004</t>
  </si>
  <si>
    <t>Yan, R; Wang, SA</t>
  </si>
  <si>
    <t>Yan, Ran; Wang, Shuaian</t>
  </si>
  <si>
    <t>Ship detention prediction using anomaly detection in port state control: model and explanation</t>
  </si>
  <si>
    <t>ELECTRONIC RESEARCH ARCHIVE</t>
  </si>
  <si>
    <t>Port state control (PSC); ship detention; anomaly detection; isolation forest (iForest)</t>
  </si>
  <si>
    <t>COOLING VEST; OPTIMIZATION</t>
  </si>
  <si>
    <t>Maritime transport plays an important role in global supply chain. To guarantee maritime safety, protect the marine environment, and enhance the living and working conditions of the seafarers, international codes and conventions are developed and implemented. Port state control (PSC) is a critical maritime policy to ensure that ships comply with the related regulations by selecting and inspecting foreign visiting ships visiting a national port. As the major inspection result, ship detention, which is an intervention action taken by the port state, is dependent on both deficiency/deficiencies (i.e., noncompliance) detected and the judgement of the inspector. This study aims to predict ship detention based on the number of deficiencies identified under each deficiency code and explore how each of them influences the detention decision. We innovatively view ship detention as a type of anomaly, which refers to data points that are few and different from the majority, and develop an isolation forest (iForest) model, which is an unsupervised anomaly detection model, for detention prediction. Then, techniques in explainable artificial intelligence are used to present the contribution of each deficiency code on detention. Numerical experiments using inspection records at the Hong Kong port are conducted to validate model performance and generate policy insights.</t>
  </si>
  <si>
    <t>[Yan, Ran; Wang, Shuaian] Hong Kong Polytech Univ, Dept Logist &amp; Maritime Studies, Hung Hom, Kowloon, Hong Kong, Peoples R China</t>
  </si>
  <si>
    <t>Yan, R (corresponding author), Hong Kong Polytech Univ, Dept Logist &amp; Maritime Studies, Hung Hom, Kowloon, Hong Kong, Peoples R China.</t>
  </si>
  <si>
    <t>angel-ran.yan@connect.polyu.hk</t>
  </si>
  <si>
    <t>Yan, Ran/IQS-0711-2023</t>
  </si>
  <si>
    <t>Yan, Ran/0000-0002-3021-9543</t>
  </si>
  <si>
    <t>AMER INST MATHEMATICAL SCIENCES-AIMS</t>
  </si>
  <si>
    <t>SPRINGFIELD</t>
  </si>
  <si>
    <t>PO BOX 2604, SPRINGFIELD, MO 65801-2604, UNITED STATES</t>
  </si>
  <si>
    <t>2688-1594</t>
  </si>
  <si>
    <t>ELECTRON RES ARCH</t>
  </si>
  <si>
    <t>Electron. Res. Arch.</t>
  </si>
  <si>
    <t>10.3934/era.2022188</t>
  </si>
  <si>
    <t>3Q6QR</t>
  </si>
  <si>
    <t>WOS:000838353800001</t>
  </si>
  <si>
    <t>Liu, Y; Huang, LH</t>
  </si>
  <si>
    <t>Liu, Ying; Huang, Lihua</t>
  </si>
  <si>
    <t>Supply chain finance credit risk assessment using support vector machine-based ensemble improved with noise elimination</t>
  </si>
  <si>
    <t>INTERNATIONAL JOURNAL OF DISTRIBUTED SENSOR NETWORKS</t>
  </si>
  <si>
    <t>Support vector machines; supply chain financing; credit risk; ensemble learning; noisy training dataset; fuzzy clustering</t>
  </si>
  <si>
    <t>FEATURE-SELECTION; SVM; MODEL; CLASSIFIERS; ALGORITHM</t>
  </si>
  <si>
    <t>Recently, support vector machines, a supervised learning algorithm, have been widely used in the scope of credit risk management. However, noise may increase the complexity of the algorithm building and destroy the performance of classifier. In our work, we propose an ensemble support vector machine model to solve the risk assessment of supply chain finance, combined with reducing noises method. The main characteristics of this approach include that (1) a novel noise filtering scheme that avoids the noisy examples based on fuzzy clustering and principal component analysis algorithm is proposed to remove both attribute noise and class noise to achieve an optimal clean set, and (2) support vector machine classifiers, based on the improved particle swarm optimization algorithm, are seen as component classifiers. Then, we obtained the final classification results by combining finally individual prediction through AdaBoosting algorithm on the new sample set. Some experiments are applied on supply chain financial analysis of China's listed companies. Results indicate that the credit assessment accuracy can be increased by applying this approach.</t>
  </si>
  <si>
    <t>[Liu, Ying] Jilin Univ Finance &amp; Econ, Sch Management Sci &amp; Informat Engn, Changchun, Peoples R China; [Huang, Lihua] Chinese Acad Sci, Northeast Inst Geog &amp; Agroecol, Changchun 130102, Peoples R China</t>
  </si>
  <si>
    <t>Jilin University of Finance &amp; Economics; Chinese Academy of Sciences; Northeast Institute of Geography &amp; Agroecology, CAS</t>
  </si>
  <si>
    <t>Huang, LH (corresponding author), Chinese Acad Sci, Northeast Inst Geog &amp; Agroecol, Changchun 130102, Peoples R China.</t>
  </si>
  <si>
    <t>huanglihua@iga.ac.cn</t>
  </si>
  <si>
    <t>National Natural Science Foundation of China [61402193]; Foundation of Jilin Provincial Science &amp; Technology Department [20180101337JC]; Society Science Foundation of Jilin Province [2019B67]; Jilin Provincial Department of education [JJKH20200139KJ]</t>
  </si>
  <si>
    <t>National Natural Science Foundation of China(National Natural Science Foundation of China (NSFC)); Foundation of Jilin Provincial Science &amp; Technology Department; Society Science Foundation of Jilin Province; Jilin Provincial Department of education</t>
  </si>
  <si>
    <t>The author(s) disclosed receipt of the following financial support for the research, authorship, and/or publication of this article: This work was supported by National Natural Science Foundation of China (grant no. 61402193), the Foundation of Jilin Provincial Science &amp; Technology Department (grant no. 20180101337JC), and Society Science Foundation of Jilin Province (grant no. 2019B67) and Jilin Provincial Department of education (grant no. JJKH20200139KJ).</t>
  </si>
  <si>
    <t>1550-1477</t>
  </si>
  <si>
    <t>INT J DISTRIB SENS N</t>
  </si>
  <si>
    <t>Int. J. Distrib. Sens. Netw.</t>
  </si>
  <si>
    <t>10.1177/1550147720903631</t>
  </si>
  <si>
    <t>KI2KL</t>
  </si>
  <si>
    <t>WOS:000511177400001</t>
  </si>
  <si>
    <t>Abergel, F; Akar, A</t>
  </si>
  <si>
    <t>Abergel, Frederic; Akar, Adrien</t>
  </si>
  <si>
    <t>Supply Chain and Correlations</t>
  </si>
  <si>
    <t>JOURNAL OF PORTFOLIO MANAGEMENT</t>
  </si>
  <si>
    <t>PREDICTABILITY</t>
  </si>
  <si>
    <t>This article is an in-depth large-scale analysis of the supply chain network and its bearing on the correlation structure of stock returns. The authors show that the stock returns of companies that are connected through the supply chain network exhibit a correlation struc-ture that differs significantly from that of random pairs of stocks. This effect is observed for companies that are connected directly as well as through a common third party. A clustering approach is used to yield some interesting easier-to-exploit results with a view toward risk modeling. The authors also perform an analysis of rare negative events, highlighting some lead-lag relationships.</t>
  </si>
  <si>
    <t>[Abergel, Frederic; Akar, Adrien] BNP Paribas Asset Management, Paris, France</t>
  </si>
  <si>
    <t>BNP Paribas</t>
  </si>
  <si>
    <t>Abergel, F (corresponding author), BNP Paribas Asset Management, Paris, France.</t>
  </si>
  <si>
    <t>frederic.abergel@bnpparibas.com; adrien.akar@gmail.com</t>
  </si>
  <si>
    <t>PAGEANT MEDIA LTD</t>
  </si>
  <si>
    <t>ONE LONDON WALL, LONDON, ENGLAND</t>
  </si>
  <si>
    <t>0095-4918</t>
  </si>
  <si>
    <t>2168-8656</t>
  </si>
  <si>
    <t>J PORTFOLIO MANAGE</t>
  </si>
  <si>
    <t>J. Portf. Manage.</t>
  </si>
  <si>
    <t>E4QN1</t>
  </si>
  <si>
    <t>WOS:000975405000009</t>
  </si>
  <si>
    <t>Nitsche, AM; Schumann, CA; Franczyk, B; Reuther, K</t>
  </si>
  <si>
    <t>Nitsche, Anna-Maria; Schumann, Christian-Andreas; Franczyk, Bogdan; Reuther, Kevin</t>
  </si>
  <si>
    <t>Mapping supply chain collaboration research: a machine learning-based literature review</t>
  </si>
  <si>
    <t>Supply chain collaboration; supply chain management; literature review; text mining; machine learning; collaborative supply chain</t>
  </si>
  <si>
    <t>LOGISTICS SERVICE PROVIDERS; NETWORK DESIGN; SOCIAL SUSTAINABILITY; ENVIRONMENTAL SUSTAINABILITY; MANAGEMENT CAPABILITIES; INFORMATION-TECHNOLOGY; COMPETITIVE ADVANTAGE; NEURAL-NETWORKS; SUCCESS FACTORS; DECISION-MODEL</t>
  </si>
  <si>
    <t>Supply chain collaboration has been widely discussed in the literature. With this maturity comes a plethora of heterogeneous research that is difficult to manage and navigate. This paper, therefore, applies a novel literature review approach based on text mining analyzing 10,556 articles to provide an overview of previous research themes and future directions of the field. The applied method enables researchers to systematically analyze and structure larger samples of research publications. It allocates articles to thematic clusters using a visual hierarchical clustering approach and subsequently aggregates them into nine overarching themes to determine potential research and insights for practice. Developments regarding research interest and attention within these themes are examined and journals publishing the most impactful articles are identified. The paper thus contributes to the field of Supply Chain Collaboration research by mapping its evolvement over the last five years and by deriving a research agenda for the next decade.</t>
  </si>
  <si>
    <t>[Nitsche, Anna-Maria; Franczyk, Bogdan; Reuther, Kevin] Univ Leipzig, Fac Econ &amp; Management Sci, Leipzig, Germany; [Nitsche, Anna-Maria; Schumann, Christian-Andreas] Univ Appl Sci Zwickau, Fac Business &amp; Econ, Zwickau, Germany; [Franczyk, Bogdan] Wroclaw Univ Econ, Dept Informat Syst, Wroclaw, Poland; [Reuther, Kevin] Fraunhofer Ctr Int Management &amp; Knowledge Econ IM, Leipzig, Germany</t>
  </si>
  <si>
    <t>Leipzig University; Wroclaw University of Economics &amp; Business</t>
  </si>
  <si>
    <t>Nitsche, AM (corresponding author), Univ Leipzig, Fac Econ &amp; Management Sci, Leipzig, Germany.;Nitsche, AM (corresponding author), Univ Appl Sci Zwickau, Fac Business &amp; Econ, Zwickau, Germany.</t>
  </si>
  <si>
    <t>anna-maria.nitsche@uni-leipzig.de</t>
  </si>
  <si>
    <t>Reuther, Kevin/GZH-1398-2022</t>
  </si>
  <si>
    <t>Nitsche, Anna-Maria/0000-0003-3164-5066</t>
  </si>
  <si>
    <t>Research and Development Management Association (RADMA) [SAB/100379142]</t>
  </si>
  <si>
    <t>Research and Development Management Association (RADMA)</t>
  </si>
  <si>
    <t>This work was supported by the tax revenues on the basis of the budget adopted by the Saxon State Parliament under Grant SAB/100379142 and by a full scholarship towards Kevin Reuther by the Research and Development Management Association (RADMA).</t>
  </si>
  <si>
    <t>AUG 3</t>
  </si>
  <si>
    <t>10.1080/13675567.2021.2001446</t>
  </si>
  <si>
    <t>NOV 2021</t>
  </si>
  <si>
    <t>L6PD6</t>
  </si>
  <si>
    <t>WOS:000716777800001</t>
  </si>
  <si>
    <t>Bassiouni, MM; Chakrabortty, RK; Hussain, OK; Rahman, HF</t>
  </si>
  <si>
    <t>Bassiouni, Mahmoud M.; Chakrabortty, Ripon K.; Hussain, Omar K.; Rahman, Humyun Fuad</t>
  </si>
  <si>
    <t>Advanced deep learning approaches to predict supply chain risks under COVID-19 restrictions</t>
  </si>
  <si>
    <t>Supply chain risk; COVID-19; Deep learning; Convolutional network; Temporal convolutional network; Classifiers</t>
  </si>
  <si>
    <t>NETWORK DESIGN; BIG DATA; MANAGEMENT; DISRUPTIONS; SYSTEMS; DEMAND; MODEL</t>
  </si>
  <si>
    <t>The ongoing COVID-19 pandemic has created an unprecedented predicament for global supply chains (SCs). Shipments of essential and life-saving products, ranging from pharmaceuticals, agriculture, and healthcare, to manufacturing, have been significantly impacted or delayed, making the global SCs vulnerable. A better understanding of the shipment risks can substantially reduce that nervousness. Thenceforth, this paper proposes a few Deep Learning (DL) approaches to mitigate shipment risks by predicting if a shipment can be exported from one source to another, despite the restrictions imposed by the COVID-19 pandemic. The proposed DL methodologies have four main stages: data capturing, de-noising or pre-processing, feature extraction, and classification. The feature extraction stage depends on two main variants of DL models. The first variant involves three recurrent neural networks (RNN) structures (i.e., long short-term memory (LSTM), Bidirectional long short-term memory (BiLSTM), and gated recurrent unit (GRU)), and the second variant is the temporal convolutional network (TCN). In terms of the classification stage, six different classifiers are applied to test the entire methodology. These classifiers are SoftMax, random trees (RT), random forest (RF), k-nearest neighbor (KNN), artificial neural network (ANN), and support vector machine (SVM). The performance of the proposed DL models is evaluated based on an online dataset (taken as a case study). The numerical results show that one of the proposed models (i.e., TCN) is about 100% accurate in predicting the risk of shipment to a particular destination under COVID-19 restrictions. Unarguably, the aftermath of this work will help the decision-makers to predict supply chain risks proactively to increase the resiliency of the SCs.</t>
  </si>
  <si>
    <t>[Bassiouni, Mahmoud M.] Egyptian Elearning Univ, Fac Comp &amp; Informat Sci, Giza, Egypt; [Chakrabortty, Ripon K.] UNSW Canberra ADFA, Sch Eng &amp; IT, Canberra, Australia; [Hussain, Omar K.] UNSW Canberra ADFA, Sch Business, Canberra, Australia; [Rahman, Humyun Fuad] UNSW Canberra ADFA, Capabil Syst Ctr, Sch Eng &amp; IT, Canberra, Australia</t>
  </si>
  <si>
    <t>Chakrabortty, RK (corresponding author), UNSW Canberra ADFA, Sch Eng &amp; IT, Canberra, Australia.</t>
  </si>
  <si>
    <t>mbassiouni@eelu.edu.eg; r.chakrabortty@adfa.edu.au; o.hussain@adfa.edu.au; humyun.fuad@adfa.edu.au</t>
  </si>
  <si>
    <t>Chakrabortty, Ripon K/ABA-6480-2020; Bassiouni, mahmoud Mohamed/D-5679-2019; Hussain, Omar/P-7065-2015</t>
  </si>
  <si>
    <t>Chakrabortty, Ripon K/0000-0002-7373-0149; Bassiouni, mahmoud Mohamed/0000-0002-8617-8867; Hussain, Omar/0000-0002-5738-6560; Rahman, Humyun Fuad/0000-0002-6097-7978</t>
  </si>
  <si>
    <t>10.1016/j.eswa.2022.118604</t>
  </si>
  <si>
    <t>5D0WW</t>
  </si>
  <si>
    <t>WOS:000864672700004</t>
  </si>
  <si>
    <t>Nair, A; Vidal, JM</t>
  </si>
  <si>
    <t>Nair, Anand; Vidal, Jose M.</t>
  </si>
  <si>
    <t>Supply network topology and robustness against disruptions - an investigation using multi-agent model</t>
  </si>
  <si>
    <t>supply networks; topology; disruptions; robustness; scale-free networks; random networks; agent-based model; binomial logistics regression</t>
  </si>
  <si>
    <t>COMPLEX ADAPTIVE SYSTEMS; EVOLUTION; RISK</t>
  </si>
  <si>
    <t>In this study we examine the relationship between supply network's topology and its robustness in the presence of random failures and targeted attacks. The agent-based model developed in this paper uses the basic framework and parameters in the experimental game presented in Sterman [1989, Modeling managerial behavior: Misperceptions of feedback in a dynamic decision making context. Management Science, 35 (3), 321-339] for modelling adaptive managerial decision making in an inventory management context. The study extends the linear supply chain context to a complex supply network and undertakes a rigorous examination of robustness of these supply networks that are characterised by distinct network characteristics. We theorise that network characteristics such as average path length, clustering coefficient, size of the largest connected component in the network and the maximum distance between nodes in the largest connected component are related to the robustness of supply networks, and test the research hypotheses using data from several simulation runs. Simulations were carried out using 20 distinct network topologies where 10 of these topologies were generated using preferential attachment approach (based on the theory of scale-free networks) and the remaining 10 topologies were generated using random attachment approach (using random graph theory as a foundation). These 20 supply networks were subjected to random demand and their performances were evaluated by considering varying probabilities of random failures of nodes and targeted attacks on nodes. We also consider the severity of these disruptions by considering the downtime of the affected nodes. Using the data collected from a series of simulation experiments, we test the research hypotheses by means of binomial logistic regression analysis. The results point towards a significant association between network characteristics and supply network robustness assessed using multiple performance measures. We discuss the implications of the study and present directions for future research.</t>
  </si>
  <si>
    <t>[Nair, Anand] Univ S Carolina, Moore Sch Business, Dept Management Sci, Columbia, SC 29208 USA; [Vidal, Jose M.] Univ S Carolina, Dept Comp Sci &amp; Engn, Swearingen Engn Ctr, Columbia, SC 29208 USA</t>
  </si>
  <si>
    <t>University of South Carolina System; University of South Carolina Columbia; University of South Carolina System; University of South Carolina Columbia</t>
  </si>
  <si>
    <t>Nair, A (corresponding author), Univ S Carolina, Moore Sch Business, Dept Management Sci, Columbia, SC 29208 USA.</t>
  </si>
  <si>
    <t>nair@moore.sc.edu</t>
  </si>
  <si>
    <t>PII 931232438</t>
  </si>
  <si>
    <t>10.1080/00207543.2010.518744</t>
  </si>
  <si>
    <t>695BT</t>
  </si>
  <si>
    <t>WOS:000285346300011</t>
  </si>
  <si>
    <t>Zheng, J; Alzaman, C; Diabat, A</t>
  </si>
  <si>
    <t>Zheng, Jing; Alzaman, Chaher; Diabat, Ali</t>
  </si>
  <si>
    <t>Big data analytics in flexible supply chain networks</t>
  </si>
  <si>
    <t>Supply chain network design; Big data; Artificial intelligence; Big data analytics; Deep learning; Neural networks</t>
  </si>
  <si>
    <t>MIXED-INTEGER; NEURAL-NETWORK; OPTIMIZATION MODEL; PROGRAMMING MODEL; DESIGN; TIME; MANAGEMENT; INVENTORY; LOCATION; ROBUST</t>
  </si>
  <si>
    <t>Supply chain responsiveness and Big Data Analytics (BDA) have incited an ample amount of interest in academia and among practitioners. This work is concerned with improving responsiveness in supply chain networks by extending production capacity to cope with changes and variations in demand. BDA helps researchers make sense of the current challenges of data: high volume, high velocity, and high variety. In this work, we will look at sales data and at large warehouses, which envelop all the said three characteristics of Big Data (BD). This is quite important as demand market data is increasingly shared with supply chain managers. Here, a working archi-tecture is introduced to handle the challenges of BD. The work uses a neural network to detect patterns within the demand. The work combines deep learning with nonlinear programming to enable flexibility at supply chain production facilities to respond to the forecasted demand. The parameters in the neural network are analyzed and studied for each different product type. We see significant prediction improvements when the parameters are better tuned. Further, the work introduces a BD architecture that automates the acquisition of the data, data mining, and the storage of input and output files. Overall, the work utilizes a gradient search method, a genetic algorithm, ARIMA, a deep learning algorithm, and a mixed-integer nonlinear program.</t>
  </si>
  <si>
    <t>[Zheng, Jing] Zhejiang Wanli Univ, Logist &amp; Ecommerce Coll, Ningbo 315100, Peoples R China; [Alzaman, Chaher] Concordia Univ, John Molson Sch Business, Dept Business Technol &amp; Supply Chain Management, Operat &amp; Supply Chain Management, Montreal, PQ, Canada; [Diabat, Ali] New York Univ Abu Dhabi, Div Engn, Abu Dhabi, U Arab Emirates; [Diabat, Ali] NYU, Tandon Sch Engn, Dept Civil &amp; Urban Engn, Brooklyn, NY 11201 USA</t>
  </si>
  <si>
    <t>Zhejiang Wanli University; Concordia University - Canada; New York University; New York University Tandon School of Engineering</t>
  </si>
  <si>
    <t>Diabat, A (corresponding author), New York Univ Abu Dhabi, Div Engn, Abu Dhabi, U Arab Emirates.</t>
  </si>
  <si>
    <t>zhengjing003@zwu.edu.cn; chaher.alzaman@concordia.ca; diabat@nyu.edu</t>
  </si>
  <si>
    <t>Key Research Institute of Phi-losophy and Social Sciences of Zhejiang Province-Modern Port Service Industry and Creative Culture Research Center; Higher Education Research Project of Zhejiang Gongshang University [XGY21002, XKJS2021010]</t>
  </si>
  <si>
    <t>Key Research Institute of Phi-losophy and Social Sciences of Zhejiang Province-Modern Port Service Industry and Creative Culture Research Center; Higher Education Research Project of Zhejiang Gongshang University</t>
  </si>
  <si>
    <t>Acknowledgment Jing Zheng?s work was supported by Key Research Institute of Phi-losophy and Social Sciences of Zhejiang Province-Modern Port Service Industry and Creative Culture Research Center; Higher Education Research Project of Zhejiang Gongshang University (XGY21002; XKJS2021010.</t>
  </si>
  <si>
    <t>10.1016/j.cie.2023.109098</t>
  </si>
  <si>
    <t>0A3NW</t>
  </si>
  <si>
    <t>WOS:000951733600001</t>
  </si>
  <si>
    <t>Xia, W; Wang, S; Shi, MJ; Xia, Q; Jin, WT</t>
  </si>
  <si>
    <t>Xia, Wei; Wang, Shi; Shi, Mingjun; Xia, Qing; Jin, Wenting</t>
  </si>
  <si>
    <t>Research on partition strategy of urban water supply network based on optimized hierarchical clustering algorithm</t>
  </si>
  <si>
    <t>features of time-domain; partition strategy of water supply network; RF-HC; water supply network</t>
  </si>
  <si>
    <t>DISTRICT METERED AREAS; CREATION</t>
  </si>
  <si>
    <t>The partitioning of the urban water supply network can significantly enhance water supply quality. Nonetheless, the bulk of the recently deployed partition approaches overlooked the question of whether the district's fluctuation regulation of flow data is consistent. When the district is modified, it most likely leads to an increase in pressure at a node. In order to tackle the problem, the flow data from a city's water supply network was evaluated in this article. The Random Forest approach was also used to extract time-domain characteristics from flow data, and the water supply network split was optimized using the RF-HC Strategy (RF-HC Random Forest-Hierarchical Clustering). Finally, the results were examined and compared. The results suggest that the RF-HC-based water supply network partition technique can better meet the aim of consistent flow changes in the district, as well as offer a theoretical foundation and technological support for the optimal dispatch of press concerning the water supply network.</t>
  </si>
  <si>
    <t>[Xia, Wei; Wang, Shi; Shi, Mingjun; Xia, Qing; Jin, Wenting] Anhui Jianzhu Univ, Sch Elect &amp; Informat Engn, Hefei, Anhui, Peoples R China</t>
  </si>
  <si>
    <t>Anhui Jianzhu University</t>
  </si>
  <si>
    <t>Wang, S (corresponding author), Anhui Jianzhu Univ, Sch Elect &amp; Informat Engn, Hefei, Anhui, Peoples R China.</t>
  </si>
  <si>
    <t>ws2233010@163.com</t>
  </si>
  <si>
    <t>ANHUI JIANZHU UNIVERSITY</t>
  </si>
  <si>
    <t>We would like to thanks for the funding of the project: Demonstration project of water supply safety guarantee and optimized operation of Chaohu pipe network, the teachers and students at ANHUI JIANZHU UNIVERSITY who helped to completed this project.</t>
  </si>
  <si>
    <t>10.2166/ws.2022.057</t>
  </si>
  <si>
    <t>1M9BB</t>
  </si>
  <si>
    <t>WOS:000757521600001</t>
  </si>
  <si>
    <t>Ikram, A; Su, Q; Fiaz, M; Rehman, RU</t>
  </si>
  <si>
    <t>Ikram, Amir; Su, Qin; Fiaz, Muhammad; Rehman, Ramiz Ur</t>
  </si>
  <si>
    <t>Cluster strategy and supply chain management: The road to competitiveness for emerging economies</t>
  </si>
  <si>
    <t>China; Supply chain management; Small-to-medium-sized enterprises; Competitiveness; Industrial clusters; Specialized markets</t>
  </si>
  <si>
    <t>UNIVERSITY-INDUSTRY LINKAGES; CHINA; ADVANTAGE; RELEVANCE</t>
  </si>
  <si>
    <t>Purpose The purpose of this paper is to highlight the characteristic role of specialized markets and traders in the internationalization of emerging economies by examining the linkages between supply chain management (SCM) and industrial clustering in China. Design/methodology/approach Multi-method approach was employed as primary data were collected from a case study of Shaoxing textile cluster, and was supplemented with secondary data to triangulate the findings. The proposition that competitive advantages of industrial clusters facilitate effective SCM was explored. Findings The authors reveal that China's cost advantage is manifested in the entire value chain. The provision of business friendly amenities as a result of synergetic benefits of vertical and horizontal integration of supply clusters promotes competitiveness of SMEs and region as a whole. Moreover, specialized markets and international traders found to play significant role in sustainable cluster development. Research limitations/implications As with fieldwork and case studies, generalization should be drawn with care. Systematic synthesis of relevant case studies is recommended. Practical implications The study endorses the construction of local supply chains and suggests implementation of cluster strategy by focusing on environment-specific execution of triple helix model. Originality/value The article elaborates the linkages between cluster theory and SCM both within cluster and between interspersed clusters. It also explains how specialized markets and global players are enabling concentrated supply networks. The paper recommends extension of Triple helix + 1 model by making local community part of the underlying framework.</t>
  </si>
  <si>
    <t>[Ikram, Amir; Su, Qin; Fiaz, Muhammad] Xi An Jiao Tong Univ, Xian, Shaanxi, Peoples R China; [Rehman, Ramiz Ur] Univ Lahore, Lahore Business Sch, Lahore, Pakistan</t>
  </si>
  <si>
    <t>Xi'an Jiaotong University; University of Lahore</t>
  </si>
  <si>
    <t>Ikram, A (corresponding author), Xi An Jiao Tong Univ, Xian, Shaanxi, Peoples R China.</t>
  </si>
  <si>
    <t>amirikram12@hotmail.com; qinsu@mail.xjtu.edu.cn; fiaz_42@yahoo.com; ramiz_rehman@hotmail.com</t>
  </si>
  <si>
    <t>Fiaz, Muhammad/AAJ-9592-2020; Rehman, Ramiz ur/N-9684-2019</t>
  </si>
  <si>
    <t>Fiaz, Muhammad/0000-0003-0818-2841; Rehman, Ramiz ur/0000-0001-6019-4781; Ikram, Amir/0000-0002-2585-8834</t>
  </si>
  <si>
    <t>10.1108/BIJ-06-2015-0059</t>
  </si>
  <si>
    <t>GK0SE</t>
  </si>
  <si>
    <t>WOS:000435821300003</t>
  </si>
  <si>
    <t>Rajesh, R</t>
  </si>
  <si>
    <t>Rajesh, R.</t>
  </si>
  <si>
    <t>Measuring the barriers to resilience in manufacturing supply chains using Grey Clustering and VIKOR approaches</t>
  </si>
  <si>
    <t>MEASUREMENT</t>
  </si>
  <si>
    <t>Manufacturing supply chains; Supply chain resilience; Measuring resilience barriers; Grey clustering; VIKOR</t>
  </si>
  <si>
    <t>RISK-MANAGEMENT; DECISION-MAKING; MODEL; COORDINATION; UNCERTAINTY; PERFORMANCE; MITIGATION; FRAMEWORK; SELECTION; NETWORKS</t>
  </si>
  <si>
    <t>Supply chains of today are interconnected intricate networks prone to copious internal and external turbulences. Building resilient supply networks are the possible solutions to reduce, handle, and mitigate the concomitant risks. This research attempts to identify, classify, and measure those barriers in achieving resilience, typically seen in electronic manufacturing supply chains. A methodology incorporating grey clustering algorithm and compromise ranking (VIKOR) methods were used for the classification and measurement of the barriers to supply chain resilience. Managers could perform an initial sorting of the barriers using the grey clustering algorithm to identify those barriers coming under the high importance categories. Then, the VIKOR analysis could be conducted on the selected barriers to effectively prioritize them. The obtained results were subject to sensitivity analysis and were validated using practical case implications. By implementing the proposed methodology for the considered case, the following barriers were identified to be most important; bull whips due to uncertainties in supply, single sourcing, centralization of assets and inability to modify operations in response to challenges. Key managerial implications of the study is that, measuring barriers for reducing supply chain vulnerabilities could lead to better enactment of supply networks with enhanced resilience capabilities.</t>
  </si>
  <si>
    <t>[Rajesh, R.] Indian Inst Technol Madras, DoMS, Madras, Tamil Nadu, India</t>
  </si>
  <si>
    <t>Indian Institute of Technology System (IIT System); Indian Institute of Technology (IIT) - Madras</t>
  </si>
  <si>
    <t>Rajesh, R (corresponding author), Indian Inst Technol Madras, DoMS, Madras, Tamil Nadu, India.</t>
  </si>
  <si>
    <t>rajeshambzha@gmail.com</t>
  </si>
  <si>
    <t>r, r/HCG-9335-2022; R, Rajesh/K-9650-2014</t>
  </si>
  <si>
    <t>R, Rajesh/0000-0002-4231-0539</t>
  </si>
  <si>
    <t>0263-2241</t>
  </si>
  <si>
    <t>1873-412X</t>
  </si>
  <si>
    <t>Measurement</t>
  </si>
  <si>
    <t>10.1016/j.measurement.2018.05.043</t>
  </si>
  <si>
    <t>GT6MI</t>
  </si>
  <si>
    <t>WOS:000444627000027</t>
  </si>
  <si>
    <t>Khan, AK; Pillania, RK</t>
  </si>
  <si>
    <t>Khan, Arif K.; Pillania, Rajesh K.</t>
  </si>
  <si>
    <t>Strategic sourcing for supply chain agility and firms' performance A study of Indian manufacturing sector</t>
  </si>
  <si>
    <t>Supply chain mangement; Sourcing; Trust; Supplier evaluation; Manufacturing industry; India</t>
  </si>
  <si>
    <t>FLEXIBILITY; METHODOLOGY; MANAGEMENT; CAPABILITIES</t>
  </si>
  <si>
    <t>Purpose - The purpose of this paper is to explore the dimensions of strategic sourcing and determines its relationship with organisational supply chain agility and performance. It classifies manufacturing firms based on their level of supply chain agility and test the diffrences in firms' performnace across the clusters so obtained. Design/methodology/approach - This research employes survey method and data is collected from 128 manufacturing companies in India. Valid and reliable measures of strategic sourcing, supply chain agility and organizational performance are developed. Factor structure and initial validity is determined and K-Means cluster analysis is applied for clustering firms based on their level of supply agility. Multiple regression and ANOVA is used for hypotheses testing. Findings - Strategic suplier partnership, sourcing flexibility, supplier evaluation and trust in supply chain members are the key dimensions of strategic sourcing. Result shows the significant effect of strategic sourcing and its diemnsions on supply chain agility and firms' performance. Research limitations/implications - Data is collected from single node/respondent of supply chain and further research can be carried out by using mutiple node data of each supply chain to make the research more meaningful and generalisable. Practical implications - Findings are useful to develop and measure the competitive capabilities of strategic sourcing and guide the organisations to enhance supply chain responsiveness and organisational performance. Originality/value - The paper provides strategic diemnsions of sourcing and their measurement scales. Provide evidence regarding the impact of strategic sourcing on agility of supply chains and performnace.</t>
  </si>
  <si>
    <t>[Khan, Arif K.] Management Dev Inst, Operat Management Area, Sukhrali, Gurgaon, India; [Pillania, Rajesh K.] Northumbria Univ, Newcastle Upon Tyne NE1 8ST, Tyne &amp; Wear, England</t>
  </si>
  <si>
    <t>Management Development Institute (MDI); Northumbria University</t>
  </si>
  <si>
    <t>Khan, AK (corresponding author), Management Dev Inst, Operat Management Area, Sukhrali, Gurgaon, India.</t>
  </si>
  <si>
    <t>arifkkhan@gmail.com</t>
  </si>
  <si>
    <t>khan, Arif/HMV-3165-2023</t>
  </si>
  <si>
    <t>10.1108/00251740810920010</t>
  </si>
  <si>
    <t>384LF</t>
  </si>
  <si>
    <t>WOS:000261745600005</t>
  </si>
  <si>
    <t>Seyedan, M; Mafakheri, F</t>
  </si>
  <si>
    <t>Seyedan, Mahya; Mafakheri, Fereshteh</t>
  </si>
  <si>
    <t>Predictive big data analytics for supply chain demand forecasting: methods, applications, and research opportunities</t>
  </si>
  <si>
    <t>Demand forecasting; Supply chain management; Closed-loop supply chains; Big data analytics; Machine-learning</t>
  </si>
  <si>
    <t>MACHINE-LEARNING TECHNIQUES; NEURAL-NETWORK; SOCIAL MEDIA; LIFE-CYCLE; MANAGEMENT; FRAMEWORK; LOGISTICS; MODEL; PERFORMANCE; REGRESSION</t>
  </si>
  <si>
    <t>Big data analytics (BDA) in supply chain management (SCM) is receiving a growing attention. This is due to the fact that BDA has a wide range of applications in SCM, including customer behavior analysis, trend analysis, and demand prediction. In this survey, we investigate the predictive BDA applications in supply chain demand forecasting to propose a classification of these applications, identify the gaps, and provide insights for future research. We classify these algorithms and their applications in supply chain management into time-series forecasting, clustering, K-nearest-neighbors, neural networks, regression analysis, support vector machines, and support vector regression. This survey also points to the fact that the literature is particularly lacking on the applications of BDA for demand forecasting in the case of closed-loop supply chains (CLSCs) and accordingly highlights avenues for future research.</t>
  </si>
  <si>
    <t>[Seyedan, Mahya; Mafakheri, Fereshteh] Concordia Univ, Concordia Inst Informat Syst Engn CIISE, Montreal, PQ H3G 1M8, Canada</t>
  </si>
  <si>
    <t>Concordia University - Canada</t>
  </si>
  <si>
    <t>Mafakheri, F (corresponding author), Concordia Univ, Concordia Inst Informat Syst Engn CIISE, Montreal, PQ H3G 1M8, Canada.</t>
  </si>
  <si>
    <t>f.mafakheri@concordia.ca</t>
  </si>
  <si>
    <t>Mafakheri, Fereshteh/0000-0002-7991-4635; Seyedan, Mahya/0000-0001-8707-6443</t>
  </si>
  <si>
    <t>DEC 25</t>
  </si>
  <si>
    <t>10.1186/s40537-020-00329-2</t>
  </si>
  <si>
    <t>PA9YL</t>
  </si>
  <si>
    <t>Green Accepted, gold</t>
  </si>
  <si>
    <t>WOS:000595984800001</t>
  </si>
  <si>
    <t>Rodrigue, JP</t>
  </si>
  <si>
    <t>Rodrigue, Jean-Paul</t>
  </si>
  <si>
    <t>The Geography of Global Supply Chains: Evidence from Third-Party Logistics</t>
  </si>
  <si>
    <t>freight transport; supply chains; globalization; third-party logistics (3PL); geography</t>
  </si>
  <si>
    <t>PROVIDERS</t>
  </si>
  <si>
    <t>Global supply chains have a distinct geography that involves the dimensions of production, distribution and consumption. This geography, at the heart of many sourcing strategies, is often neglected by supply chain managers, or at least scholars investigating supply chain management. However, this essay underlines that this geography reveals patterns that depict well the organization and structure of outsourcing with distribution systems supporting the dichotomy between the geography of production and consumption. Significant segments of supply chain management exist solely to support this spatial divergence. Global processes are also reflected in regional structures and the case of third party logistics providers is investigated. Depending on the gateway and the type of supply chain being serviced, North American 3PLs display a clustering that is particularly prevalent around airport terminals and crossborder ports of entry. Such firms are highly flexible and changes in the locational behavior are likely to reflect changes in outsourcing and supply chain management.</t>
  </si>
  <si>
    <t>Hofstra Univ, Dept Global Studies &amp; Geog, Hempstead, NY 11550 USA</t>
  </si>
  <si>
    <t>Hofstra University</t>
  </si>
  <si>
    <t>Rodrigue, JP (corresponding author), Hofstra Univ, Dept Global Studies &amp; Geog, Hempstead, NY 11550 USA.</t>
  </si>
  <si>
    <t>cheng, pui sze/U-2757-2017</t>
  </si>
  <si>
    <t>Rodrigue, Jean-Paul/0000-0003-0008-1501</t>
  </si>
  <si>
    <t>WILEY-BLACKWELL</t>
  </si>
  <si>
    <t>10.1111/j.1745-493X.2012.03268.x</t>
  </si>
  <si>
    <t>980MW</t>
  </si>
  <si>
    <t>WOS:000306898400003</t>
  </si>
  <si>
    <t>Fu, WH; Jing, S; Liu, QM; Zhang, H</t>
  </si>
  <si>
    <t>Fu, Wenhan; Jing, Sheng; Liu, Qinming; Zhang, Hao</t>
  </si>
  <si>
    <t>Resilient Supply Chain Framework for Semiconductor Distribution and an Empirical Study of Demand Risk Inference</t>
  </si>
  <si>
    <t>supply chain resilience; data analytics; intelligent decision making; demand forecast; risk analysis</t>
  </si>
  <si>
    <t>STOCK CONTROL; INFORMATION</t>
  </si>
  <si>
    <t>Supply chain uncertainty is high due to low information transparency in the upstream and downstream, long lead time for supply chain planning, short product life cycles, lengthy production cycle time, and continuous technology migration. The construction and innovation of the new program of supply the chain faces huge challenges. This study aims to propose a smart resilient supply chain framework with a decision-making schema through the plan-do-check-act management cycle. It can enhance supply chain resilience and strengthen industrial competitiveness. Moreover, an empirical study of demand forecast and risk inference for semiconductor distribution is conducted as a validation. Through demand pattern clustering and forecasting for historic customer order behaviors, the demand status of each customer is classified, and an optimal planning solution is released to support decision-making. The result has shown the practical viability of the proposed approach to drive collaborative efforts in enhancing demand risk management to improve supply chain resilience. The proposed forecast model performs better than all four benchmark models, and the revised recall of the proposed risk reference model shows high accuracy in all demand risk levels. As supply chain resilience is about to be reconstructed due to the industrial revolution, a government and industry alliance should follow the resilient supply chain blueprint to gradually make the manufacturing strategy a technology platform in the Industry 4.0 era.</t>
  </si>
  <si>
    <t>[Fu, Wenhan; Liu, Qinming; Zhang, Hao] Univ Shanghai Sci &amp; Technol, Business Sch, Shanghai 200093, Peoples R China; [Jing, Sheng] Cornell Univ, Sch Elect &amp; Comp Engn, Ithaca, NY 14853 USA</t>
  </si>
  <si>
    <t>University of Shanghai for Science &amp; Technology; Cornell University</t>
  </si>
  <si>
    <t>Jing, S (corresponding author), Cornell Univ, Sch Elect &amp; Comp Engn, Ithaca, NY 14853 USA.</t>
  </si>
  <si>
    <t>whfu@usst.edu.cn; sj637@cornell.edu</t>
  </si>
  <si>
    <t>Fu, Wenhan/V-5251-2017</t>
  </si>
  <si>
    <t>Fu, Wenhan/0000-0002-1109-4861; , liu/0000-0002-6057-8686</t>
  </si>
  <si>
    <t>National Natural Science Foundation of China [72271161, 71840003]; Humanity and Social Science Planning Foundation of Ministry of Education of China [20YJAZH068]; Shanghai Municipal Education Commission; Science and Technology Development Project of University of Shanghai for Science and Technology [BSQD202109]; University of Shanghai for Science and Technology; [2020KJFZ038]</t>
  </si>
  <si>
    <t>National Natural Science Foundation of China(National Natural Science Foundation of China (NSFC)); Humanity and Social Science Planning Foundation of Ministry of Education of China; Shanghai Municipal Education Commission(Shanghai Municipal Education Commission (SHMEC)); Science and Technology Development Project of University of Shanghai for Science and Technology; University of Shanghai for Science and Technology;</t>
  </si>
  <si>
    <t>This research is supported by National Natural Science Foundation of China (No. 72271161, 71840003), Humanity and Social Science Planning Foundation of Ministry of Education of China (No. 20YJAZH068), Colleges and Universities Young Teachers Training and Funding Program of Shanghai Municipal Education Commission, Doctoral Start-up Foundation Project of the University of Shanghai for Science and Technology (No. BSQD202109), Science and Technology Development Project of University of Shanghai for Science and Technology (No. 2020KJFZ038).</t>
  </si>
  <si>
    <t>APR 28</t>
  </si>
  <si>
    <t>10.3390/su15097382</t>
  </si>
  <si>
    <t>G3KE2</t>
  </si>
  <si>
    <t>WOS:000988177400001</t>
  </si>
  <si>
    <t>Warkentin, M; Sugumaran, V; Sainsbury, R</t>
  </si>
  <si>
    <t>Warkentin, Merrill; Sugumaran, Vijayan; Sainsbury, Robert</t>
  </si>
  <si>
    <t>The role of intelligent agents and data mining in electronic partnership management</t>
  </si>
  <si>
    <t>Intelligent agents; Electronic partnership; Supply chain; Data mining; XML</t>
  </si>
  <si>
    <t>ARCHITECTURE; FRAMEWORK</t>
  </si>
  <si>
    <t>The marketspaces of the New Economy and the eServices revolution have enabled the formation of new types of partnerships which are electronically mediated. Web-based electronic commerce has also brought a tremendous increase in the volume of data that can be mined for valuable managerial knowledge. The data mining procedures used in this process can be enhanced by employing intelligent agents. This paper describes emerging electronic partnerships between players in developing electronic marketspaces and identifies typical data flows between such players, with an analysis of the potential role of data mining and intelligent agent technology. By identifying the complex nature of information flows between the vast numbers of economic entities, we identify opportunities for applying data mining techniques that can lead to knowledge discovery. In particular, we show how a Generic Agent-based data Mining Architecture (GAMA) can be customized to support managerial decision-making and problem solving in a networked economy. A prototype implementation of GAMA is presented, along with a demonstration of the some of the capabilities of the system. Finally, we explore the role of agents in promoting and maintaining strong automated relationships between various strategic partners. (C) 2012 Elsevier Ltd. All rights reserved.</t>
  </si>
  <si>
    <t>[Sugumaran, Vijayan] Oakland Univ, Sch Business Adm, Rochester, MI 48309 USA; [Warkentin, Merrill] Mississippi State Univ, Dept Management &amp; Informat Syst, Mississippi State, MS 39762 USA; [Sugumaran, Vijayan] Sogang Univ, Sogang Business Sch, Dept Global Serv Management, Seoul 121742, South Korea; [Sainsbury, Robert] Grav Jack, Spokanne, WA USA</t>
  </si>
  <si>
    <t>Oakland University; Mississippi State University; Sogang University</t>
  </si>
  <si>
    <t>Sugumaran, V (corresponding author), Oakland Univ, Sch Business Adm, Rochester, MI 48309 USA.</t>
  </si>
  <si>
    <t>m.warkentin@msstate.edu; sugumara@oak-land.edu; sainsrob@hotmail.com</t>
  </si>
  <si>
    <t>Jun, Ma/A-2060-2013; Sugumaran, Vaithiyanathan/M-2240-2017; Warkentin, Merrill/E-4702-2015</t>
  </si>
  <si>
    <t>Sugumaran, Vaithiyanathan/0000-0002-5323-6418; Sugumaran, Vijayan/0000-0003-2557-3182; Warkentin, Merrill/0000-0001-7435-7676</t>
  </si>
  <si>
    <t>Sogang Business School's World Class University Program [R31-20002]; Korea Research Foundation; Sogang University</t>
  </si>
  <si>
    <t>Sogang Business School's World Class University Program; Korea Research Foundation(National Research Foundation of Korea); Sogang University</t>
  </si>
  <si>
    <t>Dr. Sugumaran's research has been supported by Sogang Business School's World Class University Program (R31-20002) funded by Korea Research Foundation and the Sogang University Research Grant of 2011.</t>
  </si>
  <si>
    <t>DEC 15</t>
  </si>
  <si>
    <t>10.1016/j.eswa.2012.05.074</t>
  </si>
  <si>
    <t>004LY</t>
  </si>
  <si>
    <t>WOS:000308684400021</t>
  </si>
  <si>
    <t>Dong, YG; Sui, HZ; Zhu, L</t>
  </si>
  <si>
    <t>Dong, Yugang; Sui, Haozhi; Zhu, Lei</t>
  </si>
  <si>
    <t>Application of Cloud Computing Combined with GIS Virtual Reality in Construction Process of Building Steel Structure</t>
  </si>
  <si>
    <t>In order to ensure that the steel structure of the building can meet the requirements of the strength of the building structure and the strict requirements in the fields of earthquake resistance, fire protection, energy saving, and environmental protection in the construction process, a method based on virtual reality supply chain cloud computing collaborative management technology is proposed. This method analyzes the main technology of building steel structure and establishes personalized cloud computing collaborative management technology based on virtual reality supply chain. Based on the analysis of industry characteristics and personalized service characteristics, the virtual reality control mechanism of personalized data mining is proposed by considering the service time cost and user experience quality. Based on cloud computing and VIRTUAL reality GIS, a collaborative management and control system architecture is proposed to optimize user personalized needs and solve the impact of differentiation on the supply chain. Experimental results show that compared with the noncollaborative management scheme, the collaborative management algorithm proposed by this method reduces the interference of personalized differences on supply chain management by 25%. The experimental results show that this method can greatly guarantee the satisfaction of steel structure construction process.</t>
  </si>
  <si>
    <t>[Dong, Yugang; Sui, Haozhi; Zhu, Lei] Weifang Engn Vocat Coll, Qingzhou 262500, Shandong, Peoples R China</t>
  </si>
  <si>
    <t>Dong, YG (corresponding author), Weifang Engn Vocat Coll, Qingzhou 262500, Shandong, Peoples R China.</t>
  </si>
  <si>
    <t>41818061@xs.ustb.edu.cn; haozhisui2@126.com; leizhu85@163.com</t>
  </si>
  <si>
    <t>Zhu, Lei/A-5100-2011</t>
  </si>
  <si>
    <t>Zhu, Lei/0000-0002-5348-7532</t>
  </si>
  <si>
    <t>AUG 17</t>
  </si>
  <si>
    <t>10.1155/2022/4299756</t>
  </si>
  <si>
    <t>4F3IN</t>
  </si>
  <si>
    <t>WOS:000848407800012</t>
  </si>
  <si>
    <t>Wu, JMT; Teng, Q; Huda, S; Chen, YC; Chen, CM</t>
  </si>
  <si>
    <t>Wu, Jimmy Ming-Tai; Teng, Qian; Huda, Shamsul; Chen, Yeh-Cheng; Chen, Chien-Ming</t>
  </si>
  <si>
    <t>A Privacy Frequent Itemsets Mining Framework for Collaboration in IoT Using Federated Learning</t>
  </si>
  <si>
    <t>ACM TRANSACTIONS ON SENSOR NETWORKS</t>
  </si>
  <si>
    <t>Frequent itemset mining; federated learning; privacy protection; pre-large concept; industrial collaborative data mining; Internet of Behaviour</t>
  </si>
  <si>
    <t>Rapid advancement of industrial internet of things (IoT) technology has changed the supply chain network to an open system to meet the high demand for individualized products and provide better customer experiences. However the open-system supply chain has forced many small and midsize enterprises (SMEs) to adopt vertical integration by being divided into smaller companies with a distinctive business for each SME but a central alliance to produce a range of products and gain competencies. Therefore, existing models do not guarantee the protection of data privacy of individual SMEs. Moreover, especially for the IoT environment, collecting data in a secure way and revealing valuable knowledge in an IoT network is difficult. How to share data in a secure framework is of paramount importance in the internet of behavior field. In this article, a privacy-preserving data-mining framework is proposed for joint-venture industrial collaborative activities by combining federated learning and a pre-large concept of data-mining techniques. The novelty of the proposed approach is that, while mining high-utility itemsets (HUIs) from multiple datasets, it does not require direct data sharing. In the proposed method, the federated-learning framework can learn from aggregated learning parameters without scanning all data from different sets. The pre-large concept in this approach reduces the amount of scanning into different datasets. Thus, the approach makes it possible to train federated learning more quickly while protecting the privacy of individual data owners. The approach has been tested on real industrial datasets in a collaborative environment. Extensive experimental results show that the approach achieves high accuracy compared with conventional data-mining techniques while preserving the privacy of datasets.</t>
  </si>
  <si>
    <t>[Wu, Jimmy Ming-Tai; Teng, Qian; Chen, Chien-Ming] Shandong Univ Sci &amp; Technol, 579 Qianwangang Rd, Qingdao 266510, Shandong, Peoples R China; [Huda, Shamsul] Deakin Univ, Sch Informat Technol, 221 Burwood Highway, Melbourne, Vic 3125, Australia; [Chen, Yeh-Cheng] Univ Calif Davis, Dept Comp Sci, 1 Shields Ave, Davis, CA 95616 USA</t>
  </si>
  <si>
    <t>Shandong University of Science &amp; Technology; Deakin University; University of California System; University of California Davis</t>
  </si>
  <si>
    <t>Wu, JMT (corresponding author), Shandong Univ Sci &amp; Technol, 579 Qianwangang Rd, Qingdao 266510, Shandong, Peoples R China.</t>
  </si>
  <si>
    <t>wmt@wmt35.idv.tw; qrape@foxmail.com; shamsul.huda@deakin.edu.au; ycch@ucdavis.edu; chienmingchen@ieee.org</t>
  </si>
  <si>
    <t>Chen, Chien-Ming/W-2133-2019</t>
  </si>
  <si>
    <t>Chen, Chien-Ming/0000-0002-6502-472X</t>
  </si>
  <si>
    <t>Shandong Provincial Natural Science Foundation [ZR201911150391]</t>
  </si>
  <si>
    <t>Shandong Provincial Natural Science Foundation(Natural Science Foundation of Shandong Province)</t>
  </si>
  <si>
    <t>This research is supported by Shandong Provincial Natural Science Foundation (ZR201911150391).</t>
  </si>
  <si>
    <t>ASSOC COMPUTING MACHINERY</t>
  </si>
  <si>
    <t>1601 Broadway, 10th Floor, NEW YORK, NY USA</t>
  </si>
  <si>
    <t>1550-4859</t>
  </si>
  <si>
    <t>1550-4867</t>
  </si>
  <si>
    <t>ACM T SENSOR NETWORK</t>
  </si>
  <si>
    <t>ACM Trans. Sens. Netw.</t>
  </si>
  <si>
    <t>10.1145/3532090</t>
  </si>
  <si>
    <t>G5RU5</t>
  </si>
  <si>
    <t>WOS:000989735000004</t>
  </si>
  <si>
    <t>Chen, LL; Zhang, YY; Wang, ZP</t>
  </si>
  <si>
    <t>Chen, Lingling; Zhang, Yuanyuan; Wang, Zhiping</t>
  </si>
  <si>
    <t>Logistics Service Supply Chain Model Applying Artificial Intelligence and Big Data Analysis</t>
  </si>
  <si>
    <t>SECURITY AND COMMUNICATION NETWORKS</t>
  </si>
  <si>
    <t>ETHICAL CONSIDERATIONS; REVOLUTION; DESIGN</t>
  </si>
  <si>
    <t>The logistics service chain is a specialized service chain produced along with the continuous update and development of the logistics industry. It is an inevitable direction choice that is naturally formed when the degree of logistics specialization continues to increase. This paper aims to study how to analyze and study the logistics service supply chain model based on artificial intelligence and big data analysis, and describe the data mining algorithm. This paper puts forward the problem of logistics service supply chain, which is based on big data analysis, and then elaborates around its related concepts and algorithms, and conducts case design and analysis on supplier selection. The experimental results show that the customer satisfaction of supplier C has reached 86%, the accuracy rate of supplier D's logistics operations is as high as 90%, and the logistics transportation cost of supplier B is only 0.38 yuan/ton * km. In the end, the three of them were selected as company Z's transportation suppliers.</t>
  </si>
  <si>
    <t>[Chen, Lingling; Zhang, Yuanyuan] North China Inst Sci &amp; Technol, Sch Econ &amp; Management, Langfang 065201, Hebei, Peoples R China; [Wang, Zhiping] Yanching Inst Technol, Coll Accounting, Langfang 065201, Hebei, Peoples R China</t>
  </si>
  <si>
    <t>North China Institute Science &amp; Technology</t>
  </si>
  <si>
    <t>Wang, ZP (corresponding author), Yanching Inst Technol, Coll Accounting, Langfang 065201, Hebei, Peoples R China.</t>
  </si>
  <si>
    <t>wangzhiping@yit.edu.cn</t>
  </si>
  <si>
    <t>Chen, Lingling/JCD-4631-2023</t>
  </si>
  <si>
    <t>1939-0114</t>
  </si>
  <si>
    <t>1939-0122</t>
  </si>
  <si>
    <t>SECUR COMMUN NETW</t>
  </si>
  <si>
    <t>Secur. Commun. Netw.</t>
  </si>
  <si>
    <t>JUN 21</t>
  </si>
  <si>
    <t>10.1155/2022/1575813</t>
  </si>
  <si>
    <t>6A3YM</t>
  </si>
  <si>
    <t>WOS:000880593900002</t>
  </si>
  <si>
    <t>Lee, C; Lee, YH; Peng, Y; Cho, H</t>
  </si>
  <si>
    <t>Lee, Choonghyun; Lee, Young Hoon; Peng, Yun; Cho, Hyunbo</t>
  </si>
  <si>
    <t>A SUPPLIER DISCOVERY FRAMEWORK FOR EFFECTIVE AND EFFICIENT CONFIGURATION OF A SUPPLY CHAIN</t>
  </si>
  <si>
    <t>INTERNATIONAL JOURNAL OF INDUSTRIAL ENGINEERING-THEORY APPLICATIONS AND PRACTICE</t>
  </si>
  <si>
    <t>Supplier discovery; supplier registry; classification and clustering; classification scheme; similarity measure</t>
  </si>
  <si>
    <t>CLUSTERING XML DOCUMENTS; ALGORITHM</t>
  </si>
  <si>
    <t>A supplier registry can play a central role in configuring a global supply chain for service-oriented enterprise integration by providing an open platform for publishing and discovering suppliers distributed over Internet. The availability of correct classification schemes used to organize suppliers based on their capability descriptions is the key to building an effective registry. This paper discusses the clustering-based construction of classification schemes from existing capability descriptions of suppliers and then the registration and retrieval of suppliers based on these classification schemes. This approach is based on the use of similarity measures to discriminate any two suppliers' capability descriptions. The results look promising in that small medium suppliers can expose themselves to the large companies in an efficient manner, while large companies can diversify their supply sources.</t>
  </si>
  <si>
    <t>[Lee, Choonghyun; Lee, Young Hoon] Yonsei Univ, Dept Informat &amp; Ind Engn, Seoul 120749, South Korea; [Peng, Yun] Univ Maryland Baltimore Cty, Baltimore, MD 21250 USA; [Cho, Hyunbo] Pohang Univ Sci &amp; Technol, Dept Ind &amp; Management Engn, Pohang 790784, South Korea</t>
  </si>
  <si>
    <t>Yonsei University; University System of Maryland; University of Maryland Baltimore County; Pohang University of Science &amp; Technology (POSTECH)</t>
  </si>
  <si>
    <t>Lee, C (corresponding author), Yonsei Univ, Dept Informat &amp; Ind Engn, 262 Seongsanno, Seoul 120749, South Korea.</t>
  </si>
  <si>
    <t>Lee, Young/G-8071-2012; Cho, Hyunbo/F-6973-2013</t>
  </si>
  <si>
    <t>UNIV CINCINNATI INDUSTRIAL ENGINEERING</t>
  </si>
  <si>
    <t>CINCINNATI</t>
  </si>
  <si>
    <t>UNIV CINCINNATI, CINCINNATI, OH 45221-0116 USA</t>
  </si>
  <si>
    <t>1072-4761</t>
  </si>
  <si>
    <t>1943-670X</t>
  </si>
  <si>
    <t>INT J IND ENG-THEORY</t>
  </si>
  <si>
    <t>Int. J. Ind. Eng.-Theory Appl. Pract.</t>
  </si>
  <si>
    <t>U14</t>
  </si>
  <si>
    <t>Engineering, Industrial; Engineering, Manufacturing</t>
  </si>
  <si>
    <t>829KP</t>
  </si>
  <si>
    <t>WOS:000295579400001</t>
  </si>
  <si>
    <t>Kuo, YH; Kusiak, A</t>
  </si>
  <si>
    <t>Kuo, Yong-Hong; Kusiak, Andrew</t>
  </si>
  <si>
    <t>From data to big data in production research: the past and future trends</t>
  </si>
  <si>
    <t>production; data; data mining; data-driven models; big data; smart manufacturing; data envelopment analysis; simulation</t>
  </si>
  <si>
    <t>DATA ENVELOPMENT ANALYSIS; DATA-MINING APPROACH; ENTERPRISE RISK-MANAGEMENT; ANALYTIC HIERARCHY PROCESS; PRACTICAL INACCURATE DATA; MEDIUM-SIZED ENTERPRISES; SUPPLY CHAIN MANAGEMENT; DEA VAR APPROACH; CELL-FORMATION; REAL-TIME</t>
  </si>
  <si>
    <t>Data have been utilised in production research in meaningful ways for decades. Recent years have offered data in larger volumes and improved quality collected from diverse sources. The state-of-the-art data research in production and the emerging methodologies are discussed. The review of the literature suggests that production research enabled by data has shifted from that based on analytical models to data-driven. Manufacturing and data envelopment analysis have been the most popular application areas of data-driven methodologies. The research published to date indicates that data mining is becoming a dominant methodology in production research. Future trends and opportunities for data-driven production research are presented.</t>
  </si>
  <si>
    <t>[Kuo, Yong-Hong] Univ Hong Kong, Dept Ind &amp; Mfg Syst Engn, Hong Kong, Peoples R China; [Kusiak, Andrew] Univ Iowa, Dept Mech &amp; Ind Engn, Iowa City, IA 52242 USA</t>
  </si>
  <si>
    <t>University of Hong Kong; University of Iowa</t>
  </si>
  <si>
    <t>Kusiak, A (corresponding author), Univ Iowa, Dept Mech &amp; Ind Engn, Iowa City, IA 52242 USA.</t>
  </si>
  <si>
    <t>Kuo, Yong-Hong/ABF-8035-2021</t>
  </si>
  <si>
    <t>Kuo, Yong-Hong/0000-0002-6170-324X</t>
  </si>
  <si>
    <t>Research Grants Council of the Hong Kong Special Administrative Region, China [14202115]</t>
  </si>
  <si>
    <t>This research is partially supported by a grant from the Research Grants Council of the Hong Kong Special Administrative Region, China (Project No. 14202115).</t>
  </si>
  <si>
    <t>AUG 29</t>
  </si>
  <si>
    <t>15-16</t>
  </si>
  <si>
    <t>10.1080/00207543.2018.1443230</t>
  </si>
  <si>
    <t>IO0FM</t>
  </si>
  <si>
    <t>WOS:000479054800011</t>
  </si>
  <si>
    <t>Luo, JQ; Bi, MX; Kuang, HB</t>
  </si>
  <si>
    <t>Luo, Jiaqi; Bi, Mingxiao; Kuang, Haibo</t>
  </si>
  <si>
    <t>Design of Evaluation Scheme for Social Responsibility of China's Transportation Enterprises from the Perspective of Green Supply Chain Management</t>
  </si>
  <si>
    <t>corporate social responsibility; R-clustering model; green supply chain management; transportation industry</t>
  </si>
  <si>
    <t>FINANCIAL PERFORMANCE; CONCEPTUAL-FRAMEWORK; FIRM PERFORMANCE; CORPORATE; IMPLEMENTATION; COMMUNICATION; DISCLOSURE; LOGISTICS; EVOLUTION; STRATEGY</t>
  </si>
  <si>
    <t>Corporate social responsibility (CSR) in the supply chain has become an increasingly popular research topic, but there are little researches on developing countries or emerging market economies as the research object, let alone providing a framework for assessing CSR in sustainable supply chains in the context of these countries. This paper will make up for these literature gaps. From the perspective of the green supply chain management, this paper integrates various authoritative standards and adopts two methods, R clustering and variation coefficient analysis, to establish a CSR performance evaluation system of China's transportation industry. Applying the mean square error index weighting method analyzes the performance of 74 companies in China's transportation industry in 2018 to verify the rationality of the evaluation system. The results find that this industry generally scores low and the performance of responsibilities of different sub-sectors in this industry is different, but the overall performance trend is improving. This research has implications for China's transportation industry to improve CSR levels from the perspective of green supply chain management, for managers and stakeholders who are committed to improving China's CSR green and sustainable development, and for the development of CSR in developing countries and emerging markets.</t>
  </si>
  <si>
    <t>[Luo, Jiaqi; Bi, Mingxiao; Kuang, Haibo] Dalian Maritime Univ, Collaborat Innovat Ctr Transport Studies, Dalian 116026, Peoples R China; [Luo, Jiaqi; Kuang, Haibo] Dalian Maritime Univ, Sch Shipping Econ &amp; Management, Dalian 116026, Peoples R China</t>
  </si>
  <si>
    <t>Dalian Maritime University; Dalian Maritime University</t>
  </si>
  <si>
    <t>Kuang, HB (corresponding author), Dalian Maritime Univ, Collaborat Innovat Ctr Transport Studies, Dalian 116026, Peoples R China.;Kuang, HB (corresponding author), Dalian Maritime Univ, Sch Shipping Econ &amp; Management, Dalian 116026, Peoples R China.</t>
  </si>
  <si>
    <t>luojiaqi2019@dlmu.edu.cn; Tougao2020@dlmu.edu.cn; Khb@dlmu.edu.cn</t>
  </si>
  <si>
    <t>Project of Dalian Federation of Social Sciences in 2020 [2020dlskzd123]; National Natural Science Foundation of China [J2024024, 71831002, 71672016, 72072018]; Fundamental Research Funds for the Central Universities [3132019501]; Changjiang Scholars and Innovation Team Development Program [IRT_17R13]</t>
  </si>
  <si>
    <t>Project of Dalian Federation of Social Sciences in 2020; National Natural Science Foundation of China(National Natural Science Foundation of China (NSFC)); Fundamental Research Funds for the Central Universities(Fundamental Research Funds for the Central Universities); Changjiang Scholars and Innovation Team Development Program</t>
  </si>
  <si>
    <t>This research was funded by Project of Dalian Federation of Social Sciences in 2020 (grant number2020dlskzd123); National Natural Science Foundation of China (grant number J2024024; 71831002;71672016;72072018) and the Fundamental Research Funds for the Central Universities (grant number 3132019501); Changjiang Scholars and Innovation Team Development Program [IRT_17R13].</t>
  </si>
  <si>
    <t>10.3390/su13063390</t>
  </si>
  <si>
    <t>RW0HM</t>
  </si>
  <si>
    <t>WOS:000646205400001</t>
  </si>
  <si>
    <t>Abellana, DPM; Mayol, PE</t>
  </si>
  <si>
    <t>Mariscal Abellana, Dharyll Prince; Esplanada Mayol, Paula</t>
  </si>
  <si>
    <t>A novel hybrid DEMATEL-K-means clustering algorithm for modeling the barriers of green computing adoption in the Philippines</t>
  </si>
  <si>
    <t>Decision-making; Algorithms; Decision support systems; Data mining; Computing; Operations research</t>
  </si>
  <si>
    <t>SUPPLY CHAIN MANAGEMENT; PERSONALITY; DRIVERS; ISM</t>
  </si>
  <si>
    <t>Purpose This paper aims to propose a novel hybrid-decision-making trial and evaluation laboratory-K means clustering algorithm as a decision-making framework for analyzing the barriers of green computing adoption. Design/methodology/approach A literature review is conducted to extract relevant green computing barriers. An expert elicitation process is performed to finalize the barriers and to establish their corresponding interrelationships. Findings The proposed approach offers a comprehensive framework for modeling the barriers of green computing adoption. Research limitations/implications The results of this paper provide insights on how the barriers of green computing adoption facilitate the adoption of stakeholders. Moreover, the paper provides a framework for analyzing the structural relationships that exist between factors in a tractable manner. Originality/value The paper is one of the very first attempts to analyze the barriers of green computing adoption. Furthermore, it is the first to offer lenses in a Philippine perspective. The paper offers a novel algorithm that can be useful in modeling the barriers of innovation, particularly, in green computing adoption.</t>
  </si>
  <si>
    <t>[Mariscal Abellana, Dharyll Prince; Esplanada Mayol, Paula] Univ Philippines Cebu, Dept Comp Sci, Coll Sci, Cebu, Philippines</t>
  </si>
  <si>
    <t>University of the Philippines System; University of the Philippines Cebu</t>
  </si>
  <si>
    <t>Abellana, DPM (corresponding author), Univ Philippines Cebu, Dept Comp Sci, Coll Sci, Cebu, Philippines.</t>
  </si>
  <si>
    <t>dmabellana@up.edu.ph</t>
  </si>
  <si>
    <t>Abellana, Dharyll Prince Mariscal/AAP-3729-2020</t>
  </si>
  <si>
    <t>Abellana, Dharyll Prince Mariscal/0000-0002-2397-556X</t>
  </si>
  <si>
    <t>APR 5</t>
  </si>
  <si>
    <t>10.1108/JM2-06-2020-0161</t>
  </si>
  <si>
    <t>0G6YE</t>
  </si>
  <si>
    <t>WOS:000661408800001</t>
  </si>
  <si>
    <t>Zanon, LG; Marcelloni, F; Gerolamo, MC; Carpinetti, LCR</t>
  </si>
  <si>
    <t>Zanon, Lucas Gabriel; Marcelloni, Francesco; Gerolamo, Mateus Cecilio; Ribeiro Carpinetti, Luiz Cesar</t>
  </si>
  <si>
    <t>Exploring the relations between supply chain performance and organizational culture: A fuzzy grey group decision model</t>
  </si>
  <si>
    <t>Supply chain performance management; Organizational culture; Group decision-making; Grey clustering; Fuzzy grey cognitive maps; Fuzzy inference</t>
  </si>
  <si>
    <t>COGNITIVE MAPS; MEASUREMENT SYSTEM; SCOR MODEL; MANAGEMENT; SELECTION; INFERENCE; IMPACT; SUSTAINABILITY; UNCERTAINTY; FRAMEWORK</t>
  </si>
  <si>
    <t>Assessing the relationship between supply chain performance and organizational culture can help to predict scenarios and improve decision-making. However, this relationship is rarely explored due to the complexity of quantitatively addressing its natural subjectivity. Although soft computing techniques would have the potential to overcome this limitation, they have been rarely applied to this context. This paper aims to introduce a decision model to analyze and quantify the causal relationship between organizational culture and supply chain performance based on the combination of fuzzy grey cognitive maps, grey clustering and multiple fuzzy inference systems. Such model is novel in the literature and can provide new theoretical and practical perspectives. The development of this study is based on the SCOR (R) (Supply Chain Operations Reference) model attributes (SCC, 2017) and Hofstede's (2001) organizational practices, following the quantitative axiomatic prescriptive model based research. The main contribution is the introduction of a decision-making model that promotes the alignment between organizational culture and supply chain management, internalizing culture as a driver for performance improvement efforts. By conducting two real application cases in companies from different industrial sectors, results show that the model is able to identify crucial elements regarding cultural profile and performance for both organizations, aiding prioritization, anticipation and enabling the development of guidelines for action plans.</t>
  </si>
  <si>
    <t>[Zanon, Lucas Gabriel; Gerolamo, Mateus Cecilio; Ribeiro Carpinetti, Luiz Cesar] Univ Sao Paulo, Sao Carlos Sch Engn, Prod Engn Dept, Av Trabalhador Sao Carlense 400, BR-13566590 Sao Carlos, SP, Brazil; [Marcelloni, Francesco] Univ Pisa, Dept Informat Engn, Largo Lucio Lazzarino 1, I-56122 Pisa, Italy</t>
  </si>
  <si>
    <t>Universidade de Sao Paulo; University of Pisa</t>
  </si>
  <si>
    <t>Carpinetti, LCR (corresponding author), Av Trabalhador Sao Carlene 400, BR-13566590 Sao Carlos, SP, Brazil.</t>
  </si>
  <si>
    <t>lucasgab.zanon@gmail.com; francesco.marcelloni@unipi.it; gerolamo@sc.usp.br; carpinet@sc.usp.br</t>
  </si>
  <si>
    <t>Gerolamo, Mateus/G-7182-2012</t>
  </si>
  <si>
    <t>Gerolamo, Mateus/0000-0002-6535-0904</t>
  </si>
  <si>
    <t>Sao Paulo Research Foundation - FAPESP [2017/23310-6, 2019/12858-6]; Brazilian National Council for Scientific and Technological Development - CNPq</t>
  </si>
  <si>
    <t>Sao Paulo Research Foundation - FAPESP(Fundacao de Amparo a Pesquisa do Estado de Sao Paulo (FAPESP)); Brazilian National Council for Scientific and Technological Development - CNPq(Conselho Nacional de Desenvolvimento Cientifico e Tecnologico (CNPQ))</t>
  </si>
  <si>
    <t>This work was supported by the Sao Paulo Research Foundation - FAPESP (2017/23310-6; 2019/12858-6) and the Brazilian National Council for Scientific and Technological Development - CNPq.</t>
  </si>
  <si>
    <t>10.1016/j.ijpe.2020.108023</t>
  </si>
  <si>
    <t>QK3QE</t>
  </si>
  <si>
    <t>WOS:000620294200005</t>
  </si>
  <si>
    <t>Liu, XD; Jia, WJ; Wang, YG; Guo, HY; Ren, Y; Li, ZD</t>
  </si>
  <si>
    <t>Liu, Xiaodong; Jia, Wenjuan; Wang, Yuangang; Guo, Hongyue; Ren, Yan; Li, Zedong</t>
  </si>
  <si>
    <t>Knowledge discovery and semantic learning in the framework of axiomatic fuzzy set theory</t>
  </si>
  <si>
    <t>WILEY INTERDISCIPLINARY REVIEWS-DATA MINING AND KNOWLEDGE DISCOVERY</t>
  </si>
  <si>
    <t>axiomatic fuzzy sets; data mining; knowledge discovery; pattern recognition; semantic representation</t>
  </si>
  <si>
    <t>LOGISTICS NETWORK OPTIMIZATION; CUSTOMER CLUSTERING APPROACH; SUPPLY CHAIN MANAGEMENT; FORMAL CONCEPT ANALYSIS; TOPSIS METHODOLOGY; AFS ALGEBRAS; LOGIC OPERATIONS; SWOT ANALYSIS; ROUGH SETS; RECOGNITION</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</si>
  <si>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</si>
  <si>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[Liu, Xiaodong; Jia, Wenjuan; Wang, Yuangang] Dalian Univ Technol, Sch Control Sci &amp; Engn, Fac Elect Informat &amp; Elect Engn, Dalian 116024, Liaoning, Peoples R China; [Guo, Hongyue] Dalian Maritime Univ, Collaborat Innovat Ctr Transport Studies, Dalian, Peoples R China; [Ren, Yan] Shenyang Aerosp Univ, Coll Automat, Shenyang, Liaoning, Peoples R China; [Li, Zedong] Dalian Minzu Univ, Dalian Key Lab Digital Technol Natl Culture, Dalian, Peoples R China</t>
  </si>
  <si>
    <t>Dalian University of Technology; Dalian Maritime University; Shenyang Aerospace University; Dalian Minzu University</t>
  </si>
  <si>
    <t>Liu, XD (corresponding author), Dalian Univ Technol, Sch Control Sci &amp; Engn, Fac Elect Informat &amp; Elect Engn, Dalian 116024, Liaoning, Peoples R China.</t>
  </si>
  <si>
    <t>xdliuros@dlut.edu.cn</t>
  </si>
  <si>
    <t>Wang, Yuangang/L-7956-2019</t>
  </si>
  <si>
    <t>National Natural Science Foundation of China [61533005, 61673082]</t>
  </si>
  <si>
    <t>National Natural Science Foundation of China, Grant/Award Numbers: 61533005, 61673082</t>
  </si>
  <si>
    <t>WILEY PERIODICALS, INC</t>
  </si>
  <si>
    <t>ONE MONTGOMERY ST, SUITE 1200, SAN FRANCISCO, CA 94104 USA</t>
  </si>
  <si>
    <t>1942-4787</t>
  </si>
  <si>
    <t>1942-4795</t>
  </si>
  <si>
    <t>WIRES DATA MIN KNOWL</t>
  </si>
  <si>
    <t>Wiley Interdiscip. Rev.-Data Mining Knowl. Discov.</t>
  </si>
  <si>
    <t>SEP-OCT</t>
  </si>
  <si>
    <t>e1268</t>
  </si>
  <si>
    <t>10.1002/widm.1268</t>
  </si>
  <si>
    <t>GQ5WY</t>
  </si>
  <si>
    <t>WOS:000441767200005</t>
  </si>
  <si>
    <t>Alzahrani, A; Asghar, MZ</t>
  </si>
  <si>
    <t>Alzahrani, Ahmed; Asghar, Muhammad Zubair</t>
  </si>
  <si>
    <t>Intelligent Risk Prediction System in IoT-Based Supply Chain Management in Logistics Sector</t>
  </si>
  <si>
    <t>ELECTRONICS</t>
  </si>
  <si>
    <t>logistics sector; supply chain risks; prediction; deep learning</t>
  </si>
  <si>
    <t>The Internet of Things (IoT) has resulted in substantial advances in the logistics sector, particularly in logistics storage management, communication systems, service quality, and supply chain management. The goal of this study is to create an intelligent supply chain (SC) management system that provides decision support to SC managers in order to achieve effective Internet of Things (IOT)-based logistics. Current research on predicting risks in shipping operations in the logistics sector during natural disasters has produced a variety of unexpected findings utilizing machine learning (ML) algorithms and traditional feature-encoding approaches. This has prompted a variety of concerns regarding the research's validity. These previous attempts, like many others before them, used deep neural models to gain features without requiring the user to maintain track of all of the sequence information. This paper offers a hybrid deep learning (DL) approach, convolutional neural network (CNN) + bidirectional gating recurrent unit (BiGRU), to lessen the impact of natural disasters on shipping operations by addressing the question, Can goods be shipped from a source location to a destination?. The suggested DL methodology is divided into four stages: data collection, de-noising or pre-processing, feature extraction, and prediction. When compared to the baseline work, the proposed CNN + BiGRU achieved an accuracy of up to 94%.</t>
  </si>
  <si>
    <t>[Alzahrani, Ahmed] King Abdulaziz Univ, Fac Comp &amp; Informat Technol, Dept Comp Sci, Jeddah 21589, Saudi Arabia; [Asghar, Muhammad Zubair] Gomal Univ, Inst Comp &amp; Informat Technol, Dera Ismail Khan 29220, Pakistan</t>
  </si>
  <si>
    <t>King Abdulaziz University; Gomal University</t>
  </si>
  <si>
    <t>Asghar, MZ (corresponding author), Gomal Univ, Inst Comp &amp; Informat Technol, Dera Ismail Khan 29220, Pakistan.</t>
  </si>
  <si>
    <t>aaalzahrani9@kau.edu.sa; zubair@gu.edu.pk</t>
  </si>
  <si>
    <t>Alzahrani, Ahmed/AAC-9957-2019</t>
  </si>
  <si>
    <t>Alzahrani, Ahmed/0000-0002-5010-3249</t>
  </si>
  <si>
    <t>Ministry of Education and King Abdulaziz University, DSR, Jeddah, Saudi Arabia; [IFPIP: 325-611-1443]</t>
  </si>
  <si>
    <t>Ministry of Education and King Abdulaziz University, DSR, Jeddah, Saudi Arabia;</t>
  </si>
  <si>
    <t>This research work was funded by Institutional Fund Projects under grant no. (IFPIP: 325-611-1443). The authors gratefully acknowledge technical and financial support provided by the Ministry of Education and King Abdulaziz University, DSR, Jeddah, Saudi Arabia.</t>
  </si>
  <si>
    <t>2079-9292</t>
  </si>
  <si>
    <t>ELECTRONICS-SWITZ</t>
  </si>
  <si>
    <t>Electronics</t>
  </si>
  <si>
    <t>10.3390/electronics12132760</t>
  </si>
  <si>
    <t>Computer Science, Information Systems; Engineering, Electrical &amp; Electronic; Physics, Applied</t>
  </si>
  <si>
    <t>Computer Science; Engineering; Physics</t>
  </si>
  <si>
    <t>M6GF8</t>
  </si>
  <si>
    <t>WOS:001031174500001</t>
  </si>
  <si>
    <t>Yu, CL; Li, L; Li, JL; Qin, P; Zhang, B</t>
  </si>
  <si>
    <t>Yu, Caili; Li, Liang; Li, Junlong; Qin, Peng; Zhang, Bei</t>
  </si>
  <si>
    <t>The evaluation of enterprise supply chain intelligent manufacturing system for agricultural interconnection data based on machine learning</t>
  </si>
  <si>
    <t>EXPERT SYSTEMS</t>
  </si>
  <si>
    <t>data analysis; deep learning; intelligent manufacturing system; internet of things; supply chain; manufacturing</t>
  </si>
  <si>
    <t>The present work aims to promote the modernization of the real economy and facilitate the manufacturing industry to construct an intelligent manufacturing system. Analysis and evaluation are performed on the intelligent manufacturing system (IMS) of enterprises under the Internet of Things (IoT). First, the connotation and characteristics of machine learning (ML) in the era of IoT are explained, followed by the introduction to neural networks. Second, the optimization process of the neural network is described. Since it has no memory, the traditional deep neural network (DNN) needs to be improved. Then, the Generative Adversarial Network (GAN) is utilized to expand the sample data. Moreover, the confusion matrix is used in the indicator evaluation. The backpropagation neural network (BPNN) is optimized by the genetic algorithm (GA) to improve the network configuration and model performance. In addition, the connotation and development status of IMS are analysed, and the feasibility of applying deep learning to the evaluation of IMS is discussed. Finally, the evaluation model of IMS is designed and built via a neural network, which is ultimately verified in the simulation experiment. The experimental results indicate that the BPNN-GA algorithm has advantages in predicting fitting accuracy, taking up less memory, and shortening training time; it can achieve generalization and accuracy in the forefront of optimal Pareto value, and the fitting accuracy attains 95.3%. The horizontal evaluation of IMS proves the effectiveness and feasibility of the evaluation model. This shows that the BPNN-GA algorithm has an excellent evaluation effect on IMS. And the IMS evaluation model is applied to assess the IMS of sample enterprises. The evaluation results demonstrate that there are problems in the current manufacturing industry. For example, the transactions are challenging to be completed smoothly, information technology is updated slowly, and IMS is dependent on collecting resources.</t>
  </si>
  <si>
    <t>[Yu, Caili; Li, Liang; Li, Junlong; Zhang, Bei] Shanwei Inst Technol, Sch Oceanog, Shanwei 516600, Peoples R China; [Yu, Caili; Li, Liang; Li, Junlong; Zhang, Bei] Shanwei Inst Technol, Ctr Intelligent Percept &amp; Internet Things Res, Shanwei, Peoples R China; [Qin, Peng] Tarim Univ, Sch Informat Engn, Alaer, Peoples R China</t>
  </si>
  <si>
    <t>Tarim University</t>
  </si>
  <si>
    <t>Zhang, B (corresponding author), Shanwei Inst Technol, Sch Oceanog, Shanwei 516600, Peoples R China.</t>
  </si>
  <si>
    <t>zhangbei_324@nuaa.edu.cn</t>
  </si>
  <si>
    <t>National Natural Science Foundation of China [42061046]; Guangdong University [2021ZDZX4 111]; Shanwei Institute of Technology introduces high-level talent scientific research start-up projects [SKQD2021Y-023, SKQD2021Y-024, SKQD2021B-025, SKQD2021Y-026]; Vocational Education Research Association Project of Guangdong Higher Education Association [GDGZ21Y027]; Shanwei Innovative Industrial Design and Research Institute [CXGY21-010]</t>
  </si>
  <si>
    <t>National Natural Science Foundation of China(National Natural Science Foundation of China (NSFC)); Guangdong University; Shanwei Institute of Technology introduces high-level talent scientific research start-up projects; Vocational Education Research Association Project of Guangdong Higher Education Association; Shanwei Innovative Industrial Design and Research Institute</t>
  </si>
  <si>
    <t>This work was supported in part by the National Natural Science Foundation of China under Grant 42061046, in part by the Guangdong University Scientific Research Platform and Key Projects under Grant 2021ZDZX4 111 and in part by the Shanwei Institute of Technology introduces high-level talent scientific research start-up projects under Grant SKQD2021Y-023, SKQD2021Y-024, SKQD2021B-025 and SKQD2021Y-026. Also funded by Vocational Education Research Association Project of Guangdong Higher Education Association GDGZ21Y027 and Shanwei Innovative Industrial Design and Research Institute CXGY21-010.</t>
  </si>
  <si>
    <t>0266-4720</t>
  </si>
  <si>
    <t>1468-0394</t>
  </si>
  <si>
    <t>EXPERT SYST</t>
  </si>
  <si>
    <t>Expert Syst.</t>
  </si>
  <si>
    <t>2023 FEB 24</t>
  </si>
  <si>
    <t>10.1111/exsy.13259</t>
  </si>
  <si>
    <t>FEB 2023</t>
  </si>
  <si>
    <t>9I6MU</t>
  </si>
  <si>
    <t>WOS:000939622900001</t>
  </si>
  <si>
    <t>Ng, SCH; Ho, GTS; Wu, CH</t>
  </si>
  <si>
    <t>Ng, S. C. H.; Ho, G. T. S.; Wu, C. H.</t>
  </si>
  <si>
    <t>Blockchain-IIoT-big data aided process control and quality analytics</t>
  </si>
  <si>
    <t>Fuzzy association rule mining; Blockchain; IoT; Process control; Data analytics; Quality management</t>
  </si>
  <si>
    <t>SUPPLY CHAIN VISIBILITY; PROCESS MANAGEMENT; EMPIRICAL-MODEL; IMPACT; ORGANIZATION; PERFORMANCE; INTEGRATION; INSIGHTS; TRUST; IMPLEMENTATION</t>
  </si>
  <si>
    <t>The literature on quality management system (QMS) assumes that product and process performance data are authentic and easily accessible. This assumption, while ideologically sound, is questionable in practise because the authenticity and accessibility of data cannot be guaranteed in many circumstances. Inaccurate, incomplete, inconsistent, and inaccessible data are common in supply chains and prevent the QMS from achieving its goal: assuring product and process quality to meet customer requirements. This study is one of the first to examine the impact of data quality and data latency on process control and quality analysis which are elemental parts of daily QMS activities, from a supply chain visibility (SCV) perspective. In this study, five propositions are made to show the relationships between technology, SCV, and data issues. More importantly, the study proposes a platform that integrates Blockchain (BC) technology, Industrial Internet of Things (IIoT), and Big Data to solve data problems in SCV and QMS. We further perform fuzzy association rule mining (FARM) to show how the platform can solve quality analysis problems and complete a closed-loop process control cycle in manufacturing. We also explain the contributions of the integrated platform to QMS from four theoretical perspectives. Finally, we discuss the limitations of the platform and provide recommendations for future research.</t>
  </si>
  <si>
    <t>[Ng, S. C. H.; Ho, G. T. S.; Wu, C. H.] Hang Seng Univ Hong Kong, Dept Supply Chain &amp; Informat Management, Shatin, Hong Kong, New Territories, Peoples R China</t>
  </si>
  <si>
    <t>Hang Seng University of Hong Kong</t>
  </si>
  <si>
    <t>Ho, GTS (corresponding author), Hang Seng Univ Hong Kong, Dept Supply Chain &amp; Informat Management, Shatin, Hong Kong, New Territories, Peoples R China.</t>
  </si>
  <si>
    <t>stephenng@hsu.edu.hk; georgeho@hsu.edu.hk; jackwu@ieee.org</t>
  </si>
  <si>
    <t>WU, C.H./H-8815-2012</t>
  </si>
  <si>
    <t>WU, C.H./0000-0003-1259-4048</t>
  </si>
  <si>
    <t>Big Data Intelligence Centre in The Hang Seng University of Hong Kong</t>
  </si>
  <si>
    <t>The authors would like to thank the support by the Big Data Intelligence Centre in The Hang Seng University of Hong Kong.</t>
  </si>
  <si>
    <t>10.1016/j.ijpe.2023.108871</t>
  </si>
  <si>
    <t>G5XB0</t>
  </si>
  <si>
    <t>WOS:000989872200001</t>
  </si>
  <si>
    <t>Mogale, DG; Ghadge, A; Kumar, SK; Tiwari, MK</t>
  </si>
  <si>
    <t>Mogale, D. G.; Ghadge, Abhijeet; Kumar, Sri Krishna; Tiwari, Manoj Kumar</t>
  </si>
  <si>
    <t>Modelling supply chain network for procurement of food grains in India</t>
  </si>
  <si>
    <t>food supply chain; modelling and optimisation; food grains; clustering; genetic algorithm; procurement</t>
  </si>
  <si>
    <t>GENETIC ALGORITHM; DECISION-MAKING; LOADING STATIONS; MANAGEMENT; TRANSPORTATION; SUSTAINABILITY; FRAMEWORK; STORAGE; UNCERTAINTY; OPERATIONS</t>
  </si>
  <si>
    <t>The procurement of food grains from farmers and their transportation to regional level has become decisive due to increasing food demand and post-harvest losses in developing countries. To overcome these challenges, this paper attempts to develop a robust data-driven supply chain model for the efficient procurement of food grains in India. Following the data collected from three leading wheat producing Indian regions, a mixed-integer linear programming model is formulated for minimising total supply chain network costs and determining number and location of procurement centres. The NK Hybrid Genetic Algorithm (NKHGA) is employed to cluster the villages, along with a novel density-based approach to optimise the supply chain network. Sensitivity analysis indicates that policymakers should focus on creating an adequate number of procurement centres in each surplus state, well before the start of the harvesting season. The study is expected to benefit food grain supply chain stakeholders such as farmers, procurement agencies, logistics providers and government bodies in making an informed decision.</t>
  </si>
  <si>
    <t>[Mogale, D. G.; Kumar, Sri Krishna; Tiwari, Manoj Kumar] Indian Inst Technol Kharagpur, Dept Ind &amp; Syst Engn, Kharagpur, W Bengal, India; [Mogale, D. G.; Ghadge, Abhijeet] Cranfield Univ, Sch Management, Ctr Logist &amp; Supply Chain Management, Cranfield, Beds, England</t>
  </si>
  <si>
    <t>Indian Institute of Technology System (IIT System); Indian Institute of Technology (IIT) - Kharagpur; Cranfield University</t>
  </si>
  <si>
    <t>Ghadge, A (corresponding author), Cranfield Univ, Sch Management, Ctr Logist &amp; Supply Chain Management, Cranfield, Beds, England.</t>
  </si>
  <si>
    <t>Abhijeet.Ghadge@Cranfield.ac.uk</t>
  </si>
  <si>
    <t>Tiwari, Manoj Kumar/B-3592-2012; Ghadge, Abhijeet/B-2249-2012</t>
  </si>
  <si>
    <t>Tiwari, Manoj Kumar/0000-0001-8564-1402; Ghadge, Abhijeet/0000-0002-0310-2761; Mogale, Dnyaneshwar/0000-0002-7977-0360</t>
  </si>
  <si>
    <t>research project: Procurement, Collection and Storage of Food Grains (CAG) under the mega project Sustainable food Security through: Technological interventions for production, processing and logistics (SAL) - MHRD, Department of Higher Education, New Delh [IIT/SRIC/IEM/CAG/2013-14/206, IIT/SRIC/AGFE/SAL/2013-14/159]</t>
  </si>
  <si>
    <t>research project: Procurement, Collection and Storage of Food Grains (CAG) under the mega project Sustainable food Security through: Technological interventions for production, processing and logistics (SAL) - MHRD, Department of Higher Education, New Delh</t>
  </si>
  <si>
    <t>This work was supported by the research project: Procurement, Collection and Storage of Food Grains (CAG), No. IIT/SRIC/IEM/CAG/2013-14/206 under the mega project Sustainable food Security through: Technological interventions for production, processing and logistics (SAL) No. - IIT/SRIC/AGFE/SAL/2013-14/159, sponsored by MHRD, Department of Higher Education, New Delhi, India.</t>
  </si>
  <si>
    <t>NOV 1</t>
  </si>
  <si>
    <t>10.1080/00207543.2019.1682707</t>
  </si>
  <si>
    <t>OCT 2019</t>
  </si>
  <si>
    <t>OK7VN</t>
  </si>
  <si>
    <t>WOS:000492116800001</t>
  </si>
  <si>
    <t>Liu, SY; Li, C; Feng, YP; Rong, G</t>
  </si>
  <si>
    <t>Liu, Su-Yu; Li, Cheng; Feng, Yi-Ping; Rong, Gang</t>
  </si>
  <si>
    <t>Clustering structure and logistics: A new framework for supply network analysis</t>
  </si>
  <si>
    <t>CHEMICAL ENGINEERING RESEARCH &amp; DESIGN</t>
  </si>
  <si>
    <t>Supply network; Network theory; Structure; Logistics; Efficiency</t>
  </si>
  <si>
    <t>COMPLEX NETWORKS; STATISTICAL-MECHANICS</t>
  </si>
  <si>
    <t>Analysis of supply networks has been receiving abundant attention and enormous progress during the past decades. Most of the works focused on the detailed functionality of individuals in a small scale supply system while the network topology is often overlooked. Recently, network theory is introduced to study the structure-activity relations in supply networks. However, the understanding of connectivity pattern and collective behavior in large scale system is still limited. In our work, we propose a framework to model the supply network and analyze the relation between the clustering structure of the system and the dynamical logistic processes. In this framework, Configuration Models are used to build supply networks with different connectivity structures. Then by applying the logistic model on the networks, we could simulate the dynamical processes and evaluate the logistic performance. Simulation results demonstrate that the logistic dynamics of supply networks are highly related to the clustering structure. Using two measurements, we show that the supply networks with clustering structure can provide better services than those without by performing shorter Order lead-time and higher Delivery efficiency. (C) 2013 The Institution of Chemical Engineers. Published by Elsevier B.V. All rights reserved.</t>
  </si>
  <si>
    <t>[Liu, Su-Yu; Li, Cheng; Feng, Yi-Ping; Rong, Gang] Zhejiang Univ, Dept Control Sci &amp; Engn, State Key Lab Ind Control Technol, Hangzhou 310027, Peoples R China</t>
  </si>
  <si>
    <t>Zhejiang University</t>
  </si>
  <si>
    <t>Rong, G (corresponding author), Zhejiang Univ, Dept Control Sci &amp; Engn, State Key Lab Ind Control Technol, Hangzhou 310027, Peoples R China.</t>
  </si>
  <si>
    <t>syliu@iipc.zju.edu.cn; cli@iipc.zju.edu.cn; ypfeng@iipc.zju.edu.cn; grong@iipc.zju.edu.cn</t>
  </si>
  <si>
    <t>973 Program of China [2012CB720500]; National High Technology RAMP;D Program of China [2012AA041102]</t>
  </si>
  <si>
    <t>973 Program of China(National Basic Research Program of China); National High Technology RAMP;D Program of China</t>
  </si>
  <si>
    <t>The authors would like to acknowledge the support from the 973 Program of China (No. 2012CB720500) and the National High Technology R&amp;D Program of China (2012AA041102). The authors also appreciate the useful comments and discussions from their research group and other colleagues.</t>
  </si>
  <si>
    <t>0263-8762</t>
  </si>
  <si>
    <t>1744-3563</t>
  </si>
  <si>
    <t>CHEM ENG RES DES</t>
  </si>
  <si>
    <t>Chem. Eng. Res. Des.</t>
  </si>
  <si>
    <t>10.1016/j.cherd.2013.02.021</t>
  </si>
  <si>
    <t>210YY</t>
  </si>
  <si>
    <t>WOS:000323872500003</t>
  </si>
  <si>
    <t>Modi, D; Zhao, L</t>
  </si>
  <si>
    <t>Modi, Dipali; Zhao, Li</t>
  </si>
  <si>
    <t>Social media analysis of consumer opinion on apparel supply chain transparency</t>
  </si>
  <si>
    <t>JOURNAL OF FASHION MARKETING AND MANAGEMENT</t>
  </si>
  <si>
    <t>Social network analysis; Sustainability; Supply chain transparency</t>
  </si>
  <si>
    <t>SUSTAINABILITY; NETWORKS; FASHION</t>
  </si>
  <si>
    <t>Purpose This study aims to use social network analysis to (1) investigate public opinions on social media regarding apparel supply chain transparency and (2) identify key themes and the major communities discussing apparel supply chain transparency. Design/methodology/approach Data mining-based social network analysis was used to investigate the pattern of discussions regarding apparel supply chain transparency on Twitter and Instagram. Findings Both Instagram and Twitter networks exhibited high interest in environmental, working condition and community support in apparel supply chain as explained by the moral responsibility framework of corporate sustainability despite the intended theme of the campaign to promote transparency in terms of working conditions specifically. However, some inconsistencies were found regarding the importance of these communities in the network, suggesting that while survey methods hold significance in measuring user intension, the reaction-based user-generated data on social media can be useful to measure users' true behavior. Also, while Twitter network was dominated by knowledge-based messages, the Instagram network had emotion-driven messages. Originality/value By conducting this study, the authors will not only contribute to the existing literature of social media usage in the apparel industry but will also provide a foundation for the use of social network analysis to analyze user-generated data on social media, as this method is fairly new in the textile and apparel industry-related research. The authors also wish to help businesses and policy makers identify specific actionable areas where they are lagging and hence further improve their overall performance.</t>
  </si>
  <si>
    <t>[Modi, Dipali; Zhao, Li] Univ Missouri, Text &amp; Apparel Management, Columbia, MO 65211 USA</t>
  </si>
  <si>
    <t>Zhao, L (corresponding author), Univ Missouri, Text &amp; Apparel Management, Columbia, MO 65211 USA.</t>
  </si>
  <si>
    <t>zhaol1@missouri.edu</t>
  </si>
  <si>
    <t>1361-2026</t>
  </si>
  <si>
    <t>1758-7433</t>
  </si>
  <si>
    <t>J FASH MARK MANAG</t>
  </si>
  <si>
    <t>J. Fash. Mark. Manag.</t>
  </si>
  <si>
    <t>10.1108/JFMM-09-2019-0220</t>
  </si>
  <si>
    <t>TD5TI</t>
  </si>
  <si>
    <t>WOS:000590946900001</t>
  </si>
  <si>
    <t>Khatami, M; Mahootchi, M; Farahani, RZ</t>
  </si>
  <si>
    <t>Khatami, Maryam; Mahootchi, Masoud; Farahani, Reza Zanjirani</t>
  </si>
  <si>
    <t>Benders' decomposition for concurrent redesign of forward and closed-loop supply chain network with demand and return uncertainties</t>
  </si>
  <si>
    <t>Closed-loop supply chain; Network design; Stochastic programming; Benders decomposition; Cholesky's factorization method</t>
  </si>
  <si>
    <t>REVERSE LOGISTICS NETWORK; STOCHASTIC-PROGRAMMING APPROACH; GENETIC ALGORITHM; PRODUCT RECOVERY; DESIGN; MODEL; LOCATION</t>
  </si>
  <si>
    <t>This paper attempts to design a reverse supply chain network (SCN), add it to an existing multi-product forward SCN and simultaneously redesign the existing forward supply chain (SC). The problem considers uncertainty on products demand and and also returned products in multi-period context. Benders' decomposition is applied to solve the stochastic mixed-integer model to optimality. The scenarios are generated based on the demand distribution function using Cholesky's factorization method to consider correlation among different products' demands. To decrease the computational effort, the number of scenarios is reduced using k-means clustering algorithm. The method is tested on a cell phone SC. Crown Copyright (C) 2015 Published by Elsevier Ltd. All rights reserved.</t>
  </si>
  <si>
    <t>[Khatami, Maryam] Wayne State Univ, Dept Ind &amp; Syst Engn, Detroit, MI USA; [Mahootchi, Masoud] Amirkabir Univ Technol, Dept Ind Engn &amp; Management Syst, Tehran, Iran; [Farahani, Reza Zanjirani] Kingston Univ London, Kingston Business Sch, Dept Management, Kingston Upon Thames KT2 7LB, Surrey, England</t>
  </si>
  <si>
    <t>Wayne State University; Amirkabir University of Technology; Kingston University</t>
  </si>
  <si>
    <t>Farahani, RZ (corresponding author), Kingston Univ London, Kingston Business Sch, Dept Management, Kingston Hill, Kingston Upon Thames KT2 7LB, Surrey, England.</t>
  </si>
  <si>
    <t>R.ZanjiraniFarahani@kingston.ac.uk</t>
  </si>
  <si>
    <t>Zanjirani Farahani, Reza/0000-0002-7383-4714</t>
  </si>
  <si>
    <t>10.1016/j.tre.2015.03.003</t>
  </si>
  <si>
    <t>CL1WU</t>
  </si>
  <si>
    <t>WOS:000356736400001</t>
  </si>
  <si>
    <t>Tien, JM</t>
  </si>
  <si>
    <t>Tien, James M.</t>
  </si>
  <si>
    <t>Data mining requirements for customized goods and services</t>
  </si>
  <si>
    <t>INTERNATIONAL JOURNAL OF INFORMATION TECHNOLOGY &amp; DECISION MAKING</t>
  </si>
  <si>
    <t>278th Xiangshan Sciences Forum on Frontier Studies on Data Technology and Knowledge Economy</t>
  </si>
  <si>
    <t>MAY 22-24, 2006</t>
  </si>
  <si>
    <t>Beijing, PEOPLES R CHINA</t>
  </si>
  <si>
    <t>Comm Xiangshan Sci,Western Union Financial Serv</t>
  </si>
  <si>
    <t>supply chain; demand chain; real-time management; mass customization; data mining; goods; services</t>
  </si>
  <si>
    <t>SUPPLY CHAIN MANAGEMENT; DEMAND; TIME; MODEL</t>
  </si>
  <si>
    <t>Customized goods and services occur when their respective supply and demand chains are managed in a simultaneous and real-time manner. From a research perspective, we classify the methods that axe employed in the management of these chains, based on whether supply and/or demand are flexible or fixed. Interestingly, our classification scheme highlights a critical and rewarding research area at which both supply and demand are flexible, thus manageable. Simultaneous management of supply and demand chains sets the stage for mass customization which is concerned with meeting the needs of an individualized customer market. Simultaneous and real-time management of supply and demand chains, in turn, set the stage for real-time mass customization (e.g. wherein a tailor first laser scans an individual's upper torso and then delivers a uniquely fitted jacket within a reasonable period, while the individual is waiting). The benefits of real-time mass customization cannot be over-stated as products and services become indistinguishable and are co-produced in real-time, resulting in an overwhelming economic advantage. Customized goods and services can only be achieved through sophisticated data mining techniques that can define the customization requirements from both a supply and a demand chain perspective, techniques that can obtain pertinent information from the mass of non-homogeneous data, in order to make informed customization decisions.</t>
  </si>
  <si>
    <t>Rensselaer Polytech Inst, Dept Decis Sci &amp; Engn Syst, Troy, NY 12180 USA</t>
  </si>
  <si>
    <t>Rensselaer Polytechnic Institute</t>
  </si>
  <si>
    <t>Tien, JM (corresponding author), Rensselaer Polytech Inst, Dept Decis Sci &amp; Engn Syst, Troy, NY 12180 USA.</t>
  </si>
  <si>
    <t>tienj@rpi.edu</t>
  </si>
  <si>
    <t>0219-6220</t>
  </si>
  <si>
    <t>1793-6845</t>
  </si>
  <si>
    <t>INT J INF TECH DECIS</t>
  </si>
  <si>
    <t>Int. J. Inf. Technol. Decis. Mak.</t>
  </si>
  <si>
    <t>10.1142/S0219622006002167</t>
  </si>
  <si>
    <t>Computer Science, Artificial Intelligence; Computer Science, Information Systems; Computer Science, Interdisciplinary Applications; Operations Research &amp; Management Science</t>
  </si>
  <si>
    <t>123TK</t>
  </si>
  <si>
    <t>WOS:000243318400010</t>
  </si>
  <si>
    <t>Chandrasiri, C; Dharmapriya, S; Jayawardana, J; Kulatunga, AK; Weerasinghe, AN; Aluwihare, CP; Hettiarachchi, D</t>
  </si>
  <si>
    <t>Chandrasiri, Chethana; Dharmapriya, Subodha; Jayawardana, Janappriya; Kulatunga, Asela K.; Weerasinghe, Amanda N.; Aluwihare, Chethana P.; Hettiarachchi, Dilmini</t>
  </si>
  <si>
    <t>Mitigating Environmental Impact of Perishable Food Supply Chain by a Novel Configuration: Simulating Banana Supply Chain in Sri Lanka</t>
  </si>
  <si>
    <t>supply chain; banana; configuration; optimization; simulation; GWP; post-harvest losses</t>
  </si>
  <si>
    <t>FRESH PRODUCE; MODEL; DESIGN; MANAGEMENT; LOGISTICS; INVENTORY; OPTIMIZATION; DEMAND</t>
  </si>
  <si>
    <t>As the world is moving into a sustainable era, achieving zero hunger has become one of the top three Sustainable Development Goals, applying a considerable amount of pressure on the agri-food systems to make decisions contemplating the sustainability dimensions. Accordingly, making effective supply chain decisions holistically while achieving sustainability goals has become a major challenge faced by the present agri-food systems. Thus, to address the challenge, a novel supply chain configuration addressing multiple supply chain decisions to reduce global warming potential (GWP) and post-harvest losses have been presented by taking the banana supply chain in Sri Lanka as a case study. In the proposed approach, farmers have been clustered based on their geo positions using K-Means clustering followed by route planning within clusters using a heuristics approach. Retailer points are catered by assigning to wholesalers optimally modeling as an assignment model and then route planning executed using a heuristic approach. The solution generated from the above approaches has been implemented on a simulation platform to calculate the overall supply chain performance including the transportation component, in terms of the net GWP, post-harvest losses, and lead time including routing operations. Simulated supply chain performance has been compared with the existing system and verified the performance of the proposed supply chain configuration. The suggested configuration has reduced the net GWP by 15.3%, post-harvest loss by 2.1%, lead time by 28.2%, and travel distance by 20.47%. The proposed configuration can be further improved by adding dynamic characteristics to the model.</t>
  </si>
  <si>
    <t>[Chandrasiri, Chethana; Dharmapriya, Subodha; Jayawardana, Janappriya; Kulatunga, Asela K.] Univ Peradeniya, Fac Engn, Dept Mfg &amp; Ind Engn, Peradeniya 20400, Sri Lanka; [Weerasinghe, Amanda N.; Aluwihare, Chethana P.; Hettiarachchi, Dilmini] Natl Inst Post Harvest Management Sri Lanka, Anuradhapura 50000, Sri Lanka</t>
  </si>
  <si>
    <t>University of Peradeniya</t>
  </si>
  <si>
    <t>Kulatunga, AK (corresponding author), Univ Peradeniya, Fac Engn, Dept Mfg &amp; Ind Engn, Peradeniya 20400, Sri Lanka.</t>
  </si>
  <si>
    <t>aselakk@eng.pdn.ac.lk</t>
  </si>
  <si>
    <t>Kulatunga, Asela/0000-0002-9241-3149; Jayawardana, Janappriya/0000-0002-5307-4017; Chandrasiri, Chethana/0000-0002-9827-4784; Hettiarachchi, Dilmini/0000-0002-1376-0274</t>
  </si>
  <si>
    <t>National Science Foundation [RG/2021/EAICT/01]; New Zealand Government</t>
  </si>
  <si>
    <t>National Science Foundation(National Science Foundation (NSF)); New Zealand Government</t>
  </si>
  <si>
    <t>This research was partially funded by National Science Foundation, grant number RG/2021/EA&amp;ICT/01 and the New Zealand Government to support the objectives of the Global Research Alliance on Agricultural Greenhouse Gases.</t>
  </si>
  <si>
    <t>10.3390/su141912060</t>
  </si>
  <si>
    <t>5G8HB</t>
  </si>
  <si>
    <t>WOS:000867232100001</t>
  </si>
  <si>
    <t>Quantile forecast optimal combination to enhance safety stock estimation</t>
  </si>
  <si>
    <t>INTERNATIONAL JOURNAL OF FORECASTING</t>
  </si>
  <si>
    <t>Quantile forecasting; Safety stock; Risk; Supply chain; Kernel density estimation; GARCH; Combination; Tick loss</t>
  </si>
  <si>
    <t>INTERMITTENT DEMAND; PERFORMANCE; ADJUSTMENTS; VARIANCE; ERRORS; STATE</t>
  </si>
  <si>
    <t>The safety stock calculation requires a measure of the forecast error uncertainty. Such errors are usually assumed to be Gaussian lid (independently and identically distributed). However, deviations from lid lead to a deterioration in the performance of the supply chain. Recent research has shown that, contrary to theoretical approaches, empirical techniques that do not rely on the aforementioned assumptions can enhance the calculation of safety stocks. In particular, GARCH models cope with time-varying heterocedastic forecast error, and kernel density estimation does not need to rely on a determined distribution. However, if the forecast errors are time-varying heterocedastic and do not follow a determined distribution, the previous approaches are inadequate. We overcome this by proposing an optimal combination of the empirical methods that minimizes the asymmetric piecewise linear loss function, also known as the tick loss. The results show that combining quantile forecasts yields safety stocks with a lower cost. The methodology is illustrated with simulations and real data experiments for different lead times. (C) 2018 International Institute of Forecasters. Published by Elsevier B.V. All rights reserved.</t>
  </si>
  <si>
    <t>[Trapero, Juan R.] Univ Castilla La Mancha, Dept Business Adm, E-13071 Ciudad Real, Spain; [Cardos, Manuel] Univ Politecn Valencia, Dept Business Org, Camino Vera S-N, E-46022 Valencia, Spain; [Kourentzes, Nikolaos] Univ Lancaster, Sch Management, Dept Management Sci, Lancaster LA1 4YX, England</t>
  </si>
  <si>
    <t>Trapero, Juan R/B-1527-2013; Cardós, Manuel/N-3152-2016</t>
  </si>
  <si>
    <t>Cardós, Manuel/0000-0002-7831-5382; trapero, juan/0000-0002-5879-3133; Kourentzes, Nikolaos/0000-0003-0211-5218</t>
  </si>
  <si>
    <t>This work was supported by the European Regional Development Fund and the Spanish Government (MINECO/FEDER, UE) under the project with reference DPI2015-64133-R. The authors would like to acknowledge the useful comments and references of three anonymous referees that led to a considerably improved version of the article.</t>
  </si>
  <si>
    <t>0169-2070</t>
  </si>
  <si>
    <t>1872-8200</t>
  </si>
  <si>
    <t>INT J FORECASTING</t>
  </si>
  <si>
    <t>Int. J. Forecast.</t>
  </si>
  <si>
    <t>JAN-MAR</t>
  </si>
  <si>
    <t>10.1016/j.ijforecast.2018.05.009</t>
  </si>
  <si>
    <t>Economics; Management</t>
  </si>
  <si>
    <t>HG4WP</t>
  </si>
  <si>
    <t>WOS:000454976000017</t>
  </si>
  <si>
    <t>Zarandi, MHF; Gamasaee, R</t>
  </si>
  <si>
    <t>Zarandi, M. H. Fazel; Gamasaee, R.</t>
  </si>
  <si>
    <t>A type-2 fuzzy system model for reducing bullwhip effects in supply chains and its application in steel manufacturing</t>
  </si>
  <si>
    <t>Supply chain management; Fuzzy clustering; Interval type-2 fuzzy hybrid system; Demand forecasting; Ordering policy; Bullwhip effect</t>
  </si>
  <si>
    <t>CLUSTERING-ALGORITHM; INFORMATION; SETS; IDENTIFICATION; INVENTORY; INFERENCE; DYNAMICS; BEHAVIOR; IMPACT; LOGIC</t>
  </si>
  <si>
    <t>The purpose of this paper is to evaluate and reduce the bullwhip effect in fuzzy environments by means of type-2 fuzzy methodology. In order to reduce the bullwhip effect in a supply chain, we propose a new method for demand forecasting. First, the demand data of a real steel industry in Canada is clustered with an interval type-2 fuzzy c-regression clustering algorithm. Then, a novel interval type-2 fuzzy hybrid expert system is developed for demand forecasting. This system uses Fuzzy Disjunctive Normal Forms (FDNF) and Fuzzy Conjunctive Normal Forms (FCNF) for the aggregation of antecedents. An interval type-2 fuzzy order policy is developed to determine orders in the supply chain. Then, the results of the proposed method are compared with the type-1 fuzzy expert system as well as the type-1 fuzzy time series method in the literature. The results show that the bullwhip effect is significantly reduced; also, the system has less error and high accuracy. (C) 2013 Sharif University of Technology. Production and hosting by Elsevier B.V. All rights reserved.</t>
  </si>
  <si>
    <t>[Zarandi, M. H. Fazel; Gamasaee, R.] Amirkabir Univ Technol, Dept Ind Engn, Tehran, Iran</t>
  </si>
  <si>
    <t>Amirkabir University of Technology</t>
  </si>
  <si>
    <t>Zarandi, MHF (corresponding author), Amirkabir Univ Technol, Dept Ind Engn, POB 15875-4413, Tehran, Iran.</t>
  </si>
  <si>
    <t>zarandi@aut.ac.ir; gamasaee@aut.ac.ir</t>
  </si>
  <si>
    <t>ELSEVIER SCIENCE BV</t>
  </si>
  <si>
    <t>PO BOX 211, 1000 AE AMSTERDAM, NETHERLANDS</t>
  </si>
  <si>
    <t>10.1016/j.scient.2013.05.004</t>
  </si>
  <si>
    <t>224OC</t>
  </si>
  <si>
    <t>WOS:000324896800052</t>
  </si>
  <si>
    <t>Malik, MM; Abdallah, S; Ala'raj, M</t>
  </si>
  <si>
    <t>Malik, M. M.; Abdallah, S.; Ala'raj, M.</t>
  </si>
  <si>
    <t>Data mining and predictive analytics applications for the delivery of healthcare services: a systematic literature review</t>
  </si>
  <si>
    <t>Healthcare operations management; Predictive analytics; Data mining; Systematic literature review; Big data</t>
  </si>
  <si>
    <t>SUPPLY CHAIN MANAGEMENT; DECISION-SUPPORT-SYSTEM; BIG DATA; DATA SCIENCE; RESOURCE UTILIZATION; QUALITY IMPROVEMENT; RECORDS; MODELS; IMPACT; RISK</t>
  </si>
  <si>
    <t>With the widespread use of healthcare information systems commonly known as electronic health records, there is significant scope for improving the way healthcare is delivered by resorting to the power of big data. This has made data mining and predictive analytics an important tool for healthcare decision making. The literature has reported attempts for knowledge discovery from the big data to improve the delivery of healthcare services, however, there appears no attempt for assessing and synthesizing the available information on how the big data phenomenon has contributed to better outcomes for the delivery of healthcare services. This paper aims to achieve this by systematically reviewing the existing body of knowledge to categorize and evaluate the reported studies on healthcare operations and data mining frameworks. The outcome of this study is useful as a reference for the practitioners and as a research platform for the academia.</t>
  </si>
  <si>
    <t>[Malik, M. M.] Univ Melbourne, Dept Management &amp; Mkt, Parkville, Vic, Australia; [Abdallah, S.; Ala'raj, M.] Abu Dhabi Univ, Coll Business Adm COBA, POB 1790, Abu Dhabi, U Arab Emirates</t>
  </si>
  <si>
    <t>University of Melbourne; Abu Dhabi University</t>
  </si>
  <si>
    <t>Malik, MM (corresponding author), Univ Melbourne, Dept Management &amp; Mkt, Parkville, Vic, Australia.</t>
  </si>
  <si>
    <t>mohsin.malik@unimelb.edu.au; salam.abdallah@adu.ac.ae; maher.alaraj@adu.ac.ae</t>
  </si>
  <si>
    <t>Malik, Mohsin/O-4198-2018; Malik, Mohsin/GPF-4081-2022; Malik, Mohsin/GPX-1232-2022</t>
  </si>
  <si>
    <t>Malik, Mohsin/0000-0002-4048-3057; Malik, Mohsin/0000-0002-4048-3057</t>
  </si>
  <si>
    <t>Centre of Sustainable Processes, Abu Dhabi University, United Arab Emirates</t>
  </si>
  <si>
    <t>This research is funded by a grant from the Centre of Sustainable Processes, Abu Dhabi University, United Arab Emirates.</t>
  </si>
  <si>
    <t>10.1007/s10479-016-2393-z</t>
  </si>
  <si>
    <t>GV0FK</t>
  </si>
  <si>
    <t>WOS:000445733300016</t>
  </si>
  <si>
    <t>Jung, M; Lee, S; Gim, M; Kim, H; Lee, JH</t>
  </si>
  <si>
    <t>Jung, Myunghyun; Lee, Seyeon; Gim, Minjung; Kim, Hyungjo; Lee, Jaeho</t>
  </si>
  <si>
    <t>IMPROVING GLOBAL SUPPLY CHAIN RISK IDENTIFICATION USING RCF</t>
  </si>
  <si>
    <t>JOURNAL OF THE KOREAN SOCIETY FOR INDUSTRIAL AND APPLIED MATHEMATICS</t>
  </si>
  <si>
    <t>Global supply chain risky item identification; Import size; Import dependence; Entropy; Time series trend anomaly detection; RCF</t>
  </si>
  <si>
    <t>This paper contains an introduction to industrial problems, solutions, and results conducted with the Korea Association of Machinery Industry. The client company commis-sioned the problem of upgrading the method of identifying global supply risky items. Accord-ingly, the factors affecting the supply and demand of imported items in the global supply chain were identified and the method of selecting risky items was studied and delivered. Through research and discussions with the client companies, it is confirmed that the most suitable fac-tors for identifying global supply risky items are 'import size', 'import dependence', and 'trend abnormality'. The meaning of each indicator is introduced, and risky items are selected us-ing export/import data until October 2022. Through this paper, it is expected that countries and companies will be able to identify global supply risky items in advance and prepare for risks in the new normal situation: the economic situation caused by infectious diseases such as the COVID-19 pandemic; and the export/import regulation due to geopolitical problems. The client company will include in his report, the method presented in this paper and the risky items selected by the method.</t>
  </si>
  <si>
    <t>[Jung, Myunghyun; Lee, Seyeon; Gim, Minjung] Natl Inst Math Sci, Ctr Ind Math, Dept Innovat, Daejeon, South Korea; [Kim, Hyungjo; Lee, Jaeho] Korea Assoc Machinery Ind, Ind POLICY Div, GVC Ctr, Goyang Si, South Korea</t>
  </si>
  <si>
    <t>National Institute for Mathematical Sciences (NIMS), Republic of Korea</t>
  </si>
  <si>
    <t>Jung, M (corresponding author), Natl Inst Math Sci, Ctr Ind Math, Dept Innovat, Daejeon, South Korea.</t>
  </si>
  <si>
    <t>mhjung07@nims.re.kr</t>
  </si>
  <si>
    <t>National Institute for Mathematical Sciences (NIMS) - Korean government (MSIT) [NIMS-B22810000]; Technology Innovation Program - Ministry of Trade, Industry &amp; Energy(MOTIE, Korea) [20020724]; Korea Evaluation Institute of Industrial Technology (KEIT) [20020724] Funding Source: Korea Institute of Science &amp; Technology Information (KISTI), National Science &amp; Technology Information Service (NTIS)</t>
  </si>
  <si>
    <t>National Institute for Mathematical Sciences (NIMS) - Korean government (MSIT)(Ministry of Science &amp; ICT (MSIT), Republic of KoreaNational Institute for Mathematical Sciences (NIMS), Republic of Korea); Technology Innovation Program - Ministry of Trade, Industry &amp; Energy(MOTIE, Korea)(Ministry of Trade, Industry &amp; Energy (MOTIE), Republic of Korea); Korea Evaluation Institute of Industrial Technology (KEIT)</t>
  </si>
  <si>
    <t>This work was supported by National Institute for Mathematical Sciences(NIMS) grant funded by the Korean government(MSIT) (No.NIMS-B22810000). This work was supported by the Technology Innovation Program (20020724, Building Statistics DB of Material-Parts - Equipment Industry And Global Value Chain Analysis) funded By the Ministry of Trade, Industry &amp; Energy(MOTIE, Korea).</t>
  </si>
  <si>
    <t>KOREAN SOC INDUSTRIAL &amp; APPLIED MATHEMATICS</t>
  </si>
  <si>
    <t>SEOUL</t>
  </si>
  <si>
    <t>DAEJEON, SOUTH KOREA, SEOUL, 00000, SOUTH KOREA</t>
  </si>
  <si>
    <t>1226-9433</t>
  </si>
  <si>
    <t>1229-0645</t>
  </si>
  <si>
    <t>J KOREAN SOC IND APP</t>
  </si>
  <si>
    <t>J. Korean Soc. Ind. Appl. Math.</t>
  </si>
  <si>
    <t>10.12941/jksiam.2022.26.280</t>
  </si>
  <si>
    <t>C2RC6</t>
  </si>
  <si>
    <t>WOS:000960441300005</t>
  </si>
  <si>
    <t>Zhu, HF; Shan, HQ; Sullivan, D; Guo, XL; Jin, YR; Zhang, X</t>
  </si>
  <si>
    <t>Zhu, Huifeng; Shan, Haoqi; Sullivan, Dean; Guo, Xiaolong; Jin, Yier; Zhang, Xuan</t>
  </si>
  <si>
    <t>PDNPulse: Sensing PCB Anomaly With the Intrinsic Power Delivery Network</t>
  </si>
  <si>
    <t>IEEE TRANSACTIONS ON INFORMATION FORENSICS AND SECURITY</t>
  </si>
  <si>
    <t>Impedance; Voltage measurement; Probes; Impedance measurement; Anomaly detection; Trojan horses; Sensitivity; Printed circuits; power distribution networks; impedance; anomaly detection; cyberattack</t>
  </si>
  <si>
    <t>PACKAGE</t>
  </si>
  <si>
    <t>The ubiquitous presence of printed circuit boards (PCBs) in modern electronic systems and embedded devices makes their integrity a top security concern. To take advantage of the economies of scale, today's PCB design and manufacturing are often performed by suppliers around the globe, exposing them to many security vulnerabilities along the segmented PCB supply chain. Moreover, the increasing complexity of the PCB designs also leaves ample room for numerous sneaky board-level attacks to be implemented throughout each stage of a PCB's lifetime, threatening many electronic devices. In this paper, we propose PDNPulse, a power delivery network (PDN) based PCB anomaly detection framework that can identify a wide spectrum of board-level malicious modifications. PDNPulse leverages the fact that the PDN's characteristics are inevitably affected by modifications to the PCB. By detecting changes to the PDN impedance profile against the golden model and using the Frechet distance-based anomaly detection algorithms, PDNPulse can robustly and successfully discern malicious modifications across the system. Using PDNPulse, we conduct extensive experiments on seven commercial-off-the-shelf PCBs, covering different design scales, different threat models, and seven different anomaly types. The results confirm that PDNPulse creates an effective security asymmetry between attack and defense.</t>
  </si>
  <si>
    <t>[Zhu, Huifeng; Zhang, Xuan] Washington Univ St Louis, Dept Elect &amp; Syst Engn, St Louis, MO 63130 USA; [Shan, Haoqi; Jin, Yier] Univ Florida, Dept Elect &amp; Comp Engn, Gainesville, FL 32611 USA; [Sullivan, Dean] Univ New Hampshire, Dept Elect &amp; Comp Engn, Durham, NH 03824 USA; [Guo, Xiaolong] Kansas State Univ, Dept Elect &amp; Comp Engn, Manhattan, KS 66506 USA</t>
  </si>
  <si>
    <t>Washington University (WUSTL); State University System of Florida; University of Florida; University System Of New Hampshire; University of New Hampshire; Kansas State University</t>
  </si>
  <si>
    <t>Zhu, HF (corresponding author), Washington Univ St Louis, Dept Elect &amp; Syst Engn, St Louis, MO 63130 USA.</t>
  </si>
  <si>
    <t>zhuhuifeng@wustl.edu</t>
  </si>
  <si>
    <t>Defense Advanced Research Projects Agency (DARPA); NSF Computer and Network Systems (CNS) [1739643]</t>
  </si>
  <si>
    <t>Defense Advanced Research Projects Agency (DARPA)(United States Department of DefenseDefense Advanced Research Projects Agency (DARPA)); NSF Computer and Network Systems (CNS)</t>
  </si>
  <si>
    <t>This work was supported in part by the Defense Advanced Research Projects Agency (DARPA) and NSF Computer and Network Systems (CNS) under Grant 1739643.&amp; nbsp;</t>
  </si>
  <si>
    <t>1556-6013</t>
  </si>
  <si>
    <t>1556-6021</t>
  </si>
  <si>
    <t>IEEE T INF FOREN SEC</t>
  </si>
  <si>
    <t>IEEE Trans. Inf. Forensic Secur.</t>
  </si>
  <si>
    <t>10.1109/TIFS.2023.3285490</t>
  </si>
  <si>
    <t>Computer Science, Theory &amp; Methods; Engineering, Electrical &amp; Electronic</t>
  </si>
  <si>
    <t>K8BG1</t>
  </si>
  <si>
    <t>WOS:001018630400001</t>
  </si>
  <si>
    <t>Luthra, S; Sharma, M; Kumar, A; Joshi, S; Collins, E; Mangla, S</t>
  </si>
  <si>
    <t>Luthra, Sunil; Sharma, Manu; Kumar, Anil; Joshi, Sudhanshu; Collins, Eva; Mangla, Sachin</t>
  </si>
  <si>
    <t>Overcoming barriers to cross-sector collaboration in circular supply chain management: a multi-method approach</t>
  </si>
  <si>
    <t>Cross-Sector Collaboration; Circular Supply Chain Management; Circular Supply Chains; Governance; Policymaking and Regulation</t>
  </si>
  <si>
    <t>CRITICAL SUCCESS FACTORS; FUZZY DELPHI METHOD; COMPETITIVE ADVANTAGE; REVERSE LOGISTICS; DECISION-MAKING; CAPABILITIES; ECONOMY; RESPONSIBILITY; PARTNERSHIP; PERFORMANCE</t>
  </si>
  <si>
    <t>Economies are transitioning from a linear to a circular model to address global issues such as resource extraction, environmental degradation and waste generation. Cross-Sector Collaboration (C-SC) is an effective means to use resources in a way that is mutually beneficial and integrates sustainable practices into the value chain. The zero-waste aspiration of companies can be achieved through Circular Supply Chain Management (CSCM). Existing literature supports research initiatives in CSCM, but how C-SC influences CSCM is still unexplored. Moreover, the barriers to C-SC for CSCM are untouched and the strategies to overcome these barriers are unmapped. This study fills this gap, assesses the barriers to C-SC for CSCM and suggests a strategic roadmap to overcome these barriers. The study was conducted in three different phases employing a multi method approach of Agglomerative Hierarchical Clustering (AHC), Fuzzy Delphi and Fuzzy Decision-Making Trial and Evaluation Laboratory (F-DEMATEL). The results reveal that governance barriers and contextual barriers are causal and influence the other barriers. There is a need to enhance the capacity and optimum resource utilisation for developing circular supply chains; it is possible to facilitate CSCM practices only through collaborative efforts across sectors. The study also highlights that government policymaking and regulation, collaborative value capture model and Industry 4.0 technologies are the most effective strategies for managing C-SC for CSCM. This study contributes to stakeholder theory and resource-based view theory by explicating collaboration among cross-sector stakeholders and highlighting the significance of resource optimisation through waste management.</t>
  </si>
  <si>
    <t>[Luthra, Sunil] Ch Ranbir Singh State Inst Engn &amp; Technol CRSSIET, Jhajjar, Haryana, India; [Sharma, Manu] Graph Era Deemed Be Univ, Dehra Dun, Uttarakhand, India; [Sharma, Manu] London Metropolitan Univ, Guildhall Sch Business &amp; Law, London, England; [Kumar, Anil] London Metropolitan Univ, Guildhall Sch Business &amp; Law, Operat Supply Chain &amp; Business Analyt, London, England; [Joshi, Sudhanshu] Doon Univ, Sch Management, Operat &amp; Supply Chain Management Area, Dehra Dun, Uttarakhand, India; [Joshi, Sudhanshu] Univ Technol Sydney, Fac Engn &amp; IT, Sydney, NSW, Australia; [Collins, Eva] Univ Waikato, New Zealand Inst Business Res, Hamilton, New Zealand; [Mangla, Sachin] OP Jindal Global Univ, Sonepat, Haryana, India</t>
  </si>
  <si>
    <t>Graphic Era University; London Metropolitan University; London Metropolitan University; Doon University; University of Technology Sydney; University of Waikato; O.P. Jindal Global University</t>
  </si>
  <si>
    <t>Luthra, S (corresponding author), Ch Ranbir Singh State Inst Engn &amp; Technol CRSSIET, Jhajjar, Haryana, India.</t>
  </si>
  <si>
    <t>sunilluthra1977@gmail.com; manu.sharma@geu.ac.in; a.kumar@londonmet.ac.uk; sudhanshujoshi@doonuniversity.ac.in; eva.collins@waikato.ac.nz; sachinmangl@gmail.com</t>
  </si>
  <si>
    <t>sharma, manu/GRF-3484-2022; Joshi, Sudhanshu/L-2284-2019; Luthra, Sunil/D-4135-2014; Kumar, Anil/A-2657-2013; Joshi, Sudhanshu/Z-1441-2018; Kumar, Anil/K-2136-2019</t>
  </si>
  <si>
    <t>Joshi, Sudhanshu/0000-0003-4748-5001; Luthra, Sunil/0000-0001-7571-1331; Kumar, Anil/0000-0002-1691-0098;</t>
  </si>
  <si>
    <t>1878-5794</t>
  </si>
  <si>
    <t>10.1016/j.tre.2021.102582</t>
  </si>
  <si>
    <t>1C5EQ</t>
  </si>
  <si>
    <t>WOS:000793142700005</t>
  </si>
  <si>
    <t>Mohseni, S; Pishvaee, MS</t>
  </si>
  <si>
    <t>Mohseni, Shayan; Pishvaee, Mir Saman</t>
  </si>
  <si>
    <t>Data-driven robust optimization for wastewater sludge-to-biodiesel supply chain design</t>
  </si>
  <si>
    <t>Dara-driven optimization; Robust optimization; Supply chain design; Uncertainty sets; Biofuel supply chain</t>
  </si>
  <si>
    <t>MUNICIPAL SEWAGE-SLUDGE; EXTRACTION; MODEL; MANAGEMENT; CONVERSION</t>
  </si>
  <si>
    <t>Wastewater sludge has been identified as a promising feedstock for sustainable biodiesel production. To help accelerate the development of its large-scale production, a mixed-integer linear programming model is proposed which systematically designs and optimizes the entire wastewater sludge-to-biodiesel supply chain over multiple periods. To cope with uncertainty, this paper adopts data-driven robust optimization which constructs the uncertainty sets from the data of uncertain parameters by means of support vector clustering, whereas the conventional uncertainty sets are driven without incorporating the data which result in high cost of robustness. Furthermore, the developed uncertainty set encloses the fuzzy support neighborhood of data samples, making it practical even when the available data is limited. The applicability of the proposed model is demonstrated through a case study in Iran. The results show that the proposed approach is able to yield robust supply chain decisions with the same degree of robustness but at a lower cost compared to the conventional robust optimization approaches.</t>
  </si>
  <si>
    <t>[Mohseni, Shayan; Pishvaee, Mir Saman] Iran Univ Sci &amp; Technol, Sch Ind Engn, Tehran, Iran</t>
  </si>
  <si>
    <t>Iran University Science &amp; Technology</t>
  </si>
  <si>
    <t>Pishvaee, MS (corresponding author), Iran Univ Sci &amp; Technol, Sch Ind Engn, Tehran, Iran.</t>
  </si>
  <si>
    <t>shayan_mohseni@ind.iust.ac.ir; pishvaee@iust.ac.ir</t>
  </si>
  <si>
    <t>Pishvaee, Mir Saman/H-3450-2018; Mohseni, Shayan/AFT-4259-2022; mohseni, shayan/AAA-2053-2021</t>
  </si>
  <si>
    <t>Pishvaee, Mir Saman/0000-0001-6389-6308; mohseni, shayan/0000-0003-0717-6079</t>
  </si>
  <si>
    <t>10.1016/j.cie.2019.07.001</t>
  </si>
  <si>
    <t>WOS:000509784000059</t>
  </si>
  <si>
    <t>Granillo-Macías, R</t>
  </si>
  <si>
    <t>Granillo-Macias, Rafael</t>
  </si>
  <si>
    <t>INVENTORY MANAGEMENT AND LOGISTICS OPTIMIZATION: A DATA MINING PRACTICAL APPROACH</t>
  </si>
  <si>
    <t>cluster; Partitioning Around Medoids; facility location; supply chain</t>
  </si>
  <si>
    <t>ORDER PICKING SYSTEMS; PERFORMANCE; STORAGE; MODEL</t>
  </si>
  <si>
    <t>Background: In the current economic scenarios, characterized by high competitiveness and disruption in supply chains, the latent need to optimize costs and customer service has been promoted, placing inventories as a critical area with high potential to implement improvements in companies. Appropriate inventory management leads to positive effects on logistics performance indices. In economic terms, about 15% of logistics costs are attributed to warehousing operations. With a practical approach, using a case study in a company in the food sector, this article proposes an inventory classification method with qualitative and quantitative variables, using data mining techniques, categorizing the materials using variables such as picking frequency, consumption rates and qualitative characteristics regarding their handling in the warehouse. The proposed model also integrates the classification of materials with techniques for locating facilities, to support decision-making on inventory management and storage operations. Methods: This article uses a method based on the Partitioning Around Medoids algorithm that includes, in an innovative way, the application of a strategy for the location of the optimal picking point based on the cluster classification considering the qualitative and quantitative factors that represent the most significant impact or priority for inventory management in the company. Results: The results obtained with this model, improve the routes of distributed materials based on the identification of their characteristics such as the frequency of collection and handling of materials, allowing to reorganize and increase the storage capacity of the different SKUs, passing from a classification by families to a cluster classification. Furthermore, the results support decision -making on storage capacity, allowing the space required by the materials that make up the different clusters to be identified. Conclusions: This article provides an approach to improving decision-making for inventory management, showing a proposal for a warehouse distribution design with data mining techniques, which use indicators and key attributes for operational performance for a case study in a company. The use of data mining techniques such as PAM clustering makes it possible to group the inventory into different clusters considering both qualitative and quantitative factors. The clustering proposal with PAM offers a more realistic approach to the problem of inventory management, where factors as diverse as time and capacities must be considered, to the types and handling that must be had with the materials inside the warehouse.</t>
  </si>
  <si>
    <t>[Granillo-Macias, Rafael] Autonomous Univ Hidalgo State, Pachuca, Hidalgo, Mexico</t>
  </si>
  <si>
    <t>Universidad Autonoma del Estado de Hidalgo</t>
  </si>
  <si>
    <t>Granillo-Macías, R (corresponding author), Autonomous Univ Hidalgo State, Pachuca, Hidalgo, Mexico.</t>
  </si>
  <si>
    <t>rafaelgm@uaeh.edu.mx</t>
  </si>
  <si>
    <t>GRANILLO-MACIAS, RAFAEL/N-5128-2018; Granillo-Macias, Rafael/E-6165-2019</t>
  </si>
  <si>
    <t>Granillo-Macias, Rafael/0000-0002-1015-667X</t>
  </si>
  <si>
    <t>PRODEP [UAEH-EXB-152]; CONACYT</t>
  </si>
  <si>
    <t>PRODEP; CONACYT(Consejo Nacional de Ciencia y Tecnologia (CONACyT))</t>
  </si>
  <si>
    <t>This research was supported by PRODEP [grant number UAEH-EXB-152] and CONACYT.</t>
  </si>
  <si>
    <t>10.17270/J.LOG.2020.512</t>
  </si>
  <si>
    <t>NV6UZ</t>
  </si>
  <si>
    <t>WOS:000574455200005</t>
  </si>
  <si>
    <t>Xiao, Y; Jun, Z; Lei, H; Sharma, A; Sharma, A</t>
  </si>
  <si>
    <t>Xiao, Yu; Jun, Zhu; Lei, Huang; Sharma, Ashutosh; Sharma, Amit</t>
  </si>
  <si>
    <t>A novel method of material demand forecasting for power supply chains in industrial applications</t>
  </si>
  <si>
    <t>IET COLLABORATIVE INTELLIGENT MANUFACTURING</t>
  </si>
  <si>
    <t>Based on research on big data, data mining and other relevant technical theories, a power material demand analysis system is designed and implemented based on big data technology. The main aim of the study is to forecast material demand and provide data support for decision-makers. The system includes a data centre subsystem and an application subsystem. At the same time, two kinds of collaborative transmission process models of supply chain information are established, and simulation analysis is carried out on the two models by the Monte Carlo method to verify the effect of collaborative transmission of information flow in supply chains within big data environments. The major contribution of the work is the design of a supply chain model with the help of big data. The impacts of the Internet of Things with empirical studies and limited models are the focuses of the study. It can be seen from the simulation results that there will be a minimum R to minimise the cost C under the two supply chain information-transfer process models. The manufacturing cost of the big data platform is about 50% lower than that of the traditional supply chain, and increased delay costs accordingly lead to increased costs for manufacturers in both supply chains.</t>
  </si>
  <si>
    <t>[Xiao, Yu; Jun, Zhu; Lei, Huang] State Grid Beijing Elect Power Co, Mat Branch, Beijing, Peoples R China; [Sharma, Ashutosh] Southern Fed Univ, Rostov Na Donu, Rostov Oblast, Russia; [Sharma, Amit] Chitkara Univ, Rajpura, Punjab, India; [Sharma, Amit] Chitkara Univ, Comp Sci &amp; Engn, Rajpura, Punjab, India</t>
  </si>
  <si>
    <t>State Grid Corporation of China; Southern Federal University; Chitkara University, Punjab; Chitkara University, Punjab</t>
  </si>
  <si>
    <t>Sharma, A (corresponding author), Chitkara Univ, Dept Comp Sci &amp; Engn, Chandigarh Patiala Natl Highway NH-64, Rajpura 140401, Punjab, India.</t>
  </si>
  <si>
    <t>amit.amitsharma90@gmail.com</t>
  </si>
  <si>
    <t>2516-8398</t>
  </si>
  <si>
    <t>IET COLL INTEL MANUF</t>
  </si>
  <si>
    <t>IET Collab. Intell. Manufact.</t>
  </si>
  <si>
    <t>10.1049/cim2.12007</t>
  </si>
  <si>
    <t>VM0RD</t>
  </si>
  <si>
    <t>WOS:000937718100009</t>
  </si>
  <si>
    <t>Murray, PW; Agard, B; Barajas, MA</t>
  </si>
  <si>
    <t>Murray, Paul W.; Agard, Bruno; Barajas, Marco A.</t>
  </si>
  <si>
    <t>Forecast of individual customer's demand from a large and noisy dataset</t>
  </si>
  <si>
    <t>Strategic forecasting; Data mining; Intermittent demand; Time-series; Delivery records; Behavior patterns; Market segmentation</t>
  </si>
  <si>
    <t>SUPPLY CHAIN DEMAND; MARKET-SEGMENTATION; HYBRID ARIMA; TIME; AGGREGATE</t>
  </si>
  <si>
    <t>Optimization of the supply chain relates on data that describes actual or future situation. Besides in many situations available data may not correspond directly to what is expected for the different models because of too large quantity and imprecision of the data that may lead to suboptimal or even bad decisions. Actual problem considers the availability of a large and noisy dataset concerning historical information about each customer that will be used to make improved prediction models, that may fit models to optimize the supply chain. When dealing with large datasets, market segmentation is frequently employed in business forecasting; many customers are grouped based on some measure of similarity. Segment-level forecasting is then employed to represent the population within each segment. Challenges with successfully applying market segmentation include how to create segments when descriptive customer information is lacking and how to apply the segment level demand forecasts to individual customers. This research proposes a method to create customer segments based on noisy historical transaction data, create segment-level forecasts, and then apply the forecasts to individual customers. The proposed method utilizes existing data mining and forecasting tools, but applies them in a unique combination that results in a higher level of customer-level forecast accuracy than other traditional methods. The proposed forecasting method has significant management applications in any domain where forecasts are needed for a large population of customers and the only available data is delivery data.</t>
  </si>
  <si>
    <t>[Murray, Paul W.; Agard, Bruno] Ecole Polytech Montreal, Montreal, PQ H3C 3A7, Canada; [Barajas, Marco A.] Mem Univ Newfoundland, Fisheries &amp; Marine Inst, St John, NF, Canada</t>
  </si>
  <si>
    <t>Universite de Montreal; Polytechnique Montreal; Memorial University Newfoundland</t>
  </si>
  <si>
    <t>Murray, PW (corresponding author), Ecole Polytech Montreal, Montreal, PQ H3C 3A7, Canada.</t>
  </si>
  <si>
    <t>paul.murray@polymtl.ca; bruno.agard@polymtl.ca; marco.barajas@mi.mun.ca</t>
  </si>
  <si>
    <t>Agard, Bruno/R-2104-2017; Murray, Paul W/G-5863-2014</t>
  </si>
  <si>
    <t>Murray, Paul W/0000-0002-4647-2033; Agard, Bruno/0000-0002-3653-7147</t>
  </si>
  <si>
    <t>Air Liquide [RDCPJ 492021-15]; National Sciences and Engineering Research Council of Canada (NSERC) [RDCPJ 492021-15]</t>
  </si>
  <si>
    <t>Air Liquide; National Sciences and Engineering Research Council of Canada (NSERC)(Natural Sciences and Engineering Research Council of Canada (NSERC))</t>
  </si>
  <si>
    <t>The authors would like to acknowledge our industrial partner (Air Liquide) and the National Sciences and Engineering Research Council of Canada (NSERC) for funding under grant RDCPJ 492021-15 and other support for this research.</t>
  </si>
  <si>
    <t>10.1016/j.cie.2018.02.007</t>
  </si>
  <si>
    <t>WOS:000430785500004</t>
  </si>
  <si>
    <t>Fildes, R; Nikolopoulos, K; Crone, SF; Syntetos, AA</t>
  </si>
  <si>
    <t>Fildes, R.; Nikolopoulos, K.; Crone, S. F.; Syntetos, A. A.</t>
  </si>
  <si>
    <t>Forecasting and operational research: a review</t>
  </si>
  <si>
    <t>JOURNAL OF THE OPERATIONAL RESEARCH SOCIETY</t>
  </si>
  <si>
    <t>forecasting; supply chain; market models; data mining; operations</t>
  </si>
  <si>
    <t>ARTIFICIAL NEURAL-NETWORKS; OF-THE-ART; INTERMITTENT DEMAND; TIME-SERIES; INVENTORY CONTROL; SUPPLY CHAIN; BANKRUPTCY PREDICTION; FEATURE-SELECTION; SUPPORT-SYSTEMS; MODEL SELECTION</t>
  </si>
  <si>
    <t>From its foundation, operational research ( OR) has made many substantial contributions to practical forecasting in organizations. Equally, researchers in other disciplines have influenced forecasting practice. Since the last survey articles in JORS, forecasting has developed as a discipline with its own journals. While the effect of this increased specialization has been a narrowing of the scope of OR's interest in forecasting, research from an OR perspective remains vigorous. OR has been more receptive than other disciplines to the specialist research published in the forecasting journals, capitalizing on some of their key findings. In this paper, we identify the particular topics of OR interest over the past 25 years. After a brief summary of the current research in forecasting methods, we examine those topic areas that have grabbed the attention of OR researchers: computationally intensive methods and applications in operations and marketing. Applications in operations have proved particularly important, including the management of inventories and the effects of sharing forecast information across the supply chain. The second area of application is marketing, including customer relationship management using data mining and computer-intensive methods. The paper concludes by arguing that the unique contribution that OR can continue to make to forecasting is through developing models that link the effectiveness of new forecasting methods to the organizational context in which the models will be applied. The benefits of examining the system rather than its separate components are likely to be substantial.</t>
  </si>
  <si>
    <t>[Fildes, R.] Univ Lancaster, Sch Management, Lancaster Ctr Forecasting, Lancaster LA1 4YX, England; [Nikolopoulos, K.] Univ Manchester, Manchester, Lancs, England; [Syntetos, A. A.] Univ Salford, Salford M5 4WT, Lancs, England</t>
  </si>
  <si>
    <t>Lancaster University; University of Manchester; University of Salford</t>
  </si>
  <si>
    <t>Fildes, R (corresponding author), Univ Lancaster, Sch Management, Lancaster Ctr Forecasting, Lancaster LA1 4YX, England.</t>
  </si>
  <si>
    <t>r.fildes@lancaster.ac.uk</t>
  </si>
  <si>
    <t>Weller, Matt J/E-8421-2010</t>
  </si>
  <si>
    <t>Crone, Sven F./0000-0003-4952-318X; Fildes, Robert/0000-0002-5918-7098</t>
  </si>
  <si>
    <t>0160-5682</t>
  </si>
  <si>
    <t>1476-9360</t>
  </si>
  <si>
    <t>J OPER RES SOC</t>
  </si>
  <si>
    <t>J. Oper. Res. Soc.</t>
  </si>
  <si>
    <t>10.1057/palgrave.jors.2602597</t>
  </si>
  <si>
    <t>344CV</t>
  </si>
  <si>
    <t>WOS:000258904200003</t>
  </si>
  <si>
    <t>Akman, G</t>
  </si>
  <si>
    <t>Akman, Gulsen</t>
  </si>
  <si>
    <t>Evaluating suppliers to include green supplier development programs via fuzzy c-means and VIKOR methods</t>
  </si>
  <si>
    <t>Green supplier development; Green supplier segmentation; Green supply chain; Green supplier evaluation; Fuzzy c-means clustering; VIKOR</t>
  </si>
  <si>
    <t>ENVIRONMENTAL PERFORMANCE; SELECTION CRITERIA; CHAIN MANAGEMENT; NETWORK; SEGMENTATION; ALGORITHM; PRINCIPLES</t>
  </si>
  <si>
    <t>Green supplier development has became necessity as organizations increasingly compete on environmental supply chain capabilities. This paper aims to determine green/environmental performance of supplier, and define which suppliers need to improve their conditions about environmental issues, and identify which suppliers should be included to green supplier development programs to enhance their environmental performance. Therefore, primarily, performance criteria and green supplier evaluation criteria were determined via a survey, then factor analysis was conducted to evaluate validity of factors. Then two step clustering was performed by using c-means clustering method. In the first step of clustering, all suppliers of a firm performing in automobile industry were clustered according to criteria-delivery, quality, cost and service. Thus best performing suppliers were determined. In the second step of clustering, best performing suppliers determined in the first step of clustering were evaluated with environmental/green criteria. As a result of clustering, best performing suppliers were splitted to three groups according to green criteria-good, medium, poor. Lastly, suppliers within the poor group were sequenced by using VIKOR method in order to include green supplier development programs. (C) 2014 Elsevier Ltd. All rights reserved.</t>
  </si>
  <si>
    <t>Kocaeli Univ, Ind Engn, Kocaeli, Turkey</t>
  </si>
  <si>
    <t>Kocaeli University</t>
  </si>
  <si>
    <t>Akman, G (corresponding author), Kocaeli Univ, Ind Engn, Kocaeli, Turkey.</t>
  </si>
  <si>
    <t>akmang@kocaeli.edu.tr</t>
  </si>
  <si>
    <t>Akman, Gulsen/F-6118-2018</t>
  </si>
  <si>
    <t>Akman, Gulsen/0000-0002-5696-2423</t>
  </si>
  <si>
    <t>10.1016/j.cie.2014.10.013</t>
  </si>
  <si>
    <t>CN9XN</t>
  </si>
  <si>
    <t>WOS:000358804500008</t>
  </si>
  <si>
    <t>Adhitya, Y; Prakosa, SW; Koppen, M; Leu, JS</t>
  </si>
  <si>
    <t>Adhitya, Yudhi; Prakosa, Setya Widyawan; Koppen, Mario; Leu, Jenq-Shiou</t>
  </si>
  <si>
    <t>Feature Extraction for Cocoa Bean Digital Image Classification Prediction for Smart Farming Application</t>
  </si>
  <si>
    <t>AGRONOMY-BASEL</t>
  </si>
  <si>
    <t>textural feature; co-occurrence matrix; convolutional neural network; image processing; smart farming; artificial intelligence; machine learning</t>
  </si>
  <si>
    <t>The implementation of Industry 4.0 emphasizes the capability and competitiveness in agriculture application, which is the essential framework of a country's economy that procures raw materials and resources. Human workers currently employ the traditional assessment method and classification of cocoa beans, which requires a significant amount of time. Advanced agricultural development and procedural operations differ significantly from those of several decades earlier, principally because of technological developments, including sensors, devices, appliances, and information technology. Artificial intelligence, as one of the foremost techniques that revitalized the implementation of Industry 4.0, has extraordinary potential and prospective applications. This study demonstrated a methodology for textural feature analysis on digital images of cocoa beans. The co-occurrence matrix features of the gray level co-occurrence matrix (GLCM) were compared with the convolutional neural network (CNN) method for the feature extraction method. In addition, we applied several classifiers for conclusive assessment and classification to obtain an accuracy performance analysis. Our results showed that using the GLCM texture feature extraction can contribute more reliable results than using CNN feature extraction from the final classification. Our method was implemented through on-site preprocessing within a low-performance computational device. It also helped to foster the use of modern Internet of Things (IoT) technologies among farmers and to increase the security of the food supply chain as a whole.</t>
  </si>
  <si>
    <t>[Adhitya, Yudhi; Koppen, Mario] Kyushu Inst Technol, Grad Sch Comp Sci &amp; Syst Engn, Dept Comp Sci &amp; Syst Engn CSSE, 680-4 Kawazu, Iizuka, Fukuoka 8208502, Japan; [Prakosa, Setya Widyawan; Leu, Jenq-Shiou] Natl Taiwan Univ Sci &amp; Technol, Dept Elect &amp; Comp Engn ECE, Taipei 106, Taiwan</t>
  </si>
  <si>
    <t>Kyushu Institute of Technology; National Taiwan University of Science &amp; Technology</t>
  </si>
  <si>
    <t>Adhitya, Y (corresponding author), Kyushu Inst Technol, Grad Sch Comp Sci &amp; Syst Engn, Dept Comp Sci &amp; Syst Engn CSSE, 680-4 Kawazu, Iizuka, Fukuoka 8208502, Japan.</t>
  </si>
  <si>
    <t>adhitya.yudhi898@mail.kyutech.jp; d10702804@mail.ntust.edu.tw; mkoeppen@ieee.org; jsleu@mail.ntust.edu.tw</t>
  </si>
  <si>
    <t>Adhitya, Yudhi/AAD-4065-2019</t>
  </si>
  <si>
    <t>Adhitya, Yudhi/0000-0002-3286-4570; Prakosa, Setya Widyawan/0000-0002-7601-6039; Leu, Jenq-Shiou/0000-0001-7197-9912</t>
  </si>
  <si>
    <t>Kyushu Institute of Technology (Kyutech); National Taiwan University of Science and Technology (Taiwan-Tech)</t>
  </si>
  <si>
    <t>This study was supported by a collaborative research project between the Kyushu Institute of Technology (Kyutech) and the National Taiwan University of Science and Technology (Taiwan-Tech).</t>
  </si>
  <si>
    <t>2073-4395</t>
  </si>
  <si>
    <t>Agronomy-Basel</t>
  </si>
  <si>
    <t>10.3390/agronomy10111642</t>
  </si>
  <si>
    <t>Agronomy; Plant Sciences</t>
  </si>
  <si>
    <t>Agriculture; Plant Sciences</t>
  </si>
  <si>
    <t>OW4AX</t>
  </si>
  <si>
    <t>WOS:000592832800001</t>
  </si>
  <si>
    <t>Nguyen, DT; Le, PL</t>
  </si>
  <si>
    <t>Duy Tan Nguyen; Phuoc Luong Le</t>
  </si>
  <si>
    <t>Twenty-year application of logistics and supply chain management in the construction industry</t>
  </si>
  <si>
    <t>CONSTRUCTION MANAGEMENT AND ECONOMICS</t>
  </si>
  <si>
    <t>Construction; supply chain management; logistics; co-citation analysis</t>
  </si>
  <si>
    <t>CORPORATE SOCIAL-RESPONSIBILITY; SITE LAYOUT; REVERSE LOGISTICS; SUSTAINABLE CONSTRUCTION; TEMPORARY FACILITIES; PROCUREMENT; MODEL; IMPLEMENTATION; PERFORMANCE; FRAMEWORK</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</si>
  <si>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dusters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t>
  </si>
  <si>
    <t>[Duy Tan Nguyen] HEC Montreal, Dept Logist &amp; Operat Management, 3000 Chemin Cote St Catherine, Montreal, PQ H3T 2A7, Canada; [Phuoc Luong Le] Ho Chi Minh City Univ Technol HCMUT, Sch Ind Management, Dept Prod &amp; Operat Management, Ho Chi Minh City, Vietnam; [Phuoc Luong Le] Vietnam Natl Univ Ho Chi Minh City VNU HCM, Ho Chi Minh City, Vietnam</t>
  </si>
  <si>
    <t>Universite de Montreal; HEC Montreal; Vietnam National University Hochiminh City; Vietnam National University Hochiminh City</t>
  </si>
  <si>
    <t>Nguyen, DT (corresponding author), HEC Montreal, Dept Logist &amp; Operat Management, 3000 Chemin Cote St Catherine, Montreal, PQ H3T 2A7, Canada.</t>
  </si>
  <si>
    <t>duy-tan.nguyen@hec.ca</t>
  </si>
  <si>
    <t>Nguyen, Duy Tân/GRJ-6240-2022</t>
  </si>
  <si>
    <t>Nguyen, Duy Tan/0000-0002-3581-0463; Le, Phuoc Luong/0000-0002-8680-8670</t>
  </si>
  <si>
    <t>Ho Chi Minh City University of Technology (HCMUT); VNU-HCM</t>
  </si>
  <si>
    <t>We would like to thank Ho Chi Minh City University of Technology (HCMUT), VNU-HCM for the support of time and facilities for this study.</t>
  </si>
  <si>
    <t>0144-6193</t>
  </si>
  <si>
    <t>1466-433X</t>
  </si>
  <si>
    <t>CONSTR MANAG ECON</t>
  </si>
  <si>
    <t>Constr. Manag. Econ.</t>
  </si>
  <si>
    <t>OCT 3</t>
  </si>
  <si>
    <t>10.1080/01446193.2022.2110273</t>
  </si>
  <si>
    <t>4N4YX</t>
  </si>
  <si>
    <t>WOS:000842219700001</t>
  </si>
  <si>
    <t>Moalem, S; Ahari, RMP; Shahgholian, G; Moazzami, M; Kazemi, SM</t>
  </si>
  <si>
    <t>Moalem, Sepehr; Ahari, Roya M. P.; Shahgholian, Ghazanfar; Moazzami, Majid; Kazemi, Seyed Mohammad</t>
  </si>
  <si>
    <t>Electricity supply chain hybrid long-term demand forecasting approach based on deep learning-a case study of basic metals industry</t>
  </si>
  <si>
    <t>JOURNAL OF ENGINEERING-JOE</t>
  </si>
  <si>
    <t>data mining; electricity supply chain; low-resolution data; long short-term memory neural network (LSTM); uncertainty; wavelet transform</t>
  </si>
  <si>
    <t>NEURAL-NETWORK; LOAD; MACHINE</t>
  </si>
  <si>
    <t>Demand forecasting is a key parameter to achieve optimal supply chain management at different levels. The basic metals industry is one of the most energy-intensive industries in the electricity supply chain. The impossibility of large-scale energy storage, reservation constraints, and its high costs, limitations on electricity transmission lines capacity, real-time response to high priority strategic demands, and variety of energy rates at different hours and seasons are issues that challenge the electricity supply chain. A hybrid approach is presented in this paper to improve the accuracy of long-term demand forecasting in the electricity supply chain. The proposed approach uses wavelet decomposition and long short-term memory (LSTM) neural networks to produce new predictors for demand forecasting in case of defective data. The data used in this study consists of the recorded hourly demand of Espidan Iron Stone (EIS) company and data of Mobarakeh Steel (MS) company in Isfahan Province. The understudy time series includes a lot of interruptions due to non-production of the factory or power outages and spikes which cause uncertainty that makes the forecasting more difficult in comparison with continuous time series. Multiple machine learning models including decision trees (DTs), boosted and bagged trees (BGTs), support vector regression (SVR) models, extreme learning machines (ELMs), and a LSTM neural network model are employed to evaluate the effectiveness of the proposed approach in this paper. A comparison of the results obtained using the hybrid proposed approach and training machine learning (ML) methods shows a notable reduction in forecasting error.</t>
  </si>
  <si>
    <t>[Moalem, Sepehr; Ahari, Roya M. P.; Shahgholian, Ghazanfar; Moazzami, Majid; Kazemi, Seyed Mohammad] Islamic Azad Univ, Dept Ind Engn, Najafabad Branch, Najafabad, Iran; [Shahgholian, Ghazanfar; Moazzami, Majid] Islamic Azad Univ, Smart Microgrid Res Ctr, Najafabad Branch, Najafabad, Iran; [Shahgholian, Ghazanfar] Dept Elect Engn, Univ Sq, Esfahan 8514143131, Iran</t>
  </si>
  <si>
    <t>Islamic Azad University; Islamic Azad University</t>
  </si>
  <si>
    <t>Shahgholian, G (corresponding author), Dept Elect Engn, Univ Sq, Esfahan 8514143131, Iran.</t>
  </si>
  <si>
    <t>shahgholian@iaun.ac.ir</t>
  </si>
  <si>
    <t>Moazzami, Majid/AAI-9281-2020</t>
  </si>
  <si>
    <t>Moazzami, Majid/0000-0002-2780-3677; Shahgholian, Ghazanfar/0000-0003-2774-4694</t>
  </si>
  <si>
    <t>2051-3305</t>
  </si>
  <si>
    <t>J ENG-JOE</t>
  </si>
  <si>
    <t>J. Eng.-JOE</t>
  </si>
  <si>
    <t>e12265</t>
  </si>
  <si>
    <t>10.1049/tje2.12265</t>
  </si>
  <si>
    <t>E1YT4</t>
  </si>
  <si>
    <t>WOS:000973581300001</t>
  </si>
  <si>
    <t>Ali, MFB; Ariffin, MKAB; Delgoshaei, A; Mustapha, FB; Supeni, EEB</t>
  </si>
  <si>
    <t>Ali, Mohd Fahmi Bin Mad; Ariffin, Mohd Khairol Anuar Bin Mohd; Delgoshaei, Aidin; Mustapha, Faizal Bin; Supeni, Eris Elianddy Bin</t>
  </si>
  <si>
    <t>A Comprehensive 3-Phase Framework for Determining the Customer's Product Usage in a Food Supply Chain</t>
  </si>
  <si>
    <t>food supply chain; food distribution; design supply chain; hybrid PCA and agglomerative clus-tering method</t>
  </si>
  <si>
    <t>CELLULAR MANUFACTURING SYSTEMS; K-HARMONIC MEANS; CLUSTERING APPROACH; FASHION INDUSTRY; PART FAMILY; PERFORMANCE; ALGORITHM; MANAGEMENT; IMPACT; SWARM</t>
  </si>
  <si>
    <t>A fundamental issue in manufacturing systems is moving a local manufacturer into a supply chain network including wholesalers and retailers. In this research, a 3-phase framework is proposed to determine the food consumption pattern in food supply chains. In the first stage of this research, the consumer, availability and society factors for product classification according to the features of populations in Malaysia are identified (phase 1). Then, using statistical analysis, the effective factors are recognised (phase 2). In the third phase, the product clusters are recognised using a hybrid PCA and agglomerative clustering method. For this purpose, different clusters for the training step are used. The outcomes indicated that Age (0.94), City (0.79), Health Benefit Awareness (0.76) and Education (0.75) are the most effective factors in product consumption patterns, respectively. Moreover, the efficiency of the outcomes is evaluated using the Silhouette Coefficient, indicating that the proposed algorithm could provide solutions with a 68% score. Moreover, using Calinski-Harabasz Index, it was found that the algorithm provided more logic scores while the number of product patterns was 3 for the studied region (707.54).</t>
  </si>
  <si>
    <t>[Ali, Mohd Fahmi Bin Mad; Ariffin, Mohd Khairol Anuar Bin Mohd; Delgoshaei, Aidin; Mustapha, Faizal Bin; Supeni, Eris Elianddy Bin] Univ Putra Malaysia, Dept Mech &amp; Mfg Engn, Serdang 3400, Malaysia</t>
  </si>
  <si>
    <t>Ariffin, MKAB (corresponding author), Univ Putra Malaysia, Dept Mech &amp; Mfg Engn, Serdang 3400, Malaysia.</t>
  </si>
  <si>
    <t>khairol@upm.edu.my</t>
  </si>
  <si>
    <t>mohd ariffin, mohd khairol anuar/0000-0002-5390-8202; SUPENI, ERIS ELIANDDY/0000-0001-8611-6431</t>
  </si>
  <si>
    <t>10.3390/math11051085</t>
  </si>
  <si>
    <t>9U3XX</t>
  </si>
  <si>
    <t>WOS:000947649200001</t>
  </si>
  <si>
    <t>Yan, QY; Zhang, MJ; Li, W; Qin, GY</t>
  </si>
  <si>
    <t>Yan, Qingyou; Zhang, Meijuan; Li, Wei; Qin, Guangyu</t>
  </si>
  <si>
    <t>Risk Assessment of New Energy Vehicle Supply Chain Based on Variable Weight Theory and Cloud Model: A Case Study in China</t>
  </si>
  <si>
    <t>new energy vehicles; supply chain risk assessment; variable weight theory; cloud model; fuzzy analytic hierarchy process</t>
  </si>
  <si>
    <t>ELECTRIC VEHICLES; FUZZY NUMBERS; PURCHASE INTENTION; MANAGEMENT; FRAMEWORK</t>
  </si>
  <si>
    <t>In order to protect the environment and reduce energy consumption, new energy vehicles have begun to be vigorously promoted in various countries. In recent years, the rise of intelligent technology has had a great impact on the supply chain of new energy vehicles, which, coupled with the complexity of the supply chain itself, puts it at great risk. Therefore, it is quite indispensable to evaluate the risk of the new energy vehicle supply chain. This paper assesses the risks faced by China's new energy vehicle supply chain in this period of technological transformation. First of all, this paper establishes an evaluation criteria system of 16 sub-criterion related to three dimensions: the market risk, operational risk, and the environmental risk. Then, variable weight theory is proposed to modify the constant weight obtained by the fuzzy analytic hierarchy process (FAHP). Finally, a risk assessment of China's new energy vehicle supply chain is carried out by combining the variable weight and the cloud model. This method can effectively explain the randomness of matters, and avoid the influence of value abnormality on the criteria system. The results show that China's new energy vehicle supply chain is at a high level. Through the identification of risk factors, mainly referring to the low clustering risk, technical level risk and information transparency risk, this paper can provide a risk prevention reference for corresponding enterprises.</t>
  </si>
  <si>
    <t>[Yan, Qingyou; Zhang, Meijuan; Li, Wei; Qin, Guangyu] North China Elect Power Univ, Sch Econ &amp; Management, Beijing 102206, Peoples R China; [Yan, Qingyou; Zhang, Meijuan; Li, Wei; Qin, Guangyu] North China Elect Power Univ, Beijing Key Lab New Energy &amp; Low Carbon Dev, Beijing 102206, Peoples R China</t>
  </si>
  <si>
    <t>North China Electric Power University; North China Electric Power University</t>
  </si>
  <si>
    <t>Zhang, MJ; Qin, GY (corresponding author), North China Elect Power Univ, Sch Econ &amp; Management, Beijing 102206, Peoples R China.;Zhang, MJ; Qin, GY (corresponding author), North China Elect Power Univ, Beijing Key Lab New Energy &amp; Low Carbon Dev, Beijing 102206, Peoples R China.</t>
  </si>
  <si>
    <t>yanqingyou@ncepu.edu.cn; zhangmeijuan@ncepu.edu.cn; liwei502520@163.com; qinguangyu@ncepu.edu.cn</t>
  </si>
  <si>
    <t>yan, qing/GZN-2287-2022; QIN, Guangyu/AAE-3818-2020</t>
  </si>
  <si>
    <t>QIN, Guangyu/0000-0001-7458-7156</t>
  </si>
  <si>
    <t>National Social Science Foundation of China [19ZDA081]; 2018 Key Projects of Philosophy and Social Sciences Research, Ministry of Education, China [18JZD032]</t>
  </si>
  <si>
    <t>National Social Science Foundation of China(National Office of Philosophy and Social Sciences); 2018 Key Projects of Philosophy and Social Sciences Research, Ministry of Education, China(Ministry of Education, China)</t>
  </si>
  <si>
    <t>This research was funded by National Social Science Foundation of China, grant number 19ZDA081 and the 2018 Key Projects of Philosophy and Social Sciences Research, Ministry of Education, China, grant number 18JZD032.</t>
  </si>
  <si>
    <t>10.3390/su12083150</t>
  </si>
  <si>
    <t>LR3MY</t>
  </si>
  <si>
    <t>WOS:000535598700083</t>
  </si>
  <si>
    <t>Konovalenko, I; Ludwig, A</t>
  </si>
  <si>
    <t>Konovalenko, Iurii; Ludwig, Andre</t>
  </si>
  <si>
    <t>Generating decision support for alarm processing in cold supply chains using a hybrid k-NN algorithm</t>
  </si>
  <si>
    <t>k-nearest neighbors; Fuzzy set; Recommendation; Decision Support; Pharmaceutical supply chain; Temperature deviation</t>
  </si>
  <si>
    <t>LOGISTIC-REGRESSION; RECOMMENDER SYSTEM; NETWORK; INTERNET; TEMPERATURES; TRACEABILITY; ARCHITECTURE; STABILITY; SAFETY</t>
  </si>
  <si>
    <t>Real-time temperature monitoring is necessary in cold pharmaceutical supply chains (SCs), where exposures to extreme temperatures can lead to product quality deterioration. Temperature alarms (TAs) triggered by the current rule-based systems still require lengthy examinations before a suitable corrective measure (CM) can be chosen. However, provision of additional information relevant to TAs can expedite the examination process. In the related areas of recommender systems and false alarm/anomaly detection, k-nearest neighbors (k-NN) algorithm has proven to be successful because of its interpretability and ease of use. However, in the context of TA processing, it may suffer from some inherent limitations (i.e., varying neighborhood radius, unreliable classifications in sparse and noisy regions, and blindness to natural class boundaries). To overcome these limitations, we propose a hybrid k-NN (Hk-NN) algorithm based on the principles of local similarity and neighborhood homogeneity. It incorporates a two-step voting procedure with an entropy-optimized k-NN radius, decision trees with k-constrained leaves, and nearest neighbor predictions. We investigate 16,525 comments by alarm personnel for TAs in a pharmaceutical SC and encode them in terms of deviation causes and CMs (target features). We use SC data on cargo location, SC phase, sensor role, and temperature characteristics as predictor features for TA similarity estimation. In eight experimental setups, HkNN consistently outperforms k-NN with an optimized k in terms of accuracy, balanced accuracy, macro-average precision, recall, and specificity. At the same time, Hk-NN refrains from predicting observations, for which kNN's accuracy is close to a random guess.</t>
  </si>
  <si>
    <t>[Konovalenko, Iurii; Ludwig, Andre] Kuhne Logist Univ, Grosser Grasbrook 17, D-20457 Hamburg, Germany</t>
  </si>
  <si>
    <t>Kuhne Logistics University</t>
  </si>
  <si>
    <t>Konovalenko, I (corresponding author), Kuhne Logist Univ, Grosser Grasbrook 17, D-20457 Hamburg, Germany.</t>
  </si>
  <si>
    <t>iurii.konovalenko@the-klu.org; andre.ludwig@the-klu.org</t>
  </si>
  <si>
    <t>MAR 15</t>
  </si>
  <si>
    <t>10.1016/j.eswa.2021.116208</t>
  </si>
  <si>
    <t>XG1PY</t>
  </si>
  <si>
    <t>WOS:000724533200002</t>
  </si>
  <si>
    <t>Ning, L; Zhifeng, S; Jianglong, Z; Xialing, L</t>
  </si>
  <si>
    <t>Ning, Liu; Zhifeng, Shen; Jianglong, Zang; Xialing, Li</t>
  </si>
  <si>
    <t>An international value chain of China's manufacturing industry based on big data technology</t>
  </si>
  <si>
    <t>JOURNAL OF CONTROL AND DECISION</t>
  </si>
  <si>
    <t>Big data technology; manufacturing; international value chain; rising factors; &gt;</t>
  </si>
  <si>
    <t>DATA VISUALIZATION; SYSTEM</t>
  </si>
  <si>
    <t>In order to study the impact of the vertical specialisation level and competitiveness of China's manufacturing industry on the international competitiveness of the manufacturing industry, this paper combines improved data mining technology to analyze the rising factors of the international value chain of the manufacturing industry and construct a regression equation. Moreover, this paper analyzes the impact of vertical specialisation on the competitiveness of manufacturing industry by adding control variables, and finally puts forward policy recommendations for improving the international competitiveness of manufacturing based on the results of empirical analysis, thereby promoting the rise of the status of China's manufacturing industry in the division of labour in the international value chain. The research shows that the analysis model of rising factors of manufacturing international value based on big data technology proposed in this paper has good results.</t>
  </si>
  <si>
    <t>[Ning, Liu; Zhifeng, Shen; Xialing, Li] Jiangsu Univ Technol, Changzhou, Peoples R China; [Jianglong, Zang] Heller Machinery Changzhou Co Ltd, Changzhou, Jiangsu, Peoples R China</t>
  </si>
  <si>
    <t>Jiangsu University of Technology</t>
  </si>
  <si>
    <t>Jianglong, Z (corresponding author), Heller Machinery Changzhou Co Ltd, Changzhou, Jiangsu, Peoples R China.</t>
  </si>
  <si>
    <t>liuning2211@126.com</t>
  </si>
  <si>
    <t>2330-7706</t>
  </si>
  <si>
    <t>2330-7714</t>
  </si>
  <si>
    <t>J CONTROL DECIS</t>
  </si>
  <si>
    <t>J. Control Decis.</t>
  </si>
  <si>
    <t>10.1080/23307706.2023.2229318</t>
  </si>
  <si>
    <t>Automation &amp; Control Systems; Engineering, Electrical &amp; Electronic</t>
  </si>
  <si>
    <t>M4MA0</t>
  </si>
  <si>
    <t>WOS:001029950800001</t>
  </si>
  <si>
    <t>Shao, CX; Wang, LZ; Xiao, LP; Wu, JL</t>
  </si>
  <si>
    <t>Shao, Chenxi; Wang, Lizhong; Xiao, Lipeng; Wu, Jinliang</t>
  </si>
  <si>
    <t>QUALITATIVE PHASE SPACE RECONSTRUCTION ANALYSIS OF SUPPLY-CHAIN INVENTORY TIME SERIES</t>
  </si>
  <si>
    <t>SOUTH AFRICAN JOURNAL OF SCIENCE</t>
  </si>
  <si>
    <t>data mining; phase space; qualitative forecasting; quantitative forecasting; supply chain management</t>
  </si>
  <si>
    <t>MECHANISMS</t>
  </si>
  <si>
    <t>The economy systems are usually too complex to be analysed, but some advanced methods have been developed in order to do so, such as system dynamics modelling, multi-agent modelling, complex adaptive system modelling and qualitative modelling. In this paper, we considered a supply-chain (SC) system including several kinds of products. Using historic suppliers' demand data, we firstly applied the phase space analysis method and then used qualitative analysis to improve the complex system's performance. Quantitative methods can forecast the quantitative SC demands, but they cannot indicate the qualitative aspects of SC, so when we apply quantitative methods to a SC system we get only numerous data of demand. By contrast, qualitative methods can show the qualitative change and trend of the SC demand. We therefore used qualitative methods to improve the quantitative forecasting results. Comparing the quantitative only method and the combined method used in this paper, we found that the combined method is far more accurate. Not only is the inventory cost lower, but the forecasting accuracy is also better.</t>
  </si>
  <si>
    <t>[Shao, Chenxi; Wang, Lizhong; Xiao, Lipeng] Univ Sci &amp; Technol China, Dept Comp Sci, Hefei 230027, Anhui, Peoples R China; [Wu, Jinliang] Wuhu Cigarette Factory, Wuhu, Peoples R China</t>
  </si>
  <si>
    <t>Chinese Academy of Sciences; University of Science &amp; Technology of China, CAS; China National Tobacco Corporation</t>
  </si>
  <si>
    <t>Wang, LZ (corresponding author), Univ Sci &amp; Technol China, Dept Comp Sci, Hefei 230027, Anhui, Peoples R China.</t>
  </si>
  <si>
    <t>andywang@mail.ustc.edu.cn</t>
  </si>
  <si>
    <t>ACAD SCIENCE SOUTH AFRICA A S S AF</t>
  </si>
  <si>
    <t>LYNWOOD RIDGE</t>
  </si>
  <si>
    <t>PO BOX 72135, LYNWOOD RIDGE 0040, SOUTH AFRICA</t>
  </si>
  <si>
    <t>0038-2353</t>
  </si>
  <si>
    <t>1996-7489</t>
  </si>
  <si>
    <t>S AFR J SCI</t>
  </si>
  <si>
    <t>S. Afr. J. Sci.</t>
  </si>
  <si>
    <t>NOV-DEC</t>
  </si>
  <si>
    <t>10.4102/sajs.v106i11/12.422</t>
  </si>
  <si>
    <t>720HM</t>
  </si>
  <si>
    <t>WOS:000287271500013</t>
  </si>
  <si>
    <t>Nguyen, TV; Zhang, J; Zhou, L; Meng, M; He, Y</t>
  </si>
  <si>
    <t>Truong Van Nguyen; Zhang, Jie; Zhou, Li; Meng, Meng; He, Yong</t>
  </si>
  <si>
    <t>A data-driven optimization of large-scale dry port location using the hybrid approach of data mining and complex network theory</t>
  </si>
  <si>
    <t>Transportation; Data mining; Large scale optimization; Dry ports; Complex network theory</t>
  </si>
  <si>
    <t>SUPPLY CHAIN; TRANSPORT; ALLOCATION; MODEL; OPERATIONS; LOGISTICS; DECISIONS; GRAVITY; BELT</t>
  </si>
  <si>
    <t>The paper proposes a two-stage approach that combines data mining and complex network theory to optimize the locations and service areas of dry ports in a large-scale inland transportation system. In the first stage, candidate locations of dry ports are weighted based on their eigenvector centrality in the complex network of association rules mined from a large amount of international transaction data. In the second phrase, dry port locations and their service areas are optimized using the gravity-based community structure. The method is validated in a real case study which optimizes a large-scale dry port network in Mainland China in the context of the Belt and Road Initiatives (BRI). As a result, optimal dry port locations include key transportation hubs that closely reflect the real BRI development plan, hence, the proposed approach is validated.</t>
  </si>
  <si>
    <t>[Truong Van Nguyen] Brunel Univ London, Operat &amp; Informat Syst Management, Kingston Lane, Uxbridge UB8 3PH, Middx, England; [Zhang, Jie; Zhou, Li; Meng, Meng] Univ Greenwich, Fac Business, London SE10 9LS, England; [He, Yong] Southeast Univ, Sch Econ &amp; Management, Nanjing 210096, Peoples R China</t>
  </si>
  <si>
    <t>Brunel University; University of Greenwich; Southeast University - China</t>
  </si>
  <si>
    <t>ZL14@gre.ac.uk</t>
  </si>
  <si>
    <t>meng, meng/GWZ-7461-2022; He, Yong/G-8557-2011; He, Yong/W-1575-2019; Zhou, Li/B-3035-2011</t>
  </si>
  <si>
    <t>He, Yong/0000-0002-6834-0883; He, Yong/0000-0002-6834-0883; Zhou, Li/0000-0001-7132-5935; Nguyen, Truong Van/0000-0001-9380-5710; MENG, MENG/0000-0001-7240-6454; Zhang, Jie/0000-0002-1669-7848</t>
  </si>
  <si>
    <t>10.1016/j.tre.2019.11.010</t>
  </si>
  <si>
    <t>KS7MA</t>
  </si>
  <si>
    <t>WOS:000518489600016</t>
  </si>
  <si>
    <t>Hossain, MK; Thakur, V; Kazancoglu, Y</t>
  </si>
  <si>
    <t>Hossain, Md Kamal; Thakur, Vikas; Kazancoglu, Yigit</t>
  </si>
  <si>
    <t>Developing a resilient healthcare supply chain to prevent disruption in the wake of emergency health crisis</t>
  </si>
  <si>
    <t>INTERNATIONAL JOURNAL OF EMERGING MARKETS</t>
  </si>
  <si>
    <t>The COVID-19 pandemic; Resilient healthcare supply chain (HCSC); Healthcare facilities (HCF); Grey clustering analysis; Analytic hierarchy process (AHP)</t>
  </si>
  <si>
    <t>MANAGEMENT; QUALITY; CHALLENGES; LOGISTICS; SELECTION; MODEL</t>
  </si>
  <si>
    <t>Purpose The study aims to identify and analyse the drivers of resilient healthcare supply chain (HCSC) preparedness in emergency health outbreaks to prevent disruption in healthcare services delivery in the context of India. Design/methodology/approach The present study has opted for the grey clustering method to identify and analyse the drivers of resilient HCSC preparedness during health outbreaks into high, moderate and low important grey classes based on Grey-Delphi, analytic hierarchy process (AHP) and Shannon's information entropy (IE) theory. Findings The drivers of the resilient HCSC are scrutinised using the Grey-Delphi technique. By implementing AHP and Shannon's IE theory and depending upon structure, process and outcome measures of HCSC, eleven drivers of a resilient HCSC preparedness are clustered as highly important, three drivers into moderately important, and two drivers into a low important group. Originality/value The analysis and insights developed in the present study would help to plan and execute a viable, resilient emergency HCSC preparedness during the emergence of any health outbreak along with the stakeholders' coordination. The results of the study offer information, rationality, constructiveness, and universality that enable the wider application of AHP-IE/Grey clustering analysis to HCSC resilience in the wake of pandemics.</t>
  </si>
  <si>
    <t>[Hossain, Md Kamal] Natl Inst Technol Rourkela, Sch Management, Rourkela, India; [Thakur, Vikas] Natl Inst Technol Rourkela, Rourkela, India; [Kazancoglu, Yigit] Yasar Univ, Izmir, Turkey</t>
  </si>
  <si>
    <t>National Institute of Technology (NIT System); National Institute of Technology Rourkela; National Institute of Technology (NIT System); National Institute of Technology Rourkela; Yasar University</t>
  </si>
  <si>
    <t>Thakur, V (corresponding author), Natl Inst Technol Rourkela, Rourkela, India.</t>
  </si>
  <si>
    <t>518sm2001@nitrkl.ac.in; thakurv@nitrkl.ac.in; yigit.kazancoglu@yasar.edu.tr</t>
  </si>
  <si>
    <t>Kazancoglu, Yigit/E-7705-2015; Hossain, Md Kamal/HHC-6733-2022</t>
  </si>
  <si>
    <t>Kazancoglu, Yigit/0000-0001-9199-671X; Hossain, Md Kamal/0000-0001-8222-6422</t>
  </si>
  <si>
    <t>1746-8809</t>
  </si>
  <si>
    <t>1746-8817</t>
  </si>
  <si>
    <t>INT J EMERG MARK</t>
  </si>
  <si>
    <t>Int. J. Emerg. Mark.</t>
  </si>
  <si>
    <t>JUN 2</t>
  </si>
  <si>
    <t>10.1108/IJOEM-10-2021-1628</t>
  </si>
  <si>
    <t>I1EW3</t>
  </si>
  <si>
    <t>WOS:000800345600001</t>
  </si>
  <si>
    <t>Hearnshaw, EJS; Wilson, MMJ</t>
  </si>
  <si>
    <t>Hearnshaw, Edward J. S.; Wilson, Mark M. J.</t>
  </si>
  <si>
    <t>A complex network approach to supply chain network theory</t>
  </si>
  <si>
    <t>Adaptive system theory; Supply chain management; Complex adaptive systems; Complex networks; Scale-free network; Supply chain network theory</t>
  </si>
  <si>
    <t>SCALE-FREE NETWORKS; ADAPTIVE SYSTEMS; EVOLUTION; ORGANIZATION; SIMULATION; EFFICIENCY; EMERGENCE; ERROR</t>
  </si>
  <si>
    <t>Purpose - The purpose of this paper is to advance supply chain network theory by applying theoretical and empirical developments in complex network literature to the context of supply chains as complex adaptive systems. The authors synthesize these advancements to gain an understanding of the network properties underlying efficient supply chains. To develop a suitable theory of supply chain networks, the authors look to mirror the properties of complex network models with real-world supply chains. Design/methodology/approach - The authors review complex network literature drawn from multiple disciplines in top scientific journals. From this interdisciplinary review a series of propositions are developed around supply chain complexity and adaptive phenomena. Findings - This paper proposes that the structure of efficient supply chains follows a scale-free network. This proposal emerges from arguments that the key properties of efficient supply chains are a short characteristic path length, a high clustering coefficient and a power law connectivity distribution. Research limitations/implications - The authors' discussion centres on applying advances found in recent complex network literature. Hence, the need is noted to empirically validate the series of propositions developed in this paper in a supply chain context. Practical implications - If efficient supply chains resemble a scale-free network, then managers can derive a number of implications. For example, supply chain resilience is derived by the presence of hub firms. To reduce the vulnerability of supply chains to cascading failures, it is recognized that managers could build in redundancy, undertake a multi-sourcing strategy or intermediation between hub firms. Originality/value - This paper advances supply chain network theory. It offers a novel understanding of supply chains as complex adaptive systems and, in particular, that efficient and resilient supply chain systems resemble a scale-free network. In addition, it provides a series of propositions that allow modelling and empirical research to proceed.</t>
  </si>
  <si>
    <t>[Hearnshaw, Edward J. S.; Wilson, Mark M. J.] Lincoln Univ, Fac Commerce, Christchurch, New Zealand</t>
  </si>
  <si>
    <t>Lincoln University - New Zealand</t>
  </si>
  <si>
    <t>Wilson, MMJ (corresponding author), Lincoln Univ, Fac Commerce, Christchurch, New Zealand.</t>
  </si>
  <si>
    <t>mark.wilson@lincoln.ac.nz</t>
  </si>
  <si>
    <t>E G, KAVILAL/O-2779-2015; Wilson, Mark/D-9646-2015</t>
  </si>
  <si>
    <t>Wilson, Mark/0000-0001-9949-5143</t>
  </si>
  <si>
    <t>10.1108/01443571311307343</t>
  </si>
  <si>
    <t>120CX</t>
  </si>
  <si>
    <t>WOS:000317149500009</t>
  </si>
  <si>
    <t>Shukla, V; Naim, MM</t>
  </si>
  <si>
    <t>Shukla, Vinaya; Naim, Mohamed M.</t>
  </si>
  <si>
    <t>Sensing endogenous seasonality in the case of a coffee supply chain</t>
  </si>
  <si>
    <t>Supply chain risk; endogenous seasonality; bullwhip; sense and respond; clustering</t>
  </si>
  <si>
    <t>TIME-SERIES DATA; ROGUE SEASONALITY; BULLWHIP; FRAMEWORK; POLICIES</t>
  </si>
  <si>
    <t>Rogue seasonality, or endogenously generated cyclicality (in variables), is common in supply chains and known to adversely affect performance. This paper explores a technique for sensing rogue seasonality at a supply chain echelon level. A signature and index based on cluster profiles of variables, which are meant to sense echelon-level generation and intensity of rogue seasonality, respectively, are proposed. Their validity is then established on echelons of a downstream coffee supply chain for five stock keeping units (SKUs) with contrasting rogue seasonality generation behaviour. The appropriateness of spectra as the domain for representing variables, data for which is daily sampled, is highlighted. Time-batching cycles which could corrupt the sensing are observed in variables, and the need to therefore filter them out in advance is also highlighted. The knowledge gained about the echelon location, intensity and time of generation of rogue seasonality could enable timely deployment of specific mitigation actions.</t>
  </si>
  <si>
    <t>[Shukla, Vinaya] Middlesex Univ, Dept Int Management &amp; Innovat, Sch Business, London, England; [Naim, Mohamed M.] Cardiff Business Sch, Cardiff, S Glam, Wales</t>
  </si>
  <si>
    <t>Shukla, V (corresponding author), Middlesex Univ, Dept Int Management &amp; Innovat, Sch Business, London, England.</t>
  </si>
  <si>
    <t>10.1080/13675567.2017.1395829</t>
  </si>
  <si>
    <t>GC9CN</t>
  </si>
  <si>
    <t>WOS:000430095200006</t>
  </si>
  <si>
    <t>Sun, JY; Tang, JM; Fu, WP; Wu, BY</t>
  </si>
  <si>
    <t>Sun Jun-yan; Tang Jian-ming; Fu Wei-ping; Wu Bing-ying</t>
  </si>
  <si>
    <t>Hybrid modeling and empirical analysis of automobile supply chain network</t>
  </si>
  <si>
    <t>PHYSICA A-STATISTICAL MECHANICS AND ITS APPLICATIONS</t>
  </si>
  <si>
    <t>Complex network; Complex self-adaptive system; Automobile; Supply chain; Hybrid modeling; Empirical analysis</t>
  </si>
  <si>
    <t>EVOLUTION</t>
  </si>
  <si>
    <t>Based on the connection mechanism of nodes which automatically select upstream and downstream agents, a simulation model for dynamic evolutionary process of consumer driven automobile supply chain is established by integrating ABM and discrete modeling in the GIS-based map. Firstly, the rationality is proved by analyzing the consistency of sales and changes in various agent parameters between the simulation model and a real automobile supply chain. Second, through complex network theory, hierarchical structures of the model and relationships of networks at different levels are analyzed to calculate various characteristic parameters such as mean distance, mean clustering coefficients, and degree distributions. By doing so, it verifies that the model is a typical scale-free network and small-world network. Finally, the motion law of this model is analyzed from the perspective of complex self-adaptive systems. The chaotic state of the simulation system is verified, which suggests that this system has typical nonlinear characteristics. This model not only macroscopically illustrates the dynamic evolution of complex networks of automobile supply chain but also microcosmically reflects the business process of each agent. Moreover, the model construction and simulation of the system by means of combining CAS theory and complex networks supplies a novel method for supply chain analysis, as well as theory bases and experience for supply chain analysis of auto companies. (C) 2017 Elsevier B.V. All rights reserved.</t>
  </si>
  <si>
    <t>[Sun Jun-yan; Wu Bing-ying] Shaanxi Univ Sci &amp; Technol, Coll Mech &amp; Elect Engn, Xian 710021, Peoples R China; [Sun Jun-yan; Fu Wei-ping] Xian Univ Technol, Sch Mech &amp; Precis Instrument Engn, Xian 710048, Peoples R China; [Tang Jian-ming] Xian Aerosp Precis Electromech Inst, Xian 710010, Peoples R China</t>
  </si>
  <si>
    <t>Shaanxi University of Science &amp; Technology; Xi'an University of Technology</t>
  </si>
  <si>
    <t>Sun, JY (corresponding author), Shaanxi Univ Sci &amp; Technol, Coll Mech &amp; Elect Engn, Xian 710021, Peoples R China.</t>
  </si>
  <si>
    <t>Sun, Junyan/J-2160-2014</t>
  </si>
  <si>
    <t>NSFC [51275407, 11072192]</t>
  </si>
  <si>
    <t>NSFC(National Natural Science Foundation of China (NSFC))</t>
  </si>
  <si>
    <t>The work was supported by NSFC (No. 51275407, No. 11072192).</t>
  </si>
  <si>
    <t>0378-4371</t>
  </si>
  <si>
    <t>1873-2119</t>
  </si>
  <si>
    <t>PHYSICA A</t>
  </si>
  <si>
    <t>Physica A</t>
  </si>
  <si>
    <t>MAY 1</t>
  </si>
  <si>
    <t>10.1016/j.physa.2017.01.036</t>
  </si>
  <si>
    <t>Physics, Multidisciplinary</t>
  </si>
  <si>
    <t>Physics</t>
  </si>
  <si>
    <t>EK6UO</t>
  </si>
  <si>
    <t>WOS:000394061500036</t>
  </si>
  <si>
    <t>Liu, YS; Yang, CH; Huang, KK; Gui, WH; Hu, SY</t>
  </si>
  <si>
    <t>Liu, Yishun; Yang, Chunhua; Huang, Keke; Gui, Weihua; Hu, Shiyan</t>
  </si>
  <si>
    <t>A Systematic Procurement Supply Chain Optimization Technique Based on Industrial Internet of Things and Application</t>
  </si>
  <si>
    <t>IEEE INTERNET OF THINGS JOURNAL</t>
  </si>
  <si>
    <t>Costs; Procurement; Industrial Internet of Things; Resource management; Supply chains; Production; Raw materials; Industrial application; Industrial Internet of Things (IIoT); procurement supply chain (PSC); smart manufacturing</t>
  </si>
  <si>
    <t>ALGORITHM; SEARCH; PRICE</t>
  </si>
  <si>
    <t>Smart manufacturing has become mainstream in the development of manufacturing industry, where Industrial Internet of Things plays a critical role. In this article, a systematic intelligent technique for procurement supply chain (PSC) optimization is proposed. In this technique, an integrated approach based on variational mode decomposition and long short-term memory network is used to predict the market price. Considering the factors, such as production plan and market fluctuation, a multiperiod dynamic purchasing model is built. A stacked autoencoder under bootstrap aggregation is then trained to evaluate suppliers automatically end-to-end based on various data. Finally, a multiobjective order allocation model is established considering the procurement costs and supplier scores, and solved by particle swarm optimization. The extensive experiments are performed using a realistic industrial application in a zinc smelter company. The experimental results demonstrate that the proposed technique greatly reduces labor costs, improves the efficiency of PSC, and reduces the procurement costs of the company.</t>
  </si>
  <si>
    <t>[Liu, Yishun; Yang, Chunhua; Huang, Keke; Gui, Weihua] Cent South Univ, Sch Automat, Changsha 410083, Peoples R China; [Liu, Yishun] Qingdao Univ, Shandong Key Lab Ind Control Technol, Qingdao 266071, Peoples R China; [Hu, Shiyan] Univ Southampton, Sch Elect &amp; Comp Sci, Southampton SO17 1BJ, England</t>
  </si>
  <si>
    <t>Central South University; Qingdao University; University of Southampton</t>
  </si>
  <si>
    <t>Huang, KK (corresponding author), Cent South Univ, Sch Automat, Changsha 410083, Peoples R China.</t>
  </si>
  <si>
    <t>liuyishun@csu.edu.cn; ychh@csu.edu.cn; huangkeke@csu.edu.cn; gwh@csu.edu.cn; S.Hu@soton.ac.uk</t>
  </si>
  <si>
    <t>Hu, Shiyan/D-4459-2015</t>
  </si>
  <si>
    <t>Hu, Shiyan/0000-0003-2512-0634; Yang, Chun-Hua/0000-0002-3770-9887; Huang, Keke/0000-0003-3553-3424</t>
  </si>
  <si>
    <t>National Natural Science Foundation of China [62073340, 61860206014]; National Key Research and Development Program of China [2019YFB1705300]; Shandong Key Laboratory of Industrial Control Technology (Qingdao University); Fundamental Research Funds for the Central Universities of Central South University [2021zzts0199]; 111 Project, China [B17048]</t>
  </si>
  <si>
    <t>National Natural Science Foundation of China(National Natural Science Foundation of China (NSFC)); National Key Research and Development Program of China; Shandong Key Laboratory of Industrial Control Technology (Qingdao University); Fundamental Research Funds for the Central Universities of Central South University; 111 Project, China(Ministry of Education, China - 111 Project)</t>
  </si>
  <si>
    <t>This work was supported in part by the National Natural Science Foundation of China under Grant 62073340 and Grant 61860206014; in part by the National Key Research and Development Program of China under Grant 2019YFB1705300; in part by the Shandong Key Laboratory of Industrial Control Technology (Qingdao University); in part by the Fundamental Research Funds for the Central Universities of Central South University under Grant 2021zzts0199; and in part by the 111 Project, China, under Grant B17048.</t>
  </si>
  <si>
    <t>2327-4662</t>
  </si>
  <si>
    <t>IEEE INTERNET THINGS</t>
  </si>
  <si>
    <t>IEEE Internet Things J.</t>
  </si>
  <si>
    <t>APR 15</t>
  </si>
  <si>
    <t>10.1109/JIOT.2022.3228736</t>
  </si>
  <si>
    <t>D4ZK5</t>
  </si>
  <si>
    <t>WOS:000968830500058</t>
  </si>
  <si>
    <t>Meidute-Kavaliauskiene, I; Taskin, K; Ghorbani, S; Cincikaite, R; Kacenauskaite, R</t>
  </si>
  <si>
    <t>Meidute-Kavaliauskiene, Ieva; Taskin, Kamil; Ghorbani, Shahryar; Cincikaite, Renata; Kacenauskaite, Roberta</t>
  </si>
  <si>
    <t>Reviewing the Applications of Neural Networks in Supply Chain: Exploring Research Propositions for Future Directions</t>
  </si>
  <si>
    <t>neural network; decision support; supply chain management; systematic review</t>
  </si>
  <si>
    <t>HYBRID MODEL; SELECTION; SYSTEM; AHP; PERFORMANCE; INTEGRATION; MANAGEMENT</t>
  </si>
  <si>
    <t>Supply chains have received significant attention in recent years. Neural networks (NN) are a technique available in artificial intelligence (AI) which has many supporters due to their diverse applications because they can be used to move towards complete harmony. NN, an emerging AI technique, have a strong appeal for a wide range of applications to overcome many issues associated with supply chains. This study aims to provide a comprehensive view of NN applications in supply chain management (SCM), working as a reference for future research directions for SCM researchers and application insight for SCM practitioners. This study generally introduces NNs and has explained the use of this method in five features identified by supply chain area, including optimization, forecasting, modeling and simulation, clustering, decision support, and the possibility of using NNs in supply chain management. The results showed that NN applications in SCM were still in a developmental stage since there were not enough high-yielding authors to form a strong group force in the research of NN applications in SCM.</t>
  </si>
  <si>
    <t>[Meidute-Kavaliauskiene, Ieva; Cincikaite, Renata] Vilnius Gediminas Tech Univ, Fac Business Management, LT-10223 Vilnius, Lithuania; [Taskin, Kamil] Univ Sakarya, Dept Business, TR-54050 Sakarya, Turkey; [Ghorbani, Shahryar] Univ Sakarya, Dept Prod Management, TR-54050 Sakarya, Turkey; [Kacenauskaite, Roberta] Logist Command Garrison Base Serv, Mindaugo Str 26, LT-03215 Vilnius, Lithuania</t>
  </si>
  <si>
    <t>Vilnius Gediminas Technical University; Sakarya University; Sakarya University</t>
  </si>
  <si>
    <t>Meidute-Kavaliauskiene, I (corresponding author), Vilnius Gediminas Tech Univ, Fac Business Management, LT-10223 Vilnius, Lithuania.</t>
  </si>
  <si>
    <t>ieva.meidute-kavaliauskiene@vilniustech.it; ktaskin@sakarya.edu.tr; mg.shahryar@gmail.com; renata.cincikaite@vilniustech.lt; kacenauskaiter@gmail.com</t>
  </si>
  <si>
    <t>Ghorbani, shahryar/HZM-0306-2023; Meidute-Kavaliauskiene, Ieva/AAD-6877-2019; Taşkın, Kamil/M-9610-2019; /X-4510-2018</t>
  </si>
  <si>
    <t>Meidute-Kavaliauskiene, Ieva/0000-0003-0435-7632; Taşkın, Kamil/0000-0002-8081-7445; /0000-0001-6085-1788; Cincikaite, Renata/0000-0001-6644-7591</t>
  </si>
  <si>
    <t>10.3390/info13050261</t>
  </si>
  <si>
    <t>1Q3XL</t>
  </si>
  <si>
    <t>WOS:000802624500001</t>
  </si>
  <si>
    <t>Gumte, KM; Pantula, PD; Miriyala, SS; Mitra, K</t>
  </si>
  <si>
    <t>Gumte, Kapil M.; Pantula, Priyanka Devi; Miriyala, Srinivas Soumitri; Mitra, Kishalay</t>
  </si>
  <si>
    <t>Data driven robust optimization for handling uncertainty in supply chain planning models</t>
  </si>
  <si>
    <t>Uncertainty modelling; Supply chain management; Data driven robust optimization; Neuro fuzzy clustering; Multi-layered perceptron</t>
  </si>
  <si>
    <t>NETWORK DESIGN; DECISION-MAKING; PRICE</t>
  </si>
  <si>
    <t>While addressing supply chain planning under uncertainty, Robust Optimization (RO) is regarded as an efficient and tractable method. As RO involves calculation of several statistical moments or maximum / minimum values involving the objective functions under realizations of these uncertain parameters, the accuracy of this method significantly depends on the efficient techniques to sample the uncertainty parameter space with limited amount of data. Conventional sampling techniques, e.g. box/budget/ellipsoidal, work by sampling the uncertain parameter space inefficiently, often leading to inaccuracies in such estimations. This paper proposes a methodology to amalgamate machine learning and data analytics with RO, thereby making it data-driven. A novel neuro fuzzy clustering mechanism is implemented to cluster the uncertain space such that the exact regions of uncertainty are optimally identified. Subsequently, local density based boundary point detection and Delaunay triangulation based boundary construction enable intelligent Sobol based sampling to sample the uncertain parameter space more accurately. The proposed technique is utilized to explore the merits of RO towards addressing the uncertainty issues of product demand, machine uptime and production cost associated with a multiproduct, and multisite supply chain planning model. The uncertainty in supply chain model is thoroughly analysed by carefully constructing examples and its case studies leading to large scale mixed integer linear and nonlinear programming problems which were efficiently solved in GAMS (R) framework.Demonstration of efficacy of the proposed method over the box, budget and ellipsoidal sampling method through comprehensive analysis adds to other highlights of the current work. (C) 2021 Elsevier Ltd. All rights reserved.</t>
  </si>
  <si>
    <t>[Gumte, Kapil M.; Pantula, Priyanka Devi; Miriyala, Srinivas Soumitri; Mitra, Kishalay] Indian Inst Technol Hyderabad, Dept Chem Engn, Global Optimizat &amp; Knowledge Unearthing Lab, Kandi, Sangareddy 502285, Telangana, India</t>
  </si>
  <si>
    <t>Mitra, K (corresponding author), Indian Inst Technol Hyderabad, Dept Chem Engn, Global Optimizat &amp; Knowledge Unearthing Lab, Kandi, Sangareddy 502285, Telangana, India.</t>
  </si>
  <si>
    <t>Mitra, Kishalay/T-2361-2019; gumte, kapil/AGE-9923-2022</t>
  </si>
  <si>
    <t>Mitra, Kishalay/0000-0001-5660-6878; gumte, kapil/0000-0001-8151-8554</t>
  </si>
  <si>
    <t>Ministry of Human Resources Development (MHRD), Government of India [SPARC/2018-2019/P1084/SL]</t>
  </si>
  <si>
    <t>Ministry of Human Resources Development (MHRD), Government of India(Ministry of Human Resource Development (MHRD), Government of India)</t>
  </si>
  <si>
    <t>Authors like to acknowledge the support provided by the SPARC project (SPARC/2018-2019/P1084/SL) funded by the Ministry of Human Resources Development (MHRD), Government of India, for this work.</t>
  </si>
  <si>
    <t>DEC 31</t>
  </si>
  <si>
    <t>10.1016/j.ces.2021.116889</t>
  </si>
  <si>
    <t>WE7VD</t>
  </si>
  <si>
    <t>WOS:000705827800008</t>
  </si>
  <si>
    <t>Hisham, S; Makhtar, M; Aziz, AA</t>
  </si>
  <si>
    <t>Hisham, Sabri; Makhtar, Mokhairi; Aziz, Azwa Abdul</t>
  </si>
  <si>
    <t>Combining Multiple Classifiers using Ensemble Method for Anomaly Detection in Blockchain Networks: A Comprehensive Review</t>
  </si>
  <si>
    <t>INTERNATIONAL JOURNAL OF ADVANCED COMPUTER SCIENCE AND APPLICATIONS</t>
  </si>
  <si>
    <t>Blockchain; Ethereum; Bitcoin; ensemble; anomaly detection</t>
  </si>
  <si>
    <t>SMART; BITCOIN</t>
  </si>
  <si>
    <t>Blockchain is one of the most anticipated technology revolutions, with immense promise in various applications. It is a distributed and encrypted database that can address a range of challenges connected to online security and trust. While many people identify Blockchain with cryptocurrencies such as Bitcoin, it has a wide range of applications in supply chain management, health, Internet of Things (IoT), education, identity theft prevention, logistics, and the execution of digital smart contracts. Although Blockchain Technology (BT) has numerous advantages for Decentralized Applications (DApps), it is nevertheless vulnerable to abuse, smart contract failures, security, theft, trespassing, and other concerns. As a result, using Machine Learning (ML) models to detect anomalies is an excellent way to detect and safeguard blockchain networks from criminal activity. Adapting ensemble learning methods in ML to create better prediction outcomes is a viable approach for anomaly identification. Ensemble learning, as the name implies, refers to creating a stronger and more accurate classification by combining the prediction results of numerous weak models. As a result, an in-depth evaluation of ensemble learning methodologies for anomaly detection in the blockchain network ecosystem is applied in this paper. It comprises numerous ensemble methods (e.g., averaging, voting, stacking, boosting, bagging). The review collects data from three established databases, which are Scopus, Web of Science (WoS), and Google Scholar. Specific keywords are employed, such as Blockchain, Ethereum, Bitcoin, Anomaly Detection, and Ensemble Learning, employing advanced searching algorithms. The results of the search found 60 primary articles from 2017 to 2022 (30 from Scopus, 20 from the WoS, and 10 from Google Scholar). Based on these findings, we decided to divide our debate into three primary themes: (1) the fundamentals of Blockchain Technology (BT), (2) the overview of ensemble learning, and (3) the integration and analysis of ensemble learning in blockchain networks for anomaly detection. In terms of awareness and knowledge, the results are also discussed in terms of what they mean and where future research should go.</t>
  </si>
  <si>
    <t>[Hisham, Sabri; Makhtar, Mokhairi; Aziz, Azwa Abdul] Univ Sultan Zainal Abidin, Fac Informat &amp; Comp, Terengganu 22000, Malaysia</t>
  </si>
  <si>
    <t>Universiti Sultan Zainal Abidin</t>
  </si>
  <si>
    <t>Hisham, S (corresponding author), Univ Sultan Zainal Abidin, Fac Informat &amp; Comp, Terengganu 22000, Malaysia.</t>
  </si>
  <si>
    <t>SCIENCE &amp; INFORMATION SAI ORGANIZATION LTD</t>
  </si>
  <si>
    <t>WEST YORKSHIRE</t>
  </si>
  <si>
    <t>19 BOLLING RD, BRADFORD, WEST YORKSHIRE, 00000, ENGLAND</t>
  </si>
  <si>
    <t>2158-107X</t>
  </si>
  <si>
    <t>2156-5570</t>
  </si>
  <si>
    <t>INT J ADV COMPUT SC</t>
  </si>
  <si>
    <t>Int. J. Adv. Comput. Sci. Appl.</t>
  </si>
  <si>
    <t>4W0MY</t>
  </si>
  <si>
    <t>WOS:000859863000001</t>
  </si>
  <si>
    <t>Shahbazbegian, V; Hosseini-Motlagh, SM; Haeri, A</t>
  </si>
  <si>
    <t>Shahbazbegian, Vahid; Hosseini-Motlagh, Seyyed-Mahdi; Haeri, Abdorrahman</t>
  </si>
  <si>
    <t>Integrated forward/reverse logistics thin-film photovoltaic power plant supply chain network design with uncertain data</t>
  </si>
  <si>
    <t>APPLIED ENERGY</t>
  </si>
  <si>
    <t>Supply chain network design; Reverse logistics; Thin-film photovoltaic power plant; Fuzzy-robust programming; Simultaneous data envelopment analysis; K-Means clustering</t>
  </si>
  <si>
    <t>PROGRAMMING APPROACH; OPTIMIZATION MODEL; BIOMASS; MANAGEMENT; ENERGY</t>
  </si>
  <si>
    <t>Unique features of solar energy, such as the low cost of operation and low pollution, make photovoltaic power plants attractive. Despite the advantages of these power plants, such as low cost of operation and operating without pollution, their high establishment cost compared to that of the conventional fossil fuel-fired power plants prevents their rapid growth. Therefore, designing and optimizing an efficient supply chain network will help to develop the photovoltaic industry. This study proposes a bi-objective model to design and optimize a thin-film photovoltaic power plant supply chain network integrating reverse logistics. The first objective minimizes the costs of supply chain network design, which optimizes decisions from suppliers to disposal centers. The second objective maximizes the efficiency of the data envelopment analysis model to find suitable locations of facilities. As there is uncertainty in electricity demand prediction and perfect foresight is not possible, a fuzzy-robust programming approach is devised to cope with the uncertain parameters. The validity and practicality of the proposed approach are investigated by a case study based on real-world data. Finally, K-Means clustering is incorporated into the model to analyze the installed photovoltaic capacity of different cities in each period. The results show that using an optimistic approach to deal with uncertainty reduces the total cost by 20% in comparison with using a pessimistic approach. The results also provide helpful insights for decision-makers and policymakers in allocating and optimizing the operation of facilities by considering the real-world characteristics of the candidate locations.</t>
  </si>
  <si>
    <t>[Shahbazbegian, Vahid; Hosseini-Motlagh, Seyyed-Mahdi; Haeri, Abdorrahman] Shahid Beheshti Univ, Dept Elect Engn, Tehran, Iran; [Shahbazbegian, Vahid; Hosseini-Motlagh, Seyyed-Mahdi; Haeri, Abdorrahman] Iran Univ Sci &amp; Technol IUST, Sch Ind Engn, Tehran, Iran</t>
  </si>
  <si>
    <t>Shahid Beheshti University; Iran University Science &amp; Technology</t>
  </si>
  <si>
    <t>Hosseini-Motlagh, SM (corresponding author), Shahid Beheshti Univ, Dept Elect Engn, Tehran, Iran.</t>
  </si>
  <si>
    <t>v.shahbazbagian@mail.sbu.ac.ir; motlagh@iust.ac.ir; ahaeri@iust.ac.ir</t>
  </si>
  <si>
    <t>haeri, abdorahman/S-8933-2018; Hosseini-Motlagh, Seyyed-Mahdi/L-5523-2018; Shahbazbegian, Vahid/AAC-7964-2021</t>
  </si>
  <si>
    <t>Hosseini-Motlagh, Seyyed-Mahdi/0000-0003-2568-187X; Shahbazbegian, Vahid/0000-0003-2934-8310; Haeri, Abdorrahman/0000-0003-0610-8998</t>
  </si>
  <si>
    <t>0306-2619</t>
  </si>
  <si>
    <t>1872-9118</t>
  </si>
  <si>
    <t>APPL ENERG</t>
  </si>
  <si>
    <t>Appl. Energy</t>
  </si>
  <si>
    <t>10.1016/j.apenergy.2020.115538</t>
  </si>
  <si>
    <t>Energy &amp; Fuels; Engineering, Chemical</t>
  </si>
  <si>
    <t>OC8GC</t>
  </si>
  <si>
    <t>WOS:000579393800038</t>
  </si>
  <si>
    <t>Li, GD; Yamaguchi, D; Nagai, M</t>
  </si>
  <si>
    <t>Li, Guo-Dong; Yamaguchi, Daisuke; Nagai, Masatake</t>
  </si>
  <si>
    <t>A grey-based rough decision-making approach to supplier selection</t>
  </si>
  <si>
    <t>supply chain management; multiple-attribute decision-making; grey relational analysis; grey-based rough set</t>
  </si>
  <si>
    <t>HIERARCHY PROCESS; VENDOR SELECTION; MODEL</t>
  </si>
  <si>
    <t>In this paper, we propose a grey-based rough set approach to deal with the supplier selection in supply chain management. The proposed approach takes advantage of mathematical analysis power of grey system theory while at the same time utilizing data mining and knowledge discovery power of rough set theory. It is suitable to the decision-making under more uncertain environments. We also provide a viewpoint on the attribute values in rough set decision table under the condition that all alternatives are described by linguistic variables that can be expressed in grey number. The most suitable supplier can be determined by grey relational analysis based on grey number. A case of supplier selection was used to validate the proposed approach.</t>
  </si>
  <si>
    <t>[Li, Guo-Dong; Yamaguchi, Daisuke] Kanagawa Univ, Grad Sch Engn, Yokohama, Kanagawa 2218686, Japan; [Nagai, Masatake] Kanagawa Univ, Fac Engn, Yokohama, Kanagawa 2218686, Japan</t>
  </si>
  <si>
    <t>Kanagawa University; Kanagawa University</t>
  </si>
  <si>
    <t>Li, GD (corresponding author), Kanagawa Univ, Grad Sch Engn, Yokohama, Kanagawa 2218686, Japan.</t>
  </si>
  <si>
    <t>guodong_li2006@yahoo.co.jp</t>
  </si>
  <si>
    <t>9-10</t>
  </si>
  <si>
    <t>10.1007/s00170-006-0910-y</t>
  </si>
  <si>
    <t>277IZ</t>
  </si>
  <si>
    <t>WOS:000254207200020</t>
  </si>
  <si>
    <t>Fields of Action for Designing Measures to Avoid Food Losses in Logistics Networks</t>
  </si>
  <si>
    <t>food loss management; food logistics; success factors; systematic literature review; interviews</t>
  </si>
  <si>
    <t>COLD CHAIN LOGISTICS; SUPPLY CHAIN; WASTE; SYSTEMS; TRACEABILITY; QUALITY; AGRICULTURE; MANAGEMENT; FRAMEWORK; IMPACT</t>
  </si>
  <si>
    <t>The literature contains many analyses of measures against food loss. However, there exists no structured analysis of the objective of these measures. This study employs a systematic literature analysis and open expert interviews, combining the perspectives of science and practice. For each analyzed case, we identified the objectives behind the implemented measures. Using qualitative clustering, we categorized the located objectives into fields of action. The identified 13 fields of action provide an overview of the objectives of food loss prevention measures. The results indicate that different levels of importance can be assigned to these fields of action. In particular, the results show the relevance of increased network cooperation and transparency within a company and along the entire value chain. Furthermore, the study indicates that the creation of transparency provides the greatest overall added value in terms of reducing food losses.</t>
  </si>
  <si>
    <t>[Kleineidam, Julia] Tech Univ Berlin, Inst Technol &amp; Management, Chair Logist, D-10623 Berlin, Germany</t>
  </si>
  <si>
    <t>Kleineidam, J (corresponding author), Tech Univ Berlin, Inst Technol &amp; Management, Chair Logist, D-10623 Berlin, Germany.</t>
  </si>
  <si>
    <t>kleineidam@logistik.tu-berlin.de</t>
  </si>
  <si>
    <t>German Research Foundation; TU Berlin</t>
  </si>
  <si>
    <t>German Research Foundation(German Research Foundation (DFG)); TU Berlin</t>
  </si>
  <si>
    <t>I acknowledge support by the German Research Foundation and the Open Access Publication Fund of TU Berlin.</t>
  </si>
  <si>
    <t>10.3390/su12156093</t>
  </si>
  <si>
    <t>MZ4MC</t>
  </si>
  <si>
    <t>WOS:000559095600001</t>
  </si>
  <si>
    <t>Ding, L; Atallah, G; Sun, GQ</t>
  </si>
  <si>
    <t>Ding, Lei; Atallah, Gamal; Sun, Guoqiang</t>
  </si>
  <si>
    <t>GLOBAL SUPPLY CHAIN RELATIONSHIP, LOCAL MARKET COMPETITION, AND SUPPLIERS' INNOVATION IN DEVELOPING ECONOMIES</t>
  </si>
  <si>
    <t>TECHNOLOGICAL AND ECONOMIC DEVELOPMENT OF ECONOMY</t>
  </si>
  <si>
    <t>innovation; clustering; global supply chain; market competition; game theory</t>
  </si>
  <si>
    <t>APPAREL INDUSTRY; BUYER; COLLABORATION; KNOWLEDGE; SYSTEMS; STICKY; TRADE</t>
  </si>
  <si>
    <t>This article examines how suppliers' innovation in developing countries is affected by the interaction of vertical global supply chain relationships and horizontal market competition structure. We devised a bidirectional dynamic game model consisting of competing suppliers in a developing economy and an overseas buyer in a developed economy for innovation decision process in a suppliers cluster. Our research shows that global supply chain relationship is the primary factor to influence local cluster innovation and profit. Total innovation of the cluster is proved to be greater in global supply relationship with a powerful buyer than a non-powerful buyer. However, suppliers in a powerful buyer chain are not able to capture the value they created from innovation. Local competition structure plays its secondary role on cluster innovation through interaction with vertical chain relationship. Based on prior innovation research on either vertical supply chain power dynamics or horizontal competition intenseness, our study contributes as the first to employ a theoretical suppliers' innovation model for an integrative analysis encompassing both global and local power dynamics.</t>
  </si>
  <si>
    <t>[Ding, Lei; Sun, Guoqiang] Shanxi Univ Finance &amp; Econ, Fac Management Sci &amp; Engn, Taiyuan, Peoples R China; [Atallah, Gamal] Univ Ottawa, Dept Econ, Ottawa, ON, Canada</t>
  </si>
  <si>
    <t>Shanxi University Finance &amp; Economics; University of Ottawa</t>
  </si>
  <si>
    <t>Ding, L (corresponding author), Shanxi Univ Finance &amp; Econ, Fac Management Sci &amp; Engn, Taiyuan, Peoples R China.</t>
  </si>
  <si>
    <t>dlimbic@163.com</t>
  </si>
  <si>
    <t>Humanities and Social Science Research project of the Ministry of Education of China under Grant Evolution of global supply network and reembedding of small and medium suppliers [19YJA630013]; National Natural Science Foundation of China under Grant Formation Mechanism of Enterprise Network Power, Its Allocation Efficiency and Influence on Cooperative Behavior [71872014]</t>
  </si>
  <si>
    <t>Humanities and Social Science Research project of the Ministry of Education of China under Grant Evolution of global supply network and reembedding of small and medium suppliers; National Natural Science Foundation of China under Grant Formation Mechanism of Enterprise Network Power, Its Allocation Efficiency and Influence on Cooperative Behavior</t>
  </si>
  <si>
    <t>This work was supported by the Humanities and Social Science Research project of the Ministry of Education of China under Grant Evolution of global supply network and reembedding of small and medium suppliers [number 19YJA630013] and the general project of National Natural Science Foundation of China under Grant Formation Mechanism of Enterprise Network Power, Its Allocation Efficiency and Influence on Cooperative Behavior [number 71872014].</t>
  </si>
  <si>
    <t>2029-4913</t>
  </si>
  <si>
    <t>2029-4921</t>
  </si>
  <si>
    <t>TECHNOL ECON DEV ECO</t>
  </si>
  <si>
    <t>Technol. Econ. Dev. Econ.</t>
  </si>
  <si>
    <t>10.3846/tede.2021.15335</t>
  </si>
  <si>
    <t>YH1OT</t>
  </si>
  <si>
    <t>WOS:000742944500003</t>
  </si>
  <si>
    <t>Probst, WN</t>
  </si>
  <si>
    <t>Probst, Wolfgang Nikolaus</t>
  </si>
  <si>
    <t>How emerging data technologies can increase trust and transparency in fisheries</t>
  </si>
  <si>
    <t>ICES JOURNAL OF MARINE SCIENCE</t>
  </si>
  <si>
    <t>artificial intelligence; blockchain; data mining; enforcement; supply chain; traceability</t>
  </si>
  <si>
    <t>SMARTPHONE ADDICTION; MACHINE; CLASSIFICATION; INTERNET; SUPPORT; SEA</t>
  </si>
  <si>
    <t>The ubiquitous spread of digital networks has created techniques which can organize, store, and analyse large data volumes in an automized and self-administered manner in real time. These technologies will have profound impacts on policy, administration, economy, trade, society, and science. This article sketches how three digital data technologies, namely the blockchain, data mining, and artificial intelligence could impact commercial fisheries including producers, wholesalers, retailers, consumers, management authorities, and scientist. Each of these three technologies is currently experiencing an enormous boost in technological development and real-world implementation and is predicted to increasingly affect many aspects of fisheries and seafood trade. As any economic sector acting on global scales, fishing and seafood production are often challenged with a lack of trust along various steps of the production process and supply chain. Consumers are often not well informed on the origin and production methods of their product, management authorities can only partly control fishing and trading activities and producers can be challenged by low market prices and competition with peers. The emerging data technologies can improve the trust among agents within the fisheries sector by increasing transparency and availability of information from net to plate.</t>
  </si>
  <si>
    <t>[Probst, Wolfgang Nikolaus] Johann Heinrich von Thunen Inst Sea Fisheries, Herwigstr 31, D-27572 Bremerhaven, Germany</t>
  </si>
  <si>
    <t>Probst, WN (corresponding author), Johann Heinrich von Thunen Inst Sea Fisheries, Herwigstr 31, D-27572 Bremerhaven, Germany.</t>
  </si>
  <si>
    <t>nikolaus.probst@thuenen.de</t>
  </si>
  <si>
    <t>OXFORD UNIV PRESS</t>
  </si>
  <si>
    <t>GREAT CLARENDON ST, OXFORD OX2 6DP, ENGLAND</t>
  </si>
  <si>
    <t>1054-3139</t>
  </si>
  <si>
    <t>1095-9289</t>
  </si>
  <si>
    <t>ICES J MAR SCI</t>
  </si>
  <si>
    <t>ICES J. Mar. Sci.</t>
  </si>
  <si>
    <t>JUL-AUG</t>
  </si>
  <si>
    <t>10.1093/icesjms/fsz036</t>
  </si>
  <si>
    <t>Fisheries; Marine &amp; Freshwater Biology; Oceanography</t>
  </si>
  <si>
    <t>OH6QD</t>
  </si>
  <si>
    <t>WOS:000582718700003</t>
  </si>
  <si>
    <t>Li, M; Wu, Y; He, Y; Huang, S; Nair, A</t>
  </si>
  <si>
    <t>Li, Mei; Wu, Ying; He, Yi; Huang, Shuai; Nair, Anand</t>
  </si>
  <si>
    <t>Sparse Inverse Covariance Estimation: A Data Mining Technique to Unravel Holistic Patterns among Business Practices in Firms</t>
  </si>
  <si>
    <t>Bootstrapping; Business Practices; Firm Performance; Holistic Patterns; Sparse Inverse Covariance Estimation</t>
  </si>
  <si>
    <t>DATA PERTURBATION; BIG DATA; COMPLEXITY; CAPABILITIES; SELECTION; STRATEGY; TESTS; MODEL</t>
  </si>
  <si>
    <t>Firms are seeking ways to improve managerial decision making in order to enhance operational performance. However, the complexities underlying business processes often mean that operational performance depends on a multitude of factors. Yet, at times the number of empirical cases is rather limited. This presents the challenge of discerning meaningful patterns among a large number of variables that can then be used to derive generalized frameworks and mental models for decision making. In this article, we tackle this challenge with an extension of Sparse Inverse Covariance Estimation (SICE), a novel data mining technique, to address decisions in Operations and Supply Chain Management. We conduct a simulation study to validate the effectiveness of this extension in improving the accuracy and stability of pattern detection. We then apply it to an empirical dataset that is characterized by high dimension, low sample size, and lack of multivariate normal distribution. Our study pioneers the application of SICE in Operations and Supply Chain research. We also extend SICE with bootstrapping. The extended SICE is an effective technique for mining a complex empirical dataset and is a valuable aid for decision support.</t>
  </si>
  <si>
    <t>[Li, Mei; Nair, Anand] Michigan State Univ, Dept Supply Chain Management, Eli Broad Coll Business, E Lansing, MI 48824 USA; [Wu, Ying] Xi An Jiao Tong Univ, Sch Management, Dept Informat Management &amp; E Business, Xian 710049, Shanxi, Peoples R China; [He, Yi; Huang, Shuai] Univ Washington, Dept Ind &amp; Syst Engn, Seattle, WA 98195 USA</t>
  </si>
  <si>
    <t>Michigan State University; Xi'an Jiaotong University; University of Washington; University of Washington Seattle</t>
  </si>
  <si>
    <t>Li, M (corresponding author), Michigan State Univ, Dept Supply Chain Management, Eli Broad Coll Business, E Lansing, MI 48824 USA.</t>
  </si>
  <si>
    <t>Mli@msu.edu; yingwu@stu.xjtu.edu.cn; imheyi@outlook.com; Shuaih@uw.edu; nair@broad.msu.edu</t>
  </si>
  <si>
    <t>Li, Mei/0000-0001-7615-9251</t>
  </si>
  <si>
    <t>10.1111/deci.12404</t>
  </si>
  <si>
    <t>JUL 2019</t>
  </si>
  <si>
    <t>MZ8MJ</t>
  </si>
  <si>
    <t>WOS:000475115600001</t>
  </si>
  <si>
    <t>Jiang, WC; Ma, ZX; Li, SS; Xiao, H; Yang, JR</t>
  </si>
  <si>
    <t>Jiang, Wenchao; Ma, Zongxin; Li, Suisheng; Xiao, Hong; Yang, Jianren</t>
  </si>
  <si>
    <t>Privacy budget management and noise reusing in multichain environment</t>
  </si>
  <si>
    <t>INTERNATIONAL JOURNAL OF INTELLIGENT SYSTEMS</t>
  </si>
  <si>
    <t>blockchain; multiple chain structure; noise reusing; privacy budget; supply chain finance</t>
  </si>
  <si>
    <t>To solve the problem of query restriction in supply-chain financial blockchain system, this paper proposes a privacy budget management and noise reusing method in multichain blockchain environment based on Hyperledger multichannel technology and community clustering algorithm. A historical record book is established to manage the privacy budget according to historical query types, and a differential privacy protection algorithm based on noise reusing is used to generate and reusing noise. In the experiments, we tested the privacy budget loss, data utility and system performance based on the business data-set from chemical supply chain. The experimental results show that the blockchain system with multichain structure based on community clustering algorithm reduces the system data storage space and decreases request processing time effectively. The privacy budget loss of the proposed method is about 1/3 of that of the pure Gaussian mechanism method. After 100 queries, the total amount of noise is about 8% less than that of pure Gaussian mechanism. Besides that, the noise reusing algorithm reduces the loss of the privacy budget and breaks through the query limitation caused by privacy budget wasting.</t>
  </si>
  <si>
    <t>[Jiang, Wenchao; Ma, Zongxin; Li, Suisheng; Xiao, Hong] Guangdong Univ Technol, Sch Comp, Guangzhou 510006, Peoples R China; [Jiang, Wenchao; Yang, Jianren] Guangzhou Yunshuo Technol Dev Co Ltd, Guangzhou, Peoples R China</t>
  </si>
  <si>
    <t>Guangdong University of Technology</t>
  </si>
  <si>
    <t>Xiao, H (corresponding author), Guangdong Univ Technol, Sch Comp, Guangzhou 510006, Peoples R China.</t>
  </si>
  <si>
    <t>wh_red@163.com</t>
  </si>
  <si>
    <t>zongxin, ma/ABH-3000-2021; jiang, wen/GYI-9662-2022</t>
  </si>
  <si>
    <t>Key Technology Project of Foshan City in 2019 [1920001001367]; National Natural Science and Guangdong Joint Fund Project [U2001201]; Guangdong Natural Science Fund Project [2018A030313061, 2021A1515011243]; Research and Development Projects of National Key fields [2018YFB1004202]; Guangdong Science and Technology Plan Project [2019B010139001]; Guangzhou Science and Technology Plan Project [201902020016]</t>
  </si>
  <si>
    <t>Key Technology Project of Foshan City in 2019; National Natural Science and Guangdong Joint Fund Project; Guangdong Natural Science Fund Project; Research and Development Projects of National Key fields; Guangdong Science and Technology Plan Project; Guangzhou Science and Technology Plan Project</t>
  </si>
  <si>
    <t>This paper is supported by the Key Technology Project of Foshan City in 2019 (1920001001367), National Natural Science and Guangdong Joint Fund Project (U2001201), Guangdong Natural Science Fund Project (2018A030313061, 2021A1515011243), Research and Development Projects of National Key fields (2018YFB1004202), Guangdong Science and Technology Plan Project(2019B010139001) and Guangzhou Science and Technology Plan Project(201902020016).</t>
  </si>
  <si>
    <t>0884-8173</t>
  </si>
  <si>
    <t>1098-111X</t>
  </si>
  <si>
    <t>INT J INTELL SYST</t>
  </si>
  <si>
    <t>Int. J. Intell. Syst.</t>
  </si>
  <si>
    <t>10.1002/int.22619</t>
  </si>
  <si>
    <t>7K9PV</t>
  </si>
  <si>
    <t>WOS:000686945400001</t>
  </si>
  <si>
    <t>Reid, A</t>
  </si>
  <si>
    <t>Reid, Alasdair</t>
  </si>
  <si>
    <t>Closing the Affordable Housing Gap: Identifying the Barriers Hindering the Sustainable Design and Construction of Affordable Homes</t>
  </si>
  <si>
    <t>sustainable development; affordable housing; value chain; text data mining; agglomerative hierarchical clustering; barriers; design and construction</t>
  </si>
  <si>
    <t>DAR-ES-SALAAM; ENERGY EFFICIENCY; FUEL POVERTY; PREFABRICATED CONSTRUCTION; OFFSITE CONSTRUCTION; PANCREATIC-CANCER; UK HOUSEBUILDERS; SOCIAL-SCIENCES; LOCAL CONTEXT; STEEL REUSE</t>
  </si>
  <si>
    <t>Despite the commitment of the United Nations (UN) to provide everyone with equal access to basic services, the construction sector still fails to reach the production capacity and quality standards which are needed to meet the fast-growing demand for affordable homes. Whilst innovation measures are urgently needed to address the existing inefficiencies, the identification and development of the most appropriate solutions require a comprehensive understanding of the barriers obstructing the design and construction phase of affordable housing. To identify such barriers, an exploratory data mining analysis was conducted in which agglomerative hierarchical clustering made it possible to gather latent knowledge from 3566 text-based research outputs sourced from the Web of Science and Scopus. The analysis captured 83 supply-side barriers which impact the efficiency of the value chain for affordable housing provision. Of these barriers, 18 affected the design and construction phase, and after grouping them by thematic area, seven key matters of concern were identified: (1) design (not) for all, (2) homogeneity of provision, (3) unhealthy living environment, (4) inadequate construction project management, (5) environmental unsustainability, (6) placemaking, and (7) inadequate technical knowledge and skillsets. The insights which resulted from the analysis were seen to support evidence-informed decision making across the affordable housing sector. The findings suggest that fixing the inefficiencies of the affordable housing provision system will require UN Member States to accelerate the transition towards a fully sustainable design and construction process. This transition should prioritize a more inclusive and socially sensitive approach to the design and construction of affordable homes, capitalizing on the benefits of greater user involvement. In addition, transformative actions which seek to deliver more resource-efficient and environmentally friendly homes should be promoted, as well as new investments in the training and upskilling of construction professionals.</t>
  </si>
  <si>
    <t>[Reid, Alasdair] Edinburgh Napier Univ, Sch Comp Engn &amp; Built Environm, Edinburgh EH10 5DT, Scotland</t>
  </si>
  <si>
    <t>Edinburgh Napier University</t>
  </si>
  <si>
    <t>Reid, A (corresponding author), Edinburgh Napier Univ, Sch Comp Engn &amp; Built Environm, Edinburgh EH10 5DT, Scotland.</t>
  </si>
  <si>
    <t>al.reid@napier.ac.uk</t>
  </si>
  <si>
    <t>MAY 29</t>
  </si>
  <si>
    <t>10.3390/su15118754</t>
  </si>
  <si>
    <t>I7TF1</t>
  </si>
  <si>
    <t>WOS:001004766700001</t>
  </si>
  <si>
    <t>Song, RL; Hu, H</t>
  </si>
  <si>
    <t>Song, Ruilin; Hu, Hui</t>
  </si>
  <si>
    <t>Impact of green technology innovation based on IoT and industrial supply chain on the promotion of enterprise digital economy</t>
  </si>
  <si>
    <t>PEERJ COMPUTER SCIENCE</t>
  </si>
  <si>
    <t>IoT; Supply chain management; Green innovation; Digital economy; PSO-SVM; Data mining and machine learning</t>
  </si>
  <si>
    <t>DYNAMICS</t>
  </si>
  <si>
    <t>With the gradual deterioration of the natural environment, a green economy has become a competing goal for all countries. As a trend of green innovation development, the digital economy has become a research hotspot for scientists. In this article, we study the supply chain management of enterprises in green innovation and digital economy development and complete the identification and demand prediction of warehouse goods through the Internet of Things (IoT) and artificial intelligence (AI). As the stuff meets the goods detection and storage, we employ an intelligent method to detect and classify the goods. The demand prediction analysis is carried out based on historical data on goods demand in the enterprise. The absolute error between the prediction result and the actual demand within 1 week is less than 30 goods by the particle swarm optimization-support vector machine (PSO-SVM) method used in this article. First, the goods identification task is completed based on video surveillance data using YOLOv4, and the recognition rate is as high as 98.3%. This article realises enterprises' intelligent supply chain management through the intelligent identification of goods and the demand forecasting analysis of goods in the warehouse, which provides new ideas for green innovation and digital economy development.</t>
  </si>
  <si>
    <t>[Song, Ruilin; Hu, Hui] Wuhan City Coll, Econ &amp; Management Div, Wuhan, Hube, Peoples R China; [Song, Ruilin; Hu, Hui] Hubei Sci &amp; Technol Innovat High Qual Dev Res Ctr, Wuhan, Hubei, Peoples R China</t>
  </si>
  <si>
    <t>Song, RL (corresponding author), Wuhan City Coll, Econ &amp; Management Div, Wuhan, Hube, Peoples R China.;Song, RL (corresponding author), Hubei Sci &amp; Technol Innovat High Qual Dev Res Ctr, Wuhan, Hubei, Peoples R China.</t>
  </si>
  <si>
    <t>song_1301419@163.com</t>
  </si>
  <si>
    <t>Plan Project of the Colleges' Science and Technology Innovation Team in Hubei [T2021050]; Science Research Project of Wuhan City College [2022CYYBKY05]</t>
  </si>
  <si>
    <t>Plan Project of the Colleges' Science and Technology Innovation Team in Hubei; Science Research Project of Wuhan City College</t>
  </si>
  <si>
    <t>This work is funded by the Plan Project of the Colleges' Science and Technology Innovation Team in Hubei (NO. T2021050) and the Science Research Project of Wuhan City College (NO. 2022CYYBKY05). The funders had no role in study design, data collection and analysis, decision to publish, or preparation of the manuscript.</t>
  </si>
  <si>
    <t>PEERJ INC</t>
  </si>
  <si>
    <t>341-345 OLD ST, THIRD FLR, LONDON, EC1V 9LL, ENGLAND</t>
  </si>
  <si>
    <t>2376-5992</t>
  </si>
  <si>
    <t>PEERJ COMPUT SCI</t>
  </si>
  <si>
    <t>PeerJ Comput. Sci.</t>
  </si>
  <si>
    <t>MAY 30</t>
  </si>
  <si>
    <t>e1416</t>
  </si>
  <si>
    <t>10.7717/peerj-cs.1416</t>
  </si>
  <si>
    <t>Computer Science, Artificial Intelligence; Computer Science, Information Systems; Computer Science, Theory &amp; Methods</t>
  </si>
  <si>
    <t>J3NA5</t>
  </si>
  <si>
    <t>WOS:001008699800001</t>
  </si>
  <si>
    <t>Barzizza, E; Biasetton, N; Ceccato, R; Salmaso, L</t>
  </si>
  <si>
    <t>Barzizza, Elena; Biasetton, Nicolo; Ceccato, Riccardo; Salmaso, Luigi</t>
  </si>
  <si>
    <t>Big Data Analytics and Machine Learning in Supply Chain 4.0: A Literature Review</t>
  </si>
  <si>
    <t>STATS</t>
  </si>
  <si>
    <t>Supply Chain 4; 0; machine learning; big data analytics; advantages; disadvantages; area of application; nonparametric statistics; sentiment analysis</t>
  </si>
  <si>
    <t>MANAGEMENT; LOGISTICS</t>
  </si>
  <si>
    <t>Owing to the development of the technologies of Industry 4.0, recent years have witnessed the emergence of a new concept of supply chain management, namely Supply Chain 4.0 (SC 4.0). Huge investments in information technology have enabled manufacturers to trace the intangible flow of information, but instruments are required to take advantage of the available data sources: big data analytics (BDA) and machine learning (ML) represent important tools for this task. Use of advanced technologies can improve supply chain performances and support reaching strategic goals, but their implementation is challenging in supply chain management. The aim of this study was to understand the main benefits, challenges, and areas of application of BDA and ML in SC 4.0 as well as to understand the BDA and ML techniques most commonly used in the field, with a particular focus on nonparametric techniques. To this end, we carried out a literature review. From our analysis, we identified three main gaps, namely, the need for appropriate analytical tools to manage challenging data configurations; the need for a more reliable link with practice; the need for instruments to select the most suitable BDA or ML techniques. As a solution, we suggest and comment on two viable solutions: nonparametric statistics, and sentiment analysis and clustering.</t>
  </si>
  <si>
    <t>[Barzizza, Elena; Biasetton, Nicolo; Ceccato, Riccardo; Salmaso, Luigi] Univ Padua, Dept Management Engn, I-35100 Padua, Italy</t>
  </si>
  <si>
    <t>University of Padua</t>
  </si>
  <si>
    <t>Salmaso, L (corresponding author), Univ Padua, Dept Management Engn, I-35100 Padua, Italy.</t>
  </si>
  <si>
    <t>luigi.salmaso@unipd.it</t>
  </si>
  <si>
    <t>Ceccato, Riccardo/0000-0002-8629-8439</t>
  </si>
  <si>
    <t>European Union Next-GenerationEU; [PE00000004]; [1.3-D.D. 1551.11-10-2022]</t>
  </si>
  <si>
    <t>European Union Next-GenerationEU(European Union (EU)); ;</t>
  </si>
  <si>
    <t>This study was carried out within the MICS (Made in Italy-Circular and Sustainable) Extended Partnership and received funding from the European Union Next-GenerationEU (PIANO NAZIONALE DI RIPRESA E RESILIENZA (PNRR)-MISSIONE 4 COMPONENTE 2, INVESTIMENTO 1.3-D.D. 1551.11-10-2022, PE00000004). This manuscript reflects only the authors' views and opinions; neither the European Union nor the European Commission can be considered responsible for them.</t>
  </si>
  <si>
    <t>2571-905X</t>
  </si>
  <si>
    <t>STATS-BASEL</t>
  </si>
  <si>
    <t>Stats</t>
  </si>
  <si>
    <t>10.3390/stats6020038</t>
  </si>
  <si>
    <t>Mathematics, Interdisciplinary Applications; Statistics &amp; Probability</t>
  </si>
  <si>
    <t>K7AM0</t>
  </si>
  <si>
    <t>WOS:001017930700001</t>
  </si>
  <si>
    <t>Leech, S; Dunne, J; Malone, D</t>
  </si>
  <si>
    <t>Leech, Sonya; Dunne, Jonathan; Malone, David</t>
  </si>
  <si>
    <t>A Framework to Model Bursty Electronic Data Interchange Messages for Queueing Systems</t>
  </si>
  <si>
    <t>EDI; performance; parametric; distribution modelling; KDE; supply chain; quantization; transaction modelling; B2B</t>
  </si>
  <si>
    <t>SUPPLY CHAIN; INDUSTRY 4.0; IMPACT</t>
  </si>
  <si>
    <t>Within a supply chain organisation, where millions of messages are processed, reliability and performance of message throughput are important. Problems can occur with the ingestion of messages; if they arrive more quickly than they can be processed, they can cause queue congestion. This paper models data interchange (EDI) messages. We sought to understand how best DevOps should model these messages for performance testing and how best to apply smart EDI content awareness that enhance the realms of Ambient Intelligence (Aml) with a Business-to business (B2B) supply chain organisation. We considered key performance indicators (KPI) for over- or under-utilisation of these queueing systems. We modelled message service and inter-arrival times, partitioned data along various axes to facilitate statistical modelling and used continuous parametric and non-parametric techniques. Our results include the best fit for parametric and non-parametric techniques. We noted that a one-size-fits-all model is inappropriate for this heavy-tailed enterprise dataset. Our results showed that parametric distribution models were suitable for modelling the distribution's tail, whilst non-parametric kernel density estimation models were better suited for modelling the head of a distribution. Depending on how we partitioned our data along the axes, our data suffer from quantisation noise.</t>
  </si>
  <si>
    <t>[Leech, Sonya; Malone, David] Maynooth Univ, Dept Math &amp; Stat, Co Kildare R51 A021, Ireland; [Leech, Sonya; Malone, David] Maynooth Univ, Hamilton Inst, Co Kildare R51 A021, Ireland; [Dunne, Jonathan] AI Applicat, IBM Dublin Technol Campus,Damastown Ind Estate, Mulhuddart Dublin 15, Ireland</t>
  </si>
  <si>
    <t>Leech, S (corresponding author), Maynooth Univ, Dept Math &amp; Stat, Co Kildare R51 A021, Ireland.;Leech, S (corresponding author), Maynooth Univ, Hamilton Inst, Co Kildare R51 A021, Ireland.</t>
  </si>
  <si>
    <t>sonya.leech.2021@mumail.ie; Jonathan_Dunne@ie.ibm.com; david.malone@mu.ie</t>
  </si>
  <si>
    <t>Malone, David/F-5927-2011</t>
  </si>
  <si>
    <t>Malone, David/0000-0002-6947-586X; leech, sonya/0000-0003-1728-4567</t>
  </si>
  <si>
    <t>10.3390/fi14050149</t>
  </si>
  <si>
    <t>1Q2TF</t>
  </si>
  <si>
    <t>WOS:000802545900001</t>
  </si>
  <si>
    <t>Khan, IA; Moustafa, N; Pi, DC; Hussain, Y; Khan, NA</t>
  </si>
  <si>
    <t>Khan, Izhar Ahmed; Moustafa, Nour; Pi, Dechang; Hussain, Yasir; Khan, Nauman Ali</t>
  </si>
  <si>
    <t>DFF-SC4N: A Deep Federated Defence Framework for Protecting Supply Chain 4.0 Networks</t>
  </si>
  <si>
    <t>IEEE TRANSACTIONS ON INDUSTRIAL INFORMATICS</t>
  </si>
  <si>
    <t>Anomaly detection; federated learning; Internet of Things (IoT); supply chain 4.0</t>
  </si>
  <si>
    <t>INDUSTRIAL INTERNET; INTELLIGENCE</t>
  </si>
  <si>
    <t>The management of contemporary communication networks of supply chain (SC) 4.0 is becoming more complex due to the heterogeneity requirements of new devices concerning the integration of the Internet of Things in the legacy industry networks. Hence, it becomes a challenging task to secure networks of SC 4.0 from cyber-attacks and provide a robust and efficient defence framework that can resist sophisticated attacks. Machine learning-based intelligent detection algorithms are often trained at either a centralized or single server, which makes it difficult to train an effective model and also it violates privacy concerns if gathering data from other servers at the edge. Classical machine learning approaches function on the legacy group of data placed on a central or single server, which brands it the least favored choice for supply chain networks, with data privacy issues. To address these problems, this article proposes a federated learning-based efficient detection model named, DFF-SC4N, to proactively identify intrusions from SC 4.0 networks using distributed local data training. DFF-SC4N uses communication rounds in a federated learning manner having gated recurrent units by only sharing the learned parameters and keeps the data intact on local servers. The accuracy of the global model is optimized by an aggregating model, which updates from multiple servers and multiple SC 4.0 networks. Extensive experiments on real industrial network data demonstrate that the DFF-SC4N outperforms both centralized training models and state-of-the-art peer methods in protecting SC 4.0 networks.</t>
  </si>
  <si>
    <t>[Khan, Izhar Ahmed; Pi, Dechang; Hussain, Yasir] Nanjing Univ Aeronaut &amp; Astronaut, Coll Comp Sci &amp; Technol, Nanjing 211106, Peoples R China; [Moustafa, Nour] Univ New South Wales ADFA, Sch Engn &amp; Informat Technol, Campbell, ACT 2612, Australia; [Khan, Nauman Ali] Univ Sci &amp; Technol China, Dept Commun &amp; Informat Syst, Hefei 230052, Anhui, Peoples R China</t>
  </si>
  <si>
    <t>Nanjing University of Aeronautics &amp; Astronautics; University of New South Wales Sydney; Chinese Academy of Sciences; University of Science &amp; Technology of China, CAS</t>
  </si>
  <si>
    <t>Pi, DC (corresponding author), Nanjing Univ Aeronaut &amp; Astronaut, Coll Comp Sci &amp; Technol, Nanjing 211106, Peoples R China.</t>
  </si>
  <si>
    <t>izhar@nuaa.edu.cn; nour.moustafa@unsw.edu.au; dc.pi@nuaa.edu.cn; yaxirhuxxain@nuaa.edu.cn; knomix@mail.ustc.edu.cn</t>
  </si>
  <si>
    <t>Moustafa, Nour/Z-1160-2018; Khan, Izhar Ahmed/ABD-3752-2021</t>
  </si>
  <si>
    <t>Moustafa, Nour/0000-0001-6127-9349; Khan, Izhar Ahmed/0000-0001-7180-8179; Ali Khan, Nauman/0000-0002-7940-1960; Pi, Dechang/0000-0002-6593-4563</t>
  </si>
  <si>
    <t>National Natural Science Foundation of China [U1433116]</t>
  </si>
  <si>
    <t>This work was supported by the National Natural Science Foundation of China under Grant U1433116. Paper no. TII-21-2604.(Corresponding author: Dechang Pi.)</t>
  </si>
  <si>
    <t>1551-3203</t>
  </si>
  <si>
    <t>1941-0050</t>
  </si>
  <si>
    <t>IEEE T IND INFORM</t>
  </si>
  <si>
    <t>IEEE Trans. Ind. Inform.</t>
  </si>
  <si>
    <t>10.1109/TII.2021.3108811</t>
  </si>
  <si>
    <t>Automation &amp; Control Systems; Computer Science, Interdisciplinary Applications; Engineering, Industrial</t>
  </si>
  <si>
    <t>C9ZU5</t>
  </si>
  <si>
    <t>WOS:000965423100001</t>
  </si>
  <si>
    <t>Sultan, AM; Mativenga, PT</t>
  </si>
  <si>
    <t>Sultan, Al Amin Mohamed; Mativenga, Paul Tarisai</t>
  </si>
  <si>
    <t>Sustainable Location Identification Decision Protocol (SuLIDeP) for determining the location of recycling centres in a circular economy</t>
  </si>
  <si>
    <t>Circular economy; Supply chain complexity; Centre-of-gravity; Composites; Recycling location; Clustering optimisation</t>
  </si>
  <si>
    <t>EXTENDED PRODUCER RESPONSIBILITY; SUPPLY CHAIN; RESOURCE EFFICIENCY; ALGORITHM; MODEL</t>
  </si>
  <si>
    <t>Landfill restrictions on certain materials and products have provided the impetus to seek for a more sustainable utilisation of waste in a circular economy. These restrictions compounded with legislation and value factors necessitate an urgent solution to address the issue of carbon or glass fibre reinforced composite waste disposal. There is currently no mutual agreement on waste ownership among stakeholders. This study examined composite manufacturers in the United Kingdom and determined the waste volumes available within these companies. A new approach that combined mathematical modelling of supply chain complexity, centre-of-gravity method and K-Means algorithm was developed to determine the optimum location of third parties that could process waste for a number of supply chain providers. The paper is a presentation of new knowledge and proposes a scientific approach for identifying possible optimum locations for recycling centres. More significantly, this process could be used for clustering and reducing supply chains complexity to enable the setting up of multiple and optimally located recycling centres. The results have indicated that the approach could minimise carbon footprint and greenhouse gas emission associated with transporting cores or waste to processing centres. This work is of generic importance that could be implemented across other waste and aspects of a circular economy such as remanufacturing. (C) 2019 Elsevier Ltd. All rights reserved.</t>
  </si>
  <si>
    <t>[Sultan, Al Amin Mohamed] Univ Teknikal Malaysia Melaka, AMC, FKP, Melaka 76100, Malaysia; [Mativenga, Paul Tarisai] Univ Manchester, Sch Mech Aerosp &amp; Civil Engn, Manchester M13 9PL, Lancs, England</t>
  </si>
  <si>
    <t>University Teknikal Malaysia Melaka; Universiti Teknologi Malaysia; University of Manchester</t>
  </si>
  <si>
    <t>Sultan, AM (corresponding author), Univ Teknikal Malaysia Melaka, AMC, FKP, Melaka 76100, Malaysia.</t>
  </si>
  <si>
    <t>alamin@utem.edu.my</t>
  </si>
  <si>
    <t>Mohamed Sultan, Al Amin bin/V-6255-2019</t>
  </si>
  <si>
    <t>Mohamed Sultan, Al Amin bin/0000-0001-7063-2706</t>
  </si>
  <si>
    <t>Universiti Teknikal Malaysia Melaka (UTeM); Ministry of Education Malaysia</t>
  </si>
  <si>
    <t>The first author acknowledges the Universiti Teknikal Malaysia Melaka (UTeM) and Ministry of Education Malaysia for the doctoral studies scholarship. Special thanks to all the participating companies in the United Kingdom and the senior managers that dedicated their time to complete the questionnaire.</t>
  </si>
  <si>
    <t>JUN 20</t>
  </si>
  <si>
    <t>10.1016/j.jclepro.2019.03.104</t>
  </si>
  <si>
    <t>HV8SF</t>
  </si>
  <si>
    <t>WOS:000466253100043</t>
  </si>
  <si>
    <t>Cao, Y; Tian, T; Wei, WY; Huang, L; Wu, YJ</t>
  </si>
  <si>
    <t>Cao, Yan; Tian, Tian; Wei, Wanyu; Huang, Liang; Wu, Yujia</t>
  </si>
  <si>
    <t>Analysis of Minimum Cost of Supply Chain Emergencies Based on Diffusion Path Processing</t>
  </si>
  <si>
    <t>In view of the complexity and severity of the impact of supply chain emergencies on enterprise economy, this paper proposes modular processing to improve the design structure matrix (DMS), and the designed clustering algorithm is used to perform cluster analysis of the improved DMS, to predict the possible diffusion path of emergencies, and to establish the critical event diffusion path planning model by designing the critical event diffusion path storage method. As in the case data of a certain type of servo motor of the H Company, after data screening, the diffusion path is classified and stored by analyzing the relationship between each member of the supply chain network. Secondly, the same group of data is put into the method of this paper and other scholars' to calculate the minimum cost of emergency response in time.</t>
  </si>
  <si>
    <t>[Cao, Yan; Tian, Tian; Wei, Wanyu; Huang, Liang; Wu, Yujia] Xian Technol Univ, Mechatron Engn, Xian 710021, Peoples R China</t>
  </si>
  <si>
    <t>Xi'an Technological University</t>
  </si>
  <si>
    <t>Cao, Y (corresponding author), Xian Technol Univ, Mechatron Engn, Xian 710021, Peoples R China.</t>
  </si>
  <si>
    <t>caoyan@xatu.edu.cn</t>
  </si>
  <si>
    <t>黄, 亮/HKN-1806-2023; wu, yujia/ISB-0310-2023</t>
  </si>
  <si>
    <t>Cao, Yan/0000-0002-2959-5533</t>
  </si>
  <si>
    <t>National Natural Science Foundation of China (NSFC) [51705392]; Project of 2018 Shaanxi Province Key Research and Development [2018ZDXM-GY-077]</t>
  </si>
  <si>
    <t>National Natural Science Foundation of China (NSFC)(National Natural Science Foundation of China (NSFC)); Project of 2018 Shaanxi Province Key Research and Development</t>
  </si>
  <si>
    <t>This research was funded by the National Natural Science Foundation of China (NSFC) under grant no. 51705392 and the Project of 2018 Shaanxi Province Key Research and Development under grant no. 2018ZDXM-GY-077.</t>
  </si>
  <si>
    <t>JUL 16</t>
  </si>
  <si>
    <t>10.1155/2020/4250375</t>
  </si>
  <si>
    <t>MV5OP</t>
  </si>
  <si>
    <t>WOS:000556407400003</t>
  </si>
  <si>
    <t>Whyman, PB</t>
  </si>
  <si>
    <t>Whyman, Philip B.</t>
  </si>
  <si>
    <t>The local economic impact of shale gas extraction</t>
  </si>
  <si>
    <t>REGIONAL STUDIES</t>
  </si>
  <si>
    <t>local economic impact; North West economy; multiplier; shale gas extraction; supply chain; clustering</t>
  </si>
  <si>
    <t>KEYNESIAN INCOME MULTIPLIERS; RURAL-DEVELOPMENT; PATH DEPENDENCE; INNOVATION; GEOGRAPHY; ENERGY</t>
  </si>
  <si>
    <t>The local economic impact of shale gas extraction. Regional Studies. Advocates of UK shale gas expansion have focused upon predicted national economic benefits, but the local and/or regional impact has been largely neglected. This paper seeks to address this deficit by creating a unique dataset, combining industry data with consumer and supply-chain surveys, thereby overcoming the current absence of suitable secondary data. Local economic impact in the Bowland field is estimated via a simple Keynesian local-income multiplier model. Results emphasize the importance of facilitating local employment opportunities, through skills initiatives, and the development of regional supply chain clusters, to anchor economic benefits within the local economy. Policy implications are discussed.</t>
  </si>
  <si>
    <t>[Whyman, Philip B.] Univ Cent Lancashire, Lancashire Inst Econ &amp; Business Res LIEBR, Lancashire Business Sch, Preston, Lancs, England</t>
  </si>
  <si>
    <t>University of Central Lancashire</t>
  </si>
  <si>
    <t>Whyman, PB (corresponding author), Univ Cent Lancashire, Lancashire Inst Econ &amp; Business Res LIEBR, Lancashire Business Sch, Preston, Lancs, England.</t>
  </si>
  <si>
    <t>PBWhyman@uclan.ac.uk</t>
  </si>
  <si>
    <t>Whyman, Philip/0000-0002-3926-1019</t>
  </si>
  <si>
    <t>Cuadrilla Resources</t>
  </si>
  <si>
    <t>The author thanks Cuadrilla Resources for its sponsorship of an earlier consultancy contract and for access to the corporate data in order to facilitate the accuracy of the impact calculations contained within this paper.</t>
  </si>
  <si>
    <t>0034-3404</t>
  </si>
  <si>
    <t>1360-0591</t>
  </si>
  <si>
    <t>REG STUD</t>
  </si>
  <si>
    <t>Reg. Stud.</t>
  </si>
  <si>
    <t>10.1080/00343404.2017.1315395</t>
  </si>
  <si>
    <t>Economics; Environmental Studies; Geography; Regional &amp; Urban Planning</t>
  </si>
  <si>
    <t>Business &amp; Economics; Environmental Sciences &amp; Ecology; Geography; Public Administration</t>
  </si>
  <si>
    <t>FT8SP</t>
  </si>
  <si>
    <t>WOS:000423423800003</t>
  </si>
  <si>
    <t>Srivastava, R; Zhang, JZ; Eachempati, P</t>
  </si>
  <si>
    <t>Srivastava, Ranjan; Zhang, Justin Zuopeng; Eachempati, Prajwal</t>
  </si>
  <si>
    <t>Blockchain technology and its applications in agriculture and supply chain management: a retrospective overview and analysis</t>
  </si>
  <si>
    <t>Blockchain; agriculture; supply chain management; bibliometric analysis; thematic evolution; keyword co-occurrences; clustering; network analysis</t>
  </si>
  <si>
    <t>BIG DATA ANALYTICS; BIBLIOMETRIC ANALYSIS; ENERGY-CONSUMPTION; CLOUD; IMPACT; INTERNET; THINGS; INTELLIGENCE; ADOPTION; SCOPUS</t>
  </si>
  <si>
    <t>The paper undertakes a bibliometric study to analyse and identify emerging themes for future research in blockchain technology, focusing on agriculture and supply chain management domains. A sample of 1322 articles from Web of Science for 2015-2020 is the basis of the study. The publications are grouped into five clusters, of which Cluster 1 is consistently dominant in the Information Systems publication landscape. Clusters 2, 3, and 4 are evolving, and topics with scant coverage are primarily in Cluster 5, indicating saturation in the area of interdisciplinary studies. The results provide valuable insights for potential contributors and global audiences.</t>
  </si>
  <si>
    <t>[Srivastava, Ranjan] Indian Inst Management Rohtak, It Syst, Rohtak, Haryana, India; [Zhang, Justin Zuopeng] Univ North Florida, Coggin Coll Business, Jacksonville, FL 32003 USA; [Eachempati, Prajwal] Trinity Coll Dublin, Trinity Business Sch, Coll Green, Dublin, Ireland</t>
  </si>
  <si>
    <t>Indian Institute of Management (IIM System); Indian Institute of Management Rohtak; State University System of Florida; University of North Florida; Trinity College Dublin</t>
  </si>
  <si>
    <t>Zhang, JZ (corresponding author), Univ North Florida, Coggin Coll Business, Jacksonville, FL 32003 USA.</t>
  </si>
  <si>
    <t>justin.zhang@unf.edu</t>
  </si>
  <si>
    <t>Zhang, Justin/M-9298-2019</t>
  </si>
  <si>
    <t>Zhang, Justin/0000-0002-4074-9505; Srivastava, Praveen Ranjan/0000-0001-7467-5500</t>
  </si>
  <si>
    <t>10.1080/17517575.2021.1995783</t>
  </si>
  <si>
    <t>C3ZL7</t>
  </si>
  <si>
    <t>WOS:000712130500001</t>
  </si>
  <si>
    <t>Susanty, A; Puspitasari, NB; Prastawa, H; Renaldi, SV</t>
  </si>
  <si>
    <t>Susanty, Aries; Puspitasari, Nia Budi; Prastawa, Heru; Renaldi, Stellya Veronica</t>
  </si>
  <si>
    <t>Exploring the best policy scenario plan for the dairy supply chain: a DEMATEL approach</t>
  </si>
  <si>
    <t>Data analysis; Supply chain management; Data mining; Causal relationship diagram; DEMATEL; Delphi; Dairy supply chain</t>
  </si>
  <si>
    <t>PERFORMANCE; INDONESIA</t>
  </si>
  <si>
    <t>Purpose This research primarily aims to find and analyse the interaction among success factors for improving the performance of Indonesia's dairy milk supply chain. Further, this research aims to formulate the right policies for improving the performance of the chain based on the success factor that belongs to cause groups. Design/methodology/approach The paper analyses 10 success factors for improving the performance of the Indonesian dairy supply chain with the decision-making trial and evaluation laboratory (DEMATEL) method and analyses the Delphi method to formulate the right policies for improving performance. Findings There are four important influencing factors that directly impact the overall system, i.e. the number of dairy cattle import, national milk demand, the total number of dairy farmers and the number of dairy cattle ownership or herd size. Several alternative policies have been designed by several experts according to the influencing factors, i.e. the government assists in the procurement of imported cattle, provides financial assistance to farmers in the form of low-interest financing, improves the partnership system between farmers and dairy cooperatives, provides a reward system for the farmers and increases the level of formality of contract between the farmers and cooperatives. Research limitations/implications Interrelationships of each success factor and the most important influencing success factors could not be generally determined because it depends on the point of view of the experts. Future research can apply the success factors proposed by this research to the different dairy milk supply chain. Then, this research used only nine experts for formulating alternative policies. Future research may repeat this method using multiple experts to justify the validity of the research. Moreover, this research only explored 21 success factors of the increase in the performance of the Indonesian dairy supply chain. Future research should consider not only the supply side and number of dairy cattle but also several success factors from the causal relationship diagram in the broader dairy milk supply chain. Practical implications This research provides essential insights for policymakers, as they have to understand and evaluate the success factors before formulating several alternative policies. Social implications The research has revealed that the right alternative policies can be designed, as the causal factor has been known. Originality/value This research contributes to applying a combination of causal relationship diagram of System Dynamic and DEMATEL method as a qualitative and quantitative method in one integrated way through performance dairy supply chain analysis. As a result, this research draws a policy for the dairy supply chain referring to the success factor as a cause for the low performance of the Indonesian dairy supply chain.</t>
  </si>
  <si>
    <t>[Susanty, Aries; Puspitasari, Nia Budi; Prastawa, Heru; Renaldi, Stellya Veronica] Diponegoro Univ, Dept Ind Engn, Semarang, Indonesia</t>
  </si>
  <si>
    <t>Diponegoro University</t>
  </si>
  <si>
    <t>Susanty, A (corresponding author), Diponegoro Univ, Dept Ind Engn, Semarang, Indonesia.</t>
  </si>
  <si>
    <t>ariessusanty@gmail.com; niabudipuspitasari@gmail.com; heru.prastawa@gmail.com; stellyavr@gmail.com</t>
  </si>
  <si>
    <t>Puspitasari, Nia Budi/GQR-1091-2022; susanty, aries/Q-2267-2015; Prastawa, Heru/AAD-4395-2021</t>
  </si>
  <si>
    <t>Puspitasari, Nia Budi/0000-0003-3141-8138; susanty, aries/0000-0003-0601-5206;</t>
  </si>
  <si>
    <t>APR 7</t>
  </si>
  <si>
    <t>10.1108/JM2-08-2019-0185</t>
  </si>
  <si>
    <t>RJ9QG</t>
  </si>
  <si>
    <t>WOS:000552139400001</t>
  </si>
  <si>
    <t>Prabhu, M; Srivastava, AK</t>
  </si>
  <si>
    <t>Prabhu, Mahesh; Srivastava, Amit Kumar</t>
  </si>
  <si>
    <t>Leadership and supply chain management: a systematic literature review</t>
  </si>
  <si>
    <t>Systematic literature review; Leadership; Supply chain management; Cluster analysis; Thematic analysis</t>
  </si>
  <si>
    <t>TRANSFORMATIONAL LEADERSHIP; QUALITY MANAGEMENT; FINANCIAL PERFORMANCE; OPERATIONAL PRACTICES; FIRM PERFORMANCE; MODERATING ROLE; ANTECEDENTS; IMPACT; INTEGRATION; FRAMEWORK</t>
  </si>
  <si>
    <t>Purpose This study aims to analyze the state of knowledge on the relationship between leadership and the firm's supply chain. The study identifies and examines the existing literature, unveils research gaps and suggests future research directions. Design/methodology/approach Adopting a systematic review process, a total of 110 articles published in top-ranked academic journals (A* and A category as per ABDC-2019 list) were analyzed. Descriptive, cluster, thematic and regression analyses of citations were performed to garner insights. Findings The review outcome shows an upward trend of articles studying the influence of leadership in the supply chain. With the highest number of articles, developed countries and manufacturing companies have been the research contexts of the research studies. Clustering reveals eight significant areas where the leader's involvement in the supply chain is discussed, with several sub-themes emerging within each cluster. Finally, the regression analysis of citations shows that only the journal's quality matters the most in receiving the highest citation for the articles. Research limitations/implications As this study considered only A* and A-ranked journals of the ABDC-2019 list, there is a risk of excluding some relevant articles. Originality/value While the current literature deliberates on recent trends in the supply chain, such as the application of Industry 4.0 practices, this review revolves around the classical theme of leadership and demonstrates its importance in the supply chain. The study is among the first to conduct a bibliometric analysis of articles deliberating on leadership and supply chain issues by grouping the articles into clusters and themes. In the end, the clusters and themes were conceptualized into the House of Supply Chain Leadership, of which leadership forms the foundation.</t>
  </si>
  <si>
    <t>[Prabhu, Mahesh] Manipal Inst Technol, Dept Humanities &amp; Management, Manipal, Karnataka, India; [Prabhu, Mahesh] Manipal Acad Higher Educ MAHE, TA Pai Management Inst TAPMI, Constituent Inst, Manipal, Karnataka, India; [Srivastava, Amit Kumar] Indian Inst Management, Bodh Gaya, India</t>
  </si>
  <si>
    <t>Manipal Academy of Higher Education (MAHE); Manipal Academy of Higher Education (MAHE); Indian Institute of Management (IIM System); Indian Institute of Management Bodh Gaya</t>
  </si>
  <si>
    <t>Prabhu, M (corresponding author), Manipal Inst Technol, Dept Humanities &amp; Management, Manipal, Karnataka, India.;Prabhu, M (corresponding author), Manipal Acad Higher Educ MAHE, TA Pai Management Inst TAPMI, Constituent Inst, Manipal, Karnataka, India.</t>
  </si>
  <si>
    <t>prabhumahesh12@gmail.com</t>
  </si>
  <si>
    <t>Prabhu, Mahesh/V-3590-2019; Prabhu, Mahesh/IWE-3950-2023; PAPADOPOULOS, EFSTATHIOS/AFM-9422-2022</t>
  </si>
  <si>
    <t>Prabhu, Mahesh/0000-0002-4022-2615;</t>
  </si>
  <si>
    <t>MAR 31</t>
  </si>
  <si>
    <t>10.1108/JM2-03-2021-0079</t>
  </si>
  <si>
    <t>C3HA2</t>
  </si>
  <si>
    <t>WOS:000749846900001</t>
  </si>
  <si>
    <t>Lam, HL; Varbanov, P; Klemes, J</t>
  </si>
  <si>
    <t>Lam, Hon Loong; Varbanov, Petar; Klemes, Jiri</t>
  </si>
  <si>
    <t>Minimising carbon footprint of regional biomass supply chains</t>
  </si>
  <si>
    <t>RESOURCES CONSERVATION AND RECYCLING</t>
  </si>
  <si>
    <t>11th Conference on Process Integration, Modelling and Optimisation for Energy Saving and Pollution Reduction</t>
  </si>
  <si>
    <t>AUG 24-28, 2008</t>
  </si>
  <si>
    <t>Prague, CZECH REPUBLIC</t>
  </si>
  <si>
    <t>Regional Energy Clustering; Biomass supply chain; Carbon footprint minimisation</t>
  </si>
  <si>
    <t>ENERGY; BIODIVERSITY; WASTE</t>
  </si>
  <si>
    <t>A new method for regional energy targeting and supply chain synthesis is presented. A demand-driven approach is applied to assess the feasible ways for transferring energy from renewable sources to customers in a given region. The studied region is partitioned into a number of clusters by using the developed Regional Energy Clustering (REC) algorithm. The REC targets aim at minimising the system carbon footprint (CFP). The biomass energy supply and management are targeted using new graphical representations. Regional Energy Surplus-Deficit Curves (RESDC) visualises the formation and the sizes of introduced energy clusters. Regional Resource Management Composite Curve (RRMCC) an analogy of the Process Integration approach shows the energy imbalances helping in trading-off resources management. These graphical tools provide straightforward information of how to manage the surplus resources (biomass and land use) in a region. (C) 2009 Elsevier B.V. All rights reserved.</t>
  </si>
  <si>
    <t>[Lam, Hon Loong; Varbanov, Petar; Klemes, Jiri] Univ Pannonia, Fac Informat Technol, CPI2, Res Inst Chem &amp; Proc Engn, H-8200 Veszprem, Hungary</t>
  </si>
  <si>
    <t>University of Pannonia</t>
  </si>
  <si>
    <t>Lam, HL (corresponding author), Univ Pannonia, Fac Informat Technol, CPI2, Res Inst Chem &amp; Proc Engn, Egytem U 10, H-8200 Veszprem, Hungary.</t>
  </si>
  <si>
    <t>lam@cpi.uni-pannon.hu</t>
  </si>
  <si>
    <t>Klemes, Jiri Jaromir/B-7291-2009; Lam, Loong/A-7422-2010; Varbanov, Petar Sabev/B-8954-2009; Lam, Hon Loong/H-1438-2016</t>
  </si>
  <si>
    <t>Klemes, Jiri Jaromir/0000-0002-7450-7029; Varbanov, Petar Sabev/0000-0001-5261-1645; Lam, Hon Loong/0000-0003-1818-9078</t>
  </si>
  <si>
    <t>0921-3449</t>
  </si>
  <si>
    <t>1879-0658</t>
  </si>
  <si>
    <t>RESOUR CONSERV RECY</t>
  </si>
  <si>
    <t>Resour. Conserv. Recycl.</t>
  </si>
  <si>
    <t>10.1016/j.resconrec.2009.03.009</t>
  </si>
  <si>
    <t>Engineering, Environmental; Environmental Sciences</t>
  </si>
  <si>
    <t>Engineering; Environmental Sciences &amp; Ecology</t>
  </si>
  <si>
    <t>558QM</t>
  </si>
  <si>
    <t>WOS:000274759700007</t>
  </si>
  <si>
    <t>Nguyen, DT; Adulyasak, Y; Cordeau, JF; Ponce, SI</t>
  </si>
  <si>
    <t>Nguyen, Duy Tan; Adulyasak, Yossiri; Cordeau, Jean-Francois; Ponce, Silvia I.</t>
  </si>
  <si>
    <t>Data-driven operations and supply chain management: established research clusters from 2000 to early 2020</t>
  </si>
  <si>
    <t>Data-driven operations; supply chain management; systematic literature review; co-citation analysis; clustering</t>
  </si>
  <si>
    <t>BIG DATA ANALYTICS; CORPORATE SOCIAL-RESPONSIBILITY; TRAFFIC FLOW PREDICTION; URBAN WATER-DEMAND; INVENTORY CONTROL; NEURAL-NETWORKS; NEWSVENDOR PROBLEM; PERFORMANCE; FRAMEWORK; KNOWLEDGE</t>
  </si>
  <si>
    <t>Despite the long-recognised importance of data-driven operations and supply chain management (OSCM) scholarship and practice, and the impressive development of big data analytics (BDA), research finds that firms struggle with BDA adoption, which suggests the existence of gaps in the literature. Therefore, we conduct this systematic literature review of journal articles on data-driven OSCM from 2000 to early 2020 to ascertain established research clusters and literature lacunae. Using co-citation analysis software and double-checking the results with factor analysis and multidimensional-scaling-based k-means clustering, we find six clusters of studies on data-driven OSCM, whose primary topics are identified by keyword co-occurrence analysis. Five of these clusters relate directly to manufacturing, which, in line with the existing literature, indicates the crucial role of production in OSCM. We highlight the evolution of these research clusters and propose how the literature on data-driven OSCM can support BDA in OSCM. We synthesise what has been studied in the literature as points of reference for practitioners and researchers and identify what necessitates further exploration. In addition to the insights contributed to the literature, our study is amongst the first efforts to deploy multiple clustering techniques to undertake a rigorous data-driven systematic literature review (SLR) of data-driven OSCM.</t>
  </si>
  <si>
    <t>[Nguyen, Duy Tan; Adulyasak, Yossiri; Cordeau, Jean-Francois; Ponce, Silvia I.] HEC Montreal, Dept Logist &amp; Operat Management, Room 5-864,3000 Chemin Cote Ste Catherine, Montreal, PQ H3T 2A7, Canada</t>
  </si>
  <si>
    <t>Universite de Montreal; HEC Montreal</t>
  </si>
  <si>
    <t>Nguyen, DT (corresponding author), HEC Montreal, Dept Logist &amp; Operat Management, Room 5-864,3000 Chemin Cote Ste Catherine, Montreal, PQ H3T 2A7, Canada.</t>
  </si>
  <si>
    <t>Nguyen, Duy Tân/GRJ-6240-2022; Nguyen, Duy Tan/AFM-0666-2022</t>
  </si>
  <si>
    <t>Nguyen, Duy Tan/0000-0002-3581-0463; Cordeau, Jean-Francois/0000-0002-4963-1298; Adulyasak, Yossiri/0000-0002-6996-0742; Ponce, Silvia I./0000-0002-0725-7875</t>
  </si>
  <si>
    <t>Natural Sciences and Engineering Research Council of Canada [CGS D3-535738-2019, 2021-03264]</t>
  </si>
  <si>
    <t>This work was supported by the Natural Sciences and Engineering Research Council of Canada: [grant numbers CGS D3-535738-2019, 2021-03264].</t>
  </si>
  <si>
    <t>SEP 2</t>
  </si>
  <si>
    <t>10.1080/00207543.2021.1956695</t>
  </si>
  <si>
    <t>4L0AR</t>
  </si>
  <si>
    <t>WOS:000676032200001</t>
  </si>
  <si>
    <t>Hosoda, J; Maher, SJ; Shinano, Y; Villumsen, JC</t>
  </si>
  <si>
    <t>Hosoda, Junko; Maher, Stephen J.; Shinano, Yuji; Villumsen, Jonas Christoffer</t>
  </si>
  <si>
    <t>Location, transshipment and routing: An adaptive transportation network integrating long-haul and local vehicle routing</t>
  </si>
  <si>
    <t>EURO JOURNAL ON TRANSPORTATION AND LOGISTICS</t>
  </si>
  <si>
    <t>Supply chain management; Vehicle routing; Location; Synchronisation; Multi-armed bandit</t>
  </si>
  <si>
    <t>DELIVERY PROBLEM; PICKUP; DESIGN; SYNCHRONIZATION; MODELS</t>
  </si>
  <si>
    <t>The routing of commodities is a tactical problem in supply chain management that aims to synchronise transportation services connecting a network of warehouses and consolidation locations. This paper considers the routing of commodities in a transportation network that is flexible in response to demand through changes to regional warehouse clustering and the designation of consolidation locations. Traditionally, warehouse clustering and consolidation locations are determined as part of strategic planning that is performed months to years in advance of operations-limiting the flexibility in transportation networks to respond to changes in demand. A mathematical programming-based algorithmic framework is proposed to integrate the strategic decisions of location planning with tactical decisions of vehicle routing and synchronisation. A multi-armed bandit problem is developed to explore warehouse clustering decisions and exploit those that lead to small transportation costs. An extensive computational study will show that the proposed algorithmic framework effectively integrates strategic and tactical planning decisions to reduce the overall transportation costs.</t>
  </si>
  <si>
    <t>[Hosoda, Junko] Hitachi Ltd, Ctr Technol Innovat Prod Engn, Yokohama, Kanagawa, Japan; [Maher, Stephen J.] Univ Exeter, Coll Engn Math &amp; Phys Sci, Exeter, England; [Shinano, Yuji] Zuse Inst Berlin, Dept Appl Algorithm Intelligence Methods A2IM, Berlin, Germany; [Villumsen, Jonas Christoffer] Hitachi Europe Ltd, European Res &amp; Dev Ctr, Copenhagen, Denmark</t>
  </si>
  <si>
    <t>Hitachi Limited; University of Exeter; Zuse Institute Berlin; Hitachi Limited</t>
  </si>
  <si>
    <t>Maher, SJ (corresponding author), Univ Exeter, Coll Engn Math &amp; Phys Sci, Exeter, England.</t>
  </si>
  <si>
    <t>s.j.maher@exeter.ac.uk</t>
  </si>
  <si>
    <t>Maher, Stephen/0000-0003-3773-6882</t>
  </si>
  <si>
    <t>2192-4376</t>
  </si>
  <si>
    <t>2192-4384</t>
  </si>
  <si>
    <t>EURO J TRANSP LOGIST</t>
  </si>
  <si>
    <t>EURO J. Transp. Logist.</t>
  </si>
  <si>
    <t>10.1016/j.ejtl.2022.100091</t>
  </si>
  <si>
    <t>Operations Research &amp; Management Science; Transportation Science &amp; Technology</t>
  </si>
  <si>
    <t>Operations Research &amp; Management Science; Transportation</t>
  </si>
  <si>
    <t>5A0MX</t>
  </si>
  <si>
    <t>WOS:000862591900001</t>
  </si>
  <si>
    <t>Shiau, JY</t>
  </si>
  <si>
    <t>Shiau, Jiun-Yan</t>
  </si>
  <si>
    <t>A semi-automatic planning BOM generator based on VMI forecasting</t>
  </si>
  <si>
    <t>INTERNATIONAL JOURNAL OF SYSTEMS SCIENCE-OPERATIONS &amp; LOGISTICS</t>
  </si>
  <si>
    <t>Manufacturing; decision support systems; bill of materials; supply chain management; vendor-managed inventory</t>
  </si>
  <si>
    <t>Vendor-managed inventory (VMI) is a case of supply chain management (SCM) approaches in which the customer of a product provides certain information to a vendor of that product and the vendor takes full responsibility for maintaining an agreed inventory of the material, usually at the customer's consumption location or store. The function of a computerised bill of materials (BOM) module plays an important role in supporting VMI collaborations. This paper presents a VMI case study, identifies the side effects by the VMI collaboration and proposes a data mining-based decision support module to generate planning BOM. It is an embed module for an enterprise resource planning (ERP) system to reduce those risks caused via VMI collaboration. A real-world industry case study is utilised to demonstrate the merits of the proposed approach.</t>
  </si>
  <si>
    <t>[Shiau, Jiun-Yan] Natl Kaohsiung Univ Sci &amp; Technol, Dept Logist Management, Kaohsiung, Taiwan</t>
  </si>
  <si>
    <t>National Kaohsiung University of Science &amp; Technology</t>
  </si>
  <si>
    <t>Shiau, JY (corresponding author), Natl Kaohsiung Univ Sci &amp; Technol, Dept Logist Management, Kaohsiung, Taiwan.</t>
  </si>
  <si>
    <t>sho@nkust.edu.tw</t>
  </si>
  <si>
    <t>Shiau, Jiun-Yan/ABE-3403-2020</t>
  </si>
  <si>
    <t>Shiau, Jiun-Yan/0000-0002-0401-5168</t>
  </si>
  <si>
    <t>Ministry of Science and Technology of Republic of China [MOST 103-2221-E-327-038]</t>
  </si>
  <si>
    <t>Ministry of Science and Technology of Republic of China(Ministry of Science and Technology, Taiwan)</t>
  </si>
  <si>
    <t>This work is supported in part by the Ministry of Science and Technology of Republic of China under the grant MOST 103-2221-E-327-038. Thank you for the efforts from my student, Yu-Ling Tsou.</t>
  </si>
  <si>
    <t>2330-2674</t>
  </si>
  <si>
    <t>2330-2682</t>
  </si>
  <si>
    <t>INT J SYST SCI-OPER</t>
  </si>
  <si>
    <t>Int. J. Syst. Sci.- Oper. Logist.</t>
  </si>
  <si>
    <t>10.1080/23302674.2018.1533046</t>
  </si>
  <si>
    <t>QE5IX</t>
  </si>
  <si>
    <t>WOS:000616241500002</t>
  </si>
  <si>
    <t>Nguyen, T; Zhou, L; Spiegler, V; Ieromonachou, P; Lin, Y</t>
  </si>
  <si>
    <t>Truong Nguyen; Zhou, Li; Spiegler, Virginia; Ieromonachou, Petros; Lin, Yong</t>
  </si>
  <si>
    <t>Big data analytics in supply chain management: A state-of-the-art literature review</t>
  </si>
  <si>
    <t>Literature review; Big data; Big data analytics; Supply chain management; Research directions</t>
  </si>
  <si>
    <t>MACHINE LEARNING APPROACH; DATA MINING APPROACH; PREDICTIVE ANALYTICS; STORAGE ASSIGNMENT; SOCIAL MEDIA; SYSTEM; NETWORK; OPERATIONS; FRAMEWORK; TIME</t>
  </si>
  <si>
    <t>The rapidly growing interest from both academics and practitioners in the application of big data analytics (BDA) in supply chain management (SCM) has urged the need for review of up-to-date research development in order to develop a new agenda. This review responds to the call by proposing a novel classification framework that provides a full picture of current literature on where and how BDA has been applied within the SCM context. The classification framework is structurally based on the content analysis method of Mayring (2008), addressing four research questions: (1) in what areas of SCM is BDA being applied? (2) At what level of analytics is BDA used in these SCM areas? (3) What types of BDA models are used in SCM? (4) What BDA techniques are employed to develop these models? The discussion tackling these four questions reveals a number of research gaps, which leads to future research directions. (C) 2017 Elsevier Ltd. All rights reserved.</t>
  </si>
  <si>
    <t>[Truong Nguyen; Zhou, Li; Ieromonachou, Petros; Lin, Yong] Univ Greenwich, Fac Business, Connected Cities Res Grp, Syst Management &amp; Strategy Dept, London, England; [Spiegler, Virginia] Univ Kent, Kent Business Sch, Canterbury, Kent, England</t>
  </si>
  <si>
    <t>University of Greenwich; University of Kent</t>
  </si>
  <si>
    <t>Zhou, L (corresponding author), Univ Greenwich, Fac Business, Connected Cities Res Grp, Syst Management &amp; Strategy Dept, London, England.</t>
  </si>
  <si>
    <t>Zhou, Li/P-4589-2019; Ieromonachou, Petros/HIR-7540-2022; Van Nguyen, Truong/AAI-2537-2020; Lin, Yong/A-4419-2012</t>
  </si>
  <si>
    <t>Zhou, Li/0000-0001-7132-5935; Ieromonachou, Petros/0000-0002-5842-9585; Van Nguyen, Truong/0000-0001-9380-5710;</t>
  </si>
  <si>
    <t>10.1016/j.cor.2017.07.004</t>
  </si>
  <si>
    <t>GP0UU</t>
  </si>
  <si>
    <t>WOS:000440526800020</t>
  </si>
  <si>
    <t>Liao, SH; Hsieh, CL; Ho, WC</t>
  </si>
  <si>
    <t>Liao, Shu-Hsien; Hsieh, Chia-Lin; Ho, Wei-Chung</t>
  </si>
  <si>
    <t>MULTI-OBJECTIVE EVOLUTIONARY APPROACH FOR SUPPLY CHAIN NETWORK DESIGN PROBLEM WITHIN ONLINE CUSTOMER CONSIDERATION</t>
  </si>
  <si>
    <t>RAIRO-OPERATIONS RESEARCH</t>
  </si>
  <si>
    <t>Supply chain network design; location inventory problem; dual channel; multi-objective programming; evolutionary computation</t>
  </si>
  <si>
    <t>NSGA-II; GENETIC ALGORITHM; DECISION-MAKING; LOCATION MODEL; INVENTORY; TOPSIS</t>
  </si>
  <si>
    <t>Supply chain network design is one of the most important strategic decisions that need to be optimized for long-term efficiency. Critical decisions include facility location, inventory, and transportation issues. This study proposes that with a dual-channel supply chain network design model, the traditional location-inventory problem should be extended to consider the vast amount of online customers at the strategic level, since the problem usually involves multiple and conflicting objectives. Therefore, a multi-objective dual-channel supply chain network model involving three conflicting objectives is initially proposed to allow a comprehensive trade-off evaluation. In addition to the typical costs associated with facility operation and transportation, we explicitly consider the pivotal online customer service rate between the distribution centers (DCs) and their assigned customers. This study proposes a heuristic solution scheme to resolve this multi-objective programming problem, by integrating genetic algorithms, a clustering analysis, a Non-dominated Sorting Genetic Algorithm II (NSGA-II), and a Technique for Order Preference by Similarity to Ideal Solution (TOPSIS). Several experiments are simulated to demonstrate the possibility and efficacy of the proposed approach. A scenario analysis is conducted to understand the model's performance.</t>
  </si>
  <si>
    <t>[Liao, Shu-Hsien; Ho, Wei-Chung] Tamkang Univ, Dept Management Sci &amp; Decis Making, 151 Yingjuan Rd, New Taipei 251, Taiwan; [Hsieh, Chia-Lin] Aletheia Univ, Dept Finance &amp; Actuarial Sci, 26 Chenli St, New Taipei 251, Taiwan</t>
  </si>
  <si>
    <t>Tamkang University; Aletheia University</t>
  </si>
  <si>
    <t>Ho, WC (corresponding author), Tamkang Univ, Dept Management Sci &amp; Decis Making, 151 Yingjuan Rd, New Taipei 251, Taiwan.</t>
  </si>
  <si>
    <t>cutepluschung@yahoo.com.tw</t>
  </si>
  <si>
    <t>EDP SCIENCES S A</t>
  </si>
  <si>
    <t>LES ULIS CEDEX A</t>
  </si>
  <si>
    <t>17, AVE DU HOGGAR, PA COURTABOEUF, BP 112, F-91944 LES ULIS CEDEX A, FRANCE</t>
  </si>
  <si>
    <t>0399-0559</t>
  </si>
  <si>
    <t>1290-3868</t>
  </si>
  <si>
    <t>RAIRO-OPER RES</t>
  </si>
  <si>
    <t>Rairo-Oper. Res.</t>
  </si>
  <si>
    <t>10.1051/ro/2016010</t>
  </si>
  <si>
    <t>EJ6RO</t>
  </si>
  <si>
    <t>WOS:000393346700008</t>
  </si>
  <si>
    <t>Xie, XF; Yang, Y; Zhou, YM; Zhou, ZF</t>
  </si>
  <si>
    <t>Xie, Xiao-feng; Yang, Yang; Zhou, Yi-mao; Zhou, Zong-fang</t>
  </si>
  <si>
    <t>The clustering analysis on data and lending strategy of supply chain with information asymmetry method</t>
  </si>
  <si>
    <t>Information asymmetry; Supply chain; Trade credit; Lending strategy</t>
  </si>
  <si>
    <t>BANK CREDIT EVIDENCE; TRADE CREDIT; POLICY</t>
  </si>
  <si>
    <t>In this paper, a theoretical framework is proposed to analyze how trade credit effect bank credit in circumstance of supply chain. We constructed a model to describe information asymmetry among lender and borrower based on game theory and conducted numerical simulation to discuss risk contagion. The static comparison and numerical results illustrate that the loan interest in symmetric case is significantly lower than it in asymmetric case. Default risk of buyer increases the cost of borrower compared to the case when buyer pays for sure and massive trade credit associated with higher loan interest. However the impact on loan amount of credit risk and default risk is more complex. It turns out that information asymmetry can be seen as a moderating factor in the impact on loan amount of default risk and credit risk. Generally this study may not only bring some policy implications for banks to control credit risk along supply chain, but also shed lights in theoretical analysis of trade credit.</t>
  </si>
  <si>
    <t>[Xie, Xiao-feng; Zhou, Zong-fang] Univ Elect Sci &amp; Technol China, Sch Management &amp; Econ, Chengdu 611731, Sichuan, Peoples R China; [Xie, Xiao-feng] Chengdu Neusoft Univ, Genenal Educ Dept, Chengdu 611844, Sichuan, Peoples R China; [Yang, Yang] Southwestern Univ Finance &amp; Econ, Sch Econ Math, Chengdu 611130, Sichuan, Peoples R China; [Zhou, Yi-mao] Jiangsu Hui Yu Tong Data Technol Co LTD, Suzhou 215021, Jiangsu, Peoples R China</t>
  </si>
  <si>
    <t>University of Electronic Science &amp; Technology of China; Southwestern University of Finance &amp; Economics - China</t>
  </si>
  <si>
    <t>Yang, Y (corresponding author), Southwestern Univ Finance &amp; Econ, Sch Econ Math, Chengdu 611130, Sichuan, Peoples R China.</t>
  </si>
  <si>
    <t>xiexiaofeng@nsu.edu.cn; yy@swufe.edu.cn; shenaxiouluo@163.com</t>
  </si>
  <si>
    <t>Natural Science Foundation of China [71271043]; National Natural Science Foundation of China Youth Fund [71701166]; Specialized Research Fund for the Doctoral Program of Higher Education of China [20110185110021]</t>
  </si>
  <si>
    <t>Natural Science Foundation of China(National Natural Science Foundation of China (NSFC)); National Natural Science Foundation of China Youth Fund; Specialized Research Fund for the Doctoral Program of Higher Education of China(Specialized Research Fund for the Doctoral Program of Higher Education (SRFDP))</t>
  </si>
  <si>
    <t>This research was partially supported by the Natural Science Foundation of China (Grant No.71271043) and National Natural Science Foundation of China Youth Fund (Grant No. 71701166) and the Specialized Research Fund for the Doctoral Program of Higher Education of China (Grant No. 20110185110021).</t>
  </si>
  <si>
    <t>S10299</t>
  </si>
  <si>
    <t>S10307</t>
  </si>
  <si>
    <t>10.1007/s10586-017-1281-x</t>
  </si>
  <si>
    <t>WOS:000502007000243</t>
  </si>
  <si>
    <t>Liao, SH; Hsieh, CL; Huang, SP</t>
  </si>
  <si>
    <t>Liao, Shu-Hsien; Hsieh, Chia-Lin; Huang, Sul-Ping</t>
  </si>
  <si>
    <t>Mining product maps for new product development</t>
  </si>
  <si>
    <t>new product development; product map; data mining; association rules; knowledge extraction</t>
  </si>
  <si>
    <t>DEMAND CHAIN MANAGEMENT; KNOWLEDGE MANAGEMENT; TECHNOLOGIES; PATTERNS; SYSTEM; TIME</t>
  </si>
  <si>
    <t>Many enterprises have been devoting a significant portion of their budget to new product development (NPD) in order to distinguish their products from those of their competitors, and to make them better fit the needs and wants of customers. Hence, businesses should develop products that fulfill the customer demands, since this will increase the enterprise's competitiveness and it is an essential criterion to earning higher loyalties and profits. This paper presents the product map obtained from data mining results, which investigates the relationships among customer demands, product characteristics, and transaction records, using the Apriori algorithm as a methodology of association rules for data mining. The product map shows that different knowledge patterns and rules can be extracted from customers to develop new cosmetic products and possible marketing solutions. Accordingly, this paper suggests that the cosmetics industry should extract customer knowledge from the demand side and use this as a knowledge resource on its supply chain for new product development. (c) 2006 Elsevier Ltd. All rights reserved.</t>
  </si>
  <si>
    <t>Tamkang Univ, Dept Management Sci &amp; Decis Making, Taipei 251, Taiwan</t>
  </si>
  <si>
    <t>10.1016/j.eswa.2006.08.027</t>
  </si>
  <si>
    <t>222KP</t>
  </si>
  <si>
    <t>WOS:000250295300005</t>
  </si>
  <si>
    <t>Kim, S; Na, J; Kim, B</t>
  </si>
  <si>
    <t>Kim, Sunghak; Na, Jaeseog; Kim, Bowon</t>
  </si>
  <si>
    <t>Strategic Effects of Supply Chain Inventories on Sales Performance</t>
  </si>
  <si>
    <t>Inventory; Supply chain inventories; Firm profitability; Competitive intensity; Concave relationship; Operations Management; Supply Chain Management; Decision Making &amp; Risk Management</t>
  </si>
  <si>
    <t>ECONOMIC PRODUCTION QUANTITY; FINANCIAL PERFORMANCE; WORKLOAD CONTROL; MANAGEMENT; MODEL; IMPACT; COMPETITION; IMPLEMENTATION; UNCERTAINTY; IMPROVEMENT</t>
  </si>
  <si>
    <t>This paper examines the non-linear relationship between a firm's inventory and sales performance. Specifically, whether there exists an optimal level of inventory that maximizes sales performance is investigated. In order to better understand the effect of supply chain inventories on firm performance, three types of inventories: raw materials, work-in-process, and finished goods are separately considered. Analyzing the panel data set of 272 Korean manufacturing firms for the period 1996 to 2012, the following conclusions based on regression methodology has been drawn. After controlling for previous inventory, we find there exists an optimal level of current inventory that maximizes current firm profitability. Furthermore, it is examined whether the external competition level is high using clustering analysis. We find that the effects of supply chain inventories on performance are influenced by the competitive intensity of an industry. The results suggest that while all types of inventories show the non-linear effects on firm performance in the highly competitive market, only finished goods inventory shows significant effects on firm performance in the low competitive market. Our study provides empirical supports for how each type of inventories should be managed and contributes to the extant literature by suggesting managerial implications from a supply-chain perspective perspective for practical engineers and technical professionals.</t>
  </si>
  <si>
    <t>[Kim, Sunghak] KIDA, Seoul, South Korea; [Na, Jaeseog] Sookmyung Womens Univ, Seoul, South Korea; [Kim, Bowon] Korea Adv Inst Sci &amp; Technol, Sch Business, Operat Strategy &amp; Management Sci, Seoul, South Korea</t>
  </si>
  <si>
    <t>Sookmyung Women's University; Korea Advanced Institute of Science &amp; Technology (KAIST)</t>
  </si>
  <si>
    <t>Na, J (corresponding author), Sookmyung Womens Univ, Coll Econ &amp; Business Adm, Seoul 04310, South Korea.</t>
  </si>
  <si>
    <t>jsna@sookmyung.ac.kr</t>
  </si>
  <si>
    <t>10.1080/10429247.2020.1778978</t>
  </si>
  <si>
    <t>RW2XU</t>
  </si>
  <si>
    <t>WOS:000548020900001</t>
  </si>
  <si>
    <t>Min, H; Lea, BR</t>
  </si>
  <si>
    <t>Min, Hokey; Lea, Bih-Ru</t>
  </si>
  <si>
    <t>Motivators and Inhibitors for Business Analytics Adoption from the Cross-Cultural Perspectives: A Data Mining Approach</t>
  </si>
  <si>
    <t>INFORMATION SYSTEMS FRONTIERS</t>
  </si>
  <si>
    <t>Business analytics; Business intelligence; Data mining; Data visualization; Cross-cultural study</t>
  </si>
  <si>
    <t>BIG DATA ANALYTICS; INFORMATION-TECHNOLOGY ADOPTION; FIRM PERFORMANCE; SUPPLY CHAIN; ACCEPTANCE MODEL; RESEARCH AGENDA; IMPACT; CAPABILITIES; INNOVATION; DETERMINANTS</t>
  </si>
  <si>
    <t>In the increasingly knowledge-based world economy, the multinational firm's success often hinges on its business intelligence capability nurtured by business analytics (BA). Despite the growing recognition of BA's role in enhancing the firm's intellectual capital and subsequent competitiveness, it is still unknown what truly motivates and inhibits BA adoption. This study aims to identify key influencing factors for BA adoption such as organizational characteristics, information security/privacy, and information technology maturity (knowledge level). In so doing, this study employed data mining and data visualization techniques to develop specific patterns of BA adoption practices based on a combined sample of 224 Korean firms and 106 U.S. firms representing various industry sectors. This study is one of the first attempts to develop practical guidelines for the successful implementation of BA based on the cross-national study of BA practices among both Korean and U.S. firms.</t>
  </si>
  <si>
    <t>[Min, Hokey] Bowling Green State Univ, Allen &amp; Carol Schmidthorst Coll Business, Maurer Ctr 312, Dept Management, Bowling Green, OH 43403 USA; [Lea, Bih-Ru] Missouri Univ Sci &amp; Technol, Dept Business &amp; Informat Technol, 301 W,14th St, Rolla, MO 65409 USA</t>
  </si>
  <si>
    <t>University System of Ohio; Bowling Green State University; University of Missouri System; Missouri University of Science &amp; Technology</t>
  </si>
  <si>
    <t>Min, H (corresponding author), Bowling Green State Univ, Allen &amp; Carol Schmidthorst Coll Business, Maurer Ctr 312, Dept Management, Bowling Green, OH 43403 USA.</t>
  </si>
  <si>
    <t>hmin@bgsu.edu; leabi@mst.edu</t>
  </si>
  <si>
    <t>1387-3326</t>
  </si>
  <si>
    <t>1572-9419</t>
  </si>
  <si>
    <t>INFORM SYST FRONT</t>
  </si>
  <si>
    <t>Inf. Syst. Front.</t>
  </si>
  <si>
    <t>2023 MAY 8</t>
  </si>
  <si>
    <t>10.1007/s10796-023-10399-1</t>
  </si>
  <si>
    <t>F7CV7</t>
  </si>
  <si>
    <t>WOS:000983894600001</t>
  </si>
  <si>
    <t>Lin, FR; Lin, SM</t>
  </si>
  <si>
    <t>Lin, Fu-ren; Lin, Shyh-ming</t>
  </si>
  <si>
    <t>Enhancing the Supply Chain Performance by Integrating Simulated and Physical Agents into Organizational Information Systems</t>
  </si>
  <si>
    <t>JASSS-THE JOURNAL OF ARTIFICIAL SOCIETIES AND SOCIAL SIMULATION</t>
  </si>
  <si>
    <t>Supply Chain Performance Enhancement; Bullwhip Effects; Simulated Agents; Physical Agents; Dynamic Customer Demand Pattern Discovery</t>
  </si>
  <si>
    <t>As the business environment gets more complicated, organizations must be able to respond to the business changes and adjust themselves quickly to gain their competitive advantages. This study proposes an integrated agent system, called SPA, which coordinates simulated and physical agents to provide an efficient way for organizations to meet the challenges in managing supply chains. In the integrated framework, physical agents coordinate with inter-organizations' physical agents to form workable business processes and detect the variations occurring in the outside world, whereas simulated agents model and analyze the what-if scenarios to support physical agents in making decisions. This study uses a supply chain that produces digital still cameras as an example to demonstrate how the SPA works. In this example, individual information systems of the involved companies equip with the SPA and the entire supply chain is modeled as a hierarchical object oriented Petri nets. The SPA here applies the modified AGNES data clustering technique and the moving average approach to help each firm generalize customers' past demand patterns and forecast their future demands. The amplitude of forecasting errors caused by bullwhip effects is used as a metric to evaluate the degree that the SPA affects the supply chain performance. The experimental results show that the SPA benefits the entire supply chain by reducing the bullwhip effects and forecasting errors in a dynamic environment.</t>
  </si>
  <si>
    <t>J A S S S</t>
  </si>
  <si>
    <t>GUILDFORD</t>
  </si>
  <si>
    <t>UNIV SURREY, DEPT SOCIOLOGY, GUILDFORD GU2 7XH, SURREY, ENGLAND</t>
  </si>
  <si>
    <t>1460-7425</t>
  </si>
  <si>
    <t>JASSS-J ARTIF SOC S</t>
  </si>
  <si>
    <t>JASSS</t>
  </si>
  <si>
    <t>V00PL</t>
  </si>
  <si>
    <t>WOS:000206799800001</t>
  </si>
  <si>
    <t>Liu, Y; Dong, JJ; Shen, L</t>
  </si>
  <si>
    <t>Liu, Yang; Dong, Jianjun; Shen, Ling</t>
  </si>
  <si>
    <t>A Conceptual Development Framework for Prefabricated Construction Supply Chain Management: An Integrated Overview</t>
  </si>
  <si>
    <t>Prefabricated construction; supply chain management; literature review; bibliometric analysis; thematic analysis; conceptual framework</t>
  </si>
  <si>
    <t>PRECAST CONCRETE SYSTEMS; HONG-KONG; MULTIPLE PRODUCTION; GENETIC ALGORITHMS; OFFSITE PRODUCTION; SCHEDULE RISK; IN-SITU; OPTIMIZATION; BUILDINGS; NETWORK</t>
  </si>
  <si>
    <t>Prefabricated construction (PC), with the characteristics of green, environmentally friendly, energy saving and high production efficiency, is attracting more and more attention from all over the world. Supply chain management is closely related to the application efficiency of PC, but only in the last three years has this interdisciplinary research received due attention. The prefabricated construction supply chain management (PCSCM) have not received enough attention. Especially recently, the related literature shows explosive growth. This paper adopted the method of systematic literature review through the tool of bibliometric statistics. And we reviewed 152 articles from 2001 to 2018, with the goal of understanding the current situation, trends, and gaps in PCSCM research, and a framework is proposed to promote its development. First, the study discussed the four themes of clustering, concentrating mainly on strategic research and project evaluation, PC supply chain process design and optimization, supply chain integration and management, and the application of advanced technology. Then, the research gaps and conceptual development framework to promote PCSCM were reported. Only through the coordinated development of technology, market circumstances, and decision-making level of participants, can the PCSC form an integrated whole, so as to optimize the efficiency and sustainability of prefabricated construction industry and improve its level.</t>
  </si>
  <si>
    <t>[Liu, Yang; Dong, Jianjun; Shen, Ling] Nanjing Tech Univ, Coll Civil Engn, Nanjing 211800, Jiangsu, Peoples R China</t>
  </si>
  <si>
    <t>Nanjing Tech University</t>
  </si>
  <si>
    <t>Dong, JJ (corresponding author), Nanjing Tech Univ, Coll Civil Engn, Nanjing 211800, Jiangsu, Peoples R China.</t>
  </si>
  <si>
    <t>liuyang6154@163.com; dongjj@njtech.edu.cn; shenling@njtech.edu.cn</t>
  </si>
  <si>
    <t>Dong, Jianjun/0000-0003-3406-0573; Yang, Liu/0000-0002-3197-0945</t>
  </si>
  <si>
    <t>10.3390/su12051878</t>
  </si>
  <si>
    <t>KY3KU</t>
  </si>
  <si>
    <t>WOS:000522470900179</t>
  </si>
  <si>
    <t>Swierczek, A; Kisperska-Moron, D</t>
  </si>
  <si>
    <t>Swierczek, Artur; Kisperska-Moron, Danuta</t>
  </si>
  <si>
    <t>The role and attributes of manufacturing companies in virtual supply chains</t>
  </si>
  <si>
    <t>Customer requirements; Supply chain management; Value chain</t>
  </si>
  <si>
    <t>CLUSTER-ANALYSIS; ENGINEERING CHANGES; PERFORMANCE; MANAGEMENT; IMPACT; TECHNOLOGY; INNOVATION; FRAMEWORK; STRATEGY; GROCERY</t>
  </si>
  <si>
    <t>Purpose - The purpose of this paper is to identify the role and main attributes of manufacturing companies which operate in virtual supply chains. Design/methodology/approach - In order to identify the role and main attributes of manufacturing companies enabling to operate in a virtual supply chain, a three-step statistical analysis was employed, namely exploratory factor analysis, hierarchical cluster analysis and non-hierarchical clustering technique. Findings - The findings show that virtual supply chain operations would not be supported by manufacturing companies offering highly customized products achieved by a unit production, developed in details and engineered to order. On the contrary, the large manufacturing companies of virtual supply chains report a high level of flexibility stemming from a wide scope of more standardized products offered to the market. The conducted study show that better ability of manufacturers supporting virtual supply chains is not industry specific. Research limitations/implications - The list of investigated attributes is not complete, and other characteristics of manufacturers in virtual supply chains should be identified. Another important shortcoming of the study is its quantitative character and generalization of the findings. Each virtual environment in supply chains may be unique and some of the compared characteristics may differ significantly. Therefore, the aforementioned attributes should be considered separately with a conscious focus on the environmental context. The quantitative study may be greatly enhanced by applying the case study approach, showing detailed solutions and practices, and thus making the study more valuable from the theoretical and managerial standpoints. Practical implications - The conducted study showed that better ability of manufacturers to support virtual supply chains is not industry specific, since the branch of electronic products and electrical equipment and components was represented by an equal share of manufacturers, both in non-virtual and virtual clusters. Furthermore, in order to operate in virtual supply chains, managers should pay attention to the structure and range of products delivered to the market. The managers should also be aware that apart from considering cost and efficiency, operating in a virtual supply chain environment also requires quality of products and processes in order to manufacture and deliver a superior value for the customers. Originality/value - Having recognized major groups of indicators demonstrating the level of ability of manufacturing companies to operate in a virtual supply chain, the attributes of three clusters of manufacturers possessing different bunch of features, significant for virtual supply chains, have been distinguished.</t>
  </si>
  <si>
    <t>[Swierczek, Artur; Kisperska-Moron, Danuta] Univ Econ Katowice, Dept Business Logist, PL-40287 Katowice, Poland</t>
  </si>
  <si>
    <t>University of Economics in Katowice</t>
  </si>
  <si>
    <t>Swierczek, A (corresponding author), Univ Econ Katowice, Dept Business Logist, PL-40287 Katowice, Poland.</t>
  </si>
  <si>
    <t>artur.swierczek@uekat.pl</t>
  </si>
  <si>
    <t>Kisperska-Moron, Danuta/ABC-8282-2020; Swierczek, Artur/ABD-8768-2021</t>
  </si>
  <si>
    <t>National Science Centre [DEC-2012/05/E/HS4/01598]</t>
  </si>
  <si>
    <t>National Science Centre(National Science Centre, Poland)</t>
  </si>
  <si>
    <t>The first author acknowledges the financial assistance for this study provided by the National Science Centre as a research project no. DEC-2012/05/E/HS4/01598.</t>
  </si>
  <si>
    <t>10.1108/IJLM-12-2013-0162</t>
  </si>
  <si>
    <t>DT2MY</t>
  </si>
  <si>
    <t>WOS:000381315600015</t>
  </si>
  <si>
    <t>Zhang, Y; Zhai, YJ; Chen, JH; Xu, QJ; Fu, SS; Wang, HZ</t>
  </si>
  <si>
    <t>Zhang, Yang; Zhai, Yujia; Chen, Jihong; Xu, Qingjun; Fu, Shanshan; Wang, Huizhen</t>
  </si>
  <si>
    <t>Factors Contributing to Fatality and Injury Outcomes of Maritime Accidents: A Comparative Study of Two Accident-Prone Areas</t>
  </si>
  <si>
    <t>JOURNAL OF MARINE SCIENCE AND ENGINEERING</t>
  </si>
  <si>
    <t>maritime accident; zero-inflated negative binomial (ZINB); kernel density estimation (KDE); fatalities and injuries</t>
  </si>
  <si>
    <t>NEGATIVE BINOMIAL REGRESSION; BAYESIAN NETWORK; MARINE ACCIDENTS; DETERMINANTS; TRANSPORTATION; SEVERITY; PORT; SEA</t>
  </si>
  <si>
    <t>Shipping, as an important part of the global supply chain, has always been quite sensitive to maritime accidents. Fatality and injury are important metrics indicating an accident's severity. Understanding the driving factors of fatality and injury outcomes of maritime accidents can help to improve supply chain security. Based on maritime accident data obtained from the Lloyd's List Intelligence, this paper identifies accident-prone sea areas through kernel density estimation (KDE) and selects two of the areas to conduct a comparative study on factors contributing to fatality and injury outcomes of maritime accidents through zero-inflated negative binomial (ZINB) and elastic analysis. The results show that collision and ship age significantly impact the number of fatalities and injuries. Specifically, collision and ship age have greater impacts on fatality and injury outcomes of accidents that occurred in the English Channel and North Sea. Whether the accident occurs in ports and whether the accident causes a total loss have more significant impacts on the fatality and injury outcomes of accidents in the Black Sea and the eastern Mediterranean Sea. The research results can potentially support the reduction of fatalities and injuries in maritime accident and help to manage maritime risk.</t>
  </si>
  <si>
    <t>[Zhang, Yang; Zhai, Yujia; Xu, Qingjun; Fu, Shanshan] Shanghai Maritime Univ, Coll Transport &amp; Commun, Shanghai 201306, Peoples R China; [Chen, Jihong] Shenzhen Univ, Coll Management, Shenzhen 518073, Peoples R China; [Chen, Jihong] Shenzhen Int Maritime Inst, Shenzhen 518081, Peoples R China; [Chen, Jihong; Wang, Huizhen] Xian Int Univ, Business Sch, Xian 710077, Peoples R China</t>
  </si>
  <si>
    <t>Shanghai Maritime University; Shenzhen University</t>
  </si>
  <si>
    <t>Xu, QJ (corresponding author), Shanghai Maritime Univ, Coll Transport &amp; Commun, Shanghai 201306, Peoples R China.;Chen, JH (corresponding author), Shenzhen Univ, Coll Management, Shenzhen 518073, Peoples R China.;Chen, JH (corresponding author), Shenzhen Int Maritime Inst, Shenzhen 518081, Peoples R China.;Chen, JH (corresponding author), Xian Int Univ, Business Sch, Xian 710077, Peoples R China.</t>
  </si>
  <si>
    <t>cxjh2004@163.com; qingjunx2021@163.com</t>
  </si>
  <si>
    <t>Wang, Hui/HMU-9512-2023; wang, yue/ISA-4119-2023; wang, hui/HSG-6135-2023; Vukša, Srđan/T-4521-2017</t>
  </si>
  <si>
    <t>Vukša, Srđan/0000-0003-3185-3308; di, yu jia/0000-0002-5684-3723; Fu, Shanshan/0000-0003-2495-0572</t>
  </si>
  <si>
    <t>Youth Innovation Team of Shaanxi Universities; Shanghai Rising-Star Program; [22QC1400600]</t>
  </si>
  <si>
    <t>Youth Innovation Team of Shaanxi Universities; Shanghai Rising-Star Program;</t>
  </si>
  <si>
    <t>This research was funded by the Youth Innovation Team of Shaanxi Universities and Shanghai Rising-Star Program, Grant No. 22QC1400600.</t>
  </si>
  <si>
    <t>2077-1312</t>
  </si>
  <si>
    <t>J MAR SCI ENG</t>
  </si>
  <si>
    <t>J. Mar. Sci. Eng.</t>
  </si>
  <si>
    <t>10.3390/jmse10121945</t>
  </si>
  <si>
    <t>Engineering, Marine; Engineering, Ocean; Oceanography</t>
  </si>
  <si>
    <t>Engineering; Oceanography</t>
  </si>
  <si>
    <t>7E3EU</t>
  </si>
  <si>
    <t>WOS:000901056600001</t>
  </si>
  <si>
    <t>Tsang, YP; Lee, C</t>
  </si>
  <si>
    <t>Tsang, Y. P.; Lee, C. K. M.</t>
  </si>
  <si>
    <t>Artificial intelligence in industrial design: A semi-automated literature survey</t>
  </si>
  <si>
    <t>Artificial intelligence; Industrial design; Review; Text analytics; Industry 4; 0</t>
  </si>
  <si>
    <t>CYBER-PHYSICAL SYSTEMS; RELATIONSHIP MANAGEMENT-SYSTEM; REASONING APPROACH; INTERNET; AI; METHODOLOGY; CHALLENGES; INNOVATION; NETWORKS; PLATFORM</t>
  </si>
  <si>
    <t>In the era of industry 4.0, artificial intelligence (AI) may potentially be used to provide reasoning and decision support on engineering and technical challenges. The role of AI in industrial design, which is the practice of improving the function, value and aesthetics of products to optimise customer satisfaction, has not yet been extensively explored. To effectively synthesise the existing literature, an unsupervised learning-enabled review methodology is proposed in this study. Important journals and articles are identified by using k-means clustering, and the relevant articles are analysed by using co-citation, bibliographic coupling, and co-occurrence analyses. Six clusters of the body of knowledge are then extracted, and naming of the clusters is assisted by using document summarisation and evaluation. Consequently, six intellectual cores related to AI in industrial design are formulated: (i) supply chain perspectives on product design and innovation, (ii) manufacturability and performance of new product development, (iii) intelligent tools and systems for industrial design and engineering, (iv) applied intelligence for product and service innovation, (v) industry 4.0 technologies for design and manufacturing, and (vi) blockchain-enabled artificial intelligence in industry 4.0. Future research trends on sustainable design, trust in AI, and emerging technology integration towards the next-generation AI in industrial design are discussed.</t>
  </si>
  <si>
    <t>[Tsang, Y. P.; Lee, C. K. M.] Hong Kong Polytech Univ, Dept Ind &amp; Syst Engn, Hong Kong, Peoples R China; [Lee, C. K. M.] Hong Kong Sci Pk, Lab Artificial Intelligence Design, Hong Kong, Peoples R China</t>
  </si>
  <si>
    <t>Tsang, YP (corresponding author), Hong Kong Polytech Univ, Dept Ind &amp; Syst Engn, Hong Kong, Peoples R China.</t>
  </si>
  <si>
    <t>p.tsang@connect.polyu.hk</t>
  </si>
  <si>
    <t>Tsang, Y.P./X-7471-2019</t>
  </si>
  <si>
    <t>Tsang, Y.P./0000-0002-6128-345X</t>
  </si>
  <si>
    <t>Department of Industrial and Systems Engineering, Hong Kong, The Hong Kong Polytechnic University; Laboratory for Artificial Intelligence in Design, Hong Kong, Hong Kong Special Administrative Region, Hong Kong [RP2-2]</t>
  </si>
  <si>
    <t>Department of Industrial and Systems Engineering, Hong Kong, The Hong Kong Polytechnic University; Laboratory for Artificial Intelligence in Design, Hong Kong, Hong Kong Special Administrative Region, Hong Kong</t>
  </si>
  <si>
    <t>The authors would like to thank the Department of Industrial and Systems Engineering, Hong Kong, The Hong Kong Polytechnic Uni-versity for supporting the research. This research is funded by the Laboratory for Artificial Intelligence in Design, Hong Kong (Project Code: RP2-2) , Hong Kong Special Administrative Region, Hong Kong. Special thanks go to Miss W.W. Chong and Miss Y.S. Au for their assistance provided in this research.</t>
  </si>
  <si>
    <t>10.1016/j.engappai.2022.104884</t>
  </si>
  <si>
    <t>1J0YN</t>
  </si>
  <si>
    <t>WOS:000797651900011</t>
  </si>
  <si>
    <t>Wang, H; Yin, YX; Wang, XY</t>
  </si>
  <si>
    <t>Wang, Huan; Yin, Yuanxing; Wang, Xinyu</t>
  </si>
  <si>
    <t>The design for supply chain management of intelligent logistics system using cloud computing and the internet of things</t>
  </si>
  <si>
    <t>convolutional neural network supply chain management; deep learning; intelligent logistics system; internet of things</t>
  </si>
  <si>
    <t>ALGORITHM; RECOGNITION; CNN; MODEL; RBM</t>
  </si>
  <si>
    <t>Image recognition is the key to smart logistics systems. Traditional handwriting feature extraction is difficult to meet the requirements of image recognition. Deep learning is used for image recognition. Firstly, convolutional neural network (CNN) and deep Boltzmann machines under deep learning are introduced. Second, cellular neural networks are used to perform feature recognition and extraction on images. Finally, a Parzen classifier is used to classify the obtained image features. The novelty is that through the structural design and research of the intelligent logistics system, the CNN is combined to construct a management system of supply chain logistics of image recognition and information processing. The experimental results show that the recognition accuracy time of the proposed improved fusion algorithm on the Mixed National Institute of Standards and Technology data set is 198.85 s. When the improved algorithm achieves the same recognition accuracy, it takes 159.65 s. The recognition efficiency of the improved algorithm is 19.71% higher than that of the unimproved algorithm. In addition, when the unimproved algorithm reaches the maximum number of iterations, the error rate is 2.47%. The error rate of the improved algorithm is only 0.74%. This study provides a basis for improving the image recognition accuracy and has certain practical value.</t>
  </si>
  <si>
    <t>[Wang, Huan; Yin, Yuanxing; Wang, Xinyu] Hubei Univ Automot Technol, Coll Econ &amp; Management, Shiyan, Peoples R China; [Wang, Huan] Hubei Univ Automot Technol, Coll Econ &amp; Management, Shiyan 442002, Peoples R China</t>
  </si>
  <si>
    <t>Hubei University of Automotive Technology; Hubei University of Automotive Technology</t>
  </si>
  <si>
    <t>Wang, H (corresponding author), Hubei Univ Automot Technol, Coll Econ &amp; Management, Shiyan 442002, Peoples R China.</t>
  </si>
  <si>
    <t>wangh@huat.edu.cn</t>
  </si>
  <si>
    <t>2023 MAR 2</t>
  </si>
  <si>
    <t>10.1111/exsy.13271</t>
  </si>
  <si>
    <t>9M3LX</t>
  </si>
  <si>
    <t>WOS:000942136900001</t>
  </si>
  <si>
    <t>Zhou, G</t>
  </si>
  <si>
    <t>Zhou, Ge</t>
  </si>
  <si>
    <t>Research on supplier performance evaluation system based on data mining with triangular fuzzy information</t>
  </si>
  <si>
    <t>Multiple attribute decision making (MADM); triangular fuzzy numbers; Bonferroni mean; triangular fuzzy Bonferroni mean (TFBM) operator; triangular fuzzy weighted Bonferroni mean (TFWBM) operator; Chinese traditional medicine industry; modernization development</t>
  </si>
  <si>
    <t>BONFERRONI MEAN OPERATORS; HYBRID AGGREGATION OPERATORS; ATTRIBUTE DECISION-MAKING; EINSTEIN OPERATIONS; IMPACT; SETS; SELECTION; MODEL; ERP</t>
  </si>
  <si>
    <t>From the beginning of 21th, enterprise's competition predominance depends on capability of green supply chain. Suppliers are fountains of green supply chain, and the performance will directly influence the whole supply chain performance. The green supplier performance management is a key and difficult question in green supply chain manage system, which contains two cores, supplier performance evaluation and performance improvement. With the practice of two items, enterprise can control supplier performance continuously, and take improve actions in time, make the supplier performance to achieve requested level. Finally, enterprise can optimize the competition capability. In this paper, we investigate the multiple attribute decision making (MADM) problems for supplier performance evaluation with triangular fuzzy information. Motivated by the idea of Bonferroni mean and Einstein operations, we develop the aggregation techniques called the triangular fuzzy Einstein Bonferroni mean (TFEBM) operator for aggregating the triangular fuzzy information. For the situations where the input arguments have different importance, we then define the triangular fuzzy weighted Einstein Bonferroni mean (TFWEBM) operator, based on which we develop the procedure for multiple attribute decision making under the triangular fuzzy environments. Finally, a practical example for supplier performance evaluation is given to verify the developed approach.</t>
  </si>
  <si>
    <t>[Zhou, Ge] Chongqing Youth Vocat &amp; Tech Coll, Dept Informat Engn, Chongqing, Peoples R China</t>
  </si>
  <si>
    <t>Zhou, G (corresponding author), Chongqing Youth Vocat &amp; Tech Coll, Dept Informat Engn, Chongqing, Peoples R China.</t>
  </si>
  <si>
    <t>4096185@qq.com</t>
  </si>
  <si>
    <t>10.3233/JIFS-16396</t>
  </si>
  <si>
    <t>DU9LY</t>
  </si>
  <si>
    <t>WOS:000382540000079</t>
  </si>
  <si>
    <t>Zhao, K; Yu, X</t>
  </si>
  <si>
    <t>Zhao, Kai; Yu, Xin</t>
  </si>
  <si>
    <t>A case based reasoning approach on supplier selection in petroleum enterprises</t>
  </si>
  <si>
    <t>Case based reasoning system; Information entropy; k-Prototype clustering; Back propagation neural networks</t>
  </si>
  <si>
    <t>RELATIONSHIP MANAGEMENT-SYSTEM; VENDOR SELECTION; ALGORITHM; DESIGN; COST</t>
  </si>
  <si>
    <t>Petroleum is an important strategic material which is connected with the vitals and safety of the national economy, and the supplier selections are related to the safety of petroleum production and supply. However, the traditional approaches for supplier selections are limited in subjective evaluation of weights, inaccurate assessing rules, and inefficient decision-making. Although most of the current methods are widely applied in corporation management, a more efficient approach needs to be proposed for supplier selection of oil enterprise. This paper summarizes the particular characteristics of the supply chain of Chinese petroleum enterprises, analyzes the limitations of the traditional methods of supplier selection, and brought forward the method based on case reasoning system (CBR) for petroleum enterprises. The method based on data mining techniques which solves three key problems of CBR, includes calculating the weights of the attributes with information entropy in case warehouse organizing process objectively, evaluating the similarities with k-prototype clustering between the original and target cases in case retrieving process exactly, and extracting the potential rules with back propagation neural networks from conclusions in maintenance and revising process efficiently. It demonstrates the advantages, practicability and validity of this method via case study finally. (C) 2010 Elsevier Ltd. All rights reserved.</t>
  </si>
  <si>
    <t>[Zhao, Kai] Heilongjiang Bayi Agr Univ, Coll Econ &amp; Management, Daqing, Peoples R China; [Zhao, Kai] Daqing Oilfield Co Ltd, Dept Management &amp; Law, Petrochina, Daqing, Peoples R China; [Yu, Xin] Univ Sci &amp; Technol, Dept Environm Engn, Beijing, Peoples R China</t>
  </si>
  <si>
    <t>Heilongjiang Bayi Agricultural University; Daqing Oilfield Company Limited; China National Petroleum Corporation; University of Science &amp; Technology Beijing</t>
  </si>
  <si>
    <t>Yu, X (corresponding author), Room 1803,10 Bldg, Beijing 100029, Peoples R China.</t>
  </si>
  <si>
    <t>zhaokai@petrochina.com.cn; rollyu@126.com</t>
  </si>
  <si>
    <t>10.1016/j.eswa.2010.12.055</t>
  </si>
  <si>
    <t>734OJ</t>
  </si>
  <si>
    <t>WOS:000288343900052</t>
  </si>
  <si>
    <t>Geng, NN; Zhang, Y; Sun, YX</t>
  </si>
  <si>
    <t>Geng, Nana; Zhang, Yong; Sun, Yixiang</t>
  </si>
  <si>
    <t>LOCATION OPTIMIZATION OF BIODIESEL PROCESSING PLANT BASED ON ROUGH SET AND CLUSTERING ALGORITHM - A CASE STUDY IN CHINA</t>
  </si>
  <si>
    <t>ENGINEERING REVIEW</t>
  </si>
  <si>
    <t>Biofuel; Supply chain; Rough set theory; Clustering algorithm</t>
  </si>
  <si>
    <t>SUPPLY CHAIN; BIOMASS; ENERGY; BIOENERGY; SYSTEMS; DESIGN</t>
  </si>
  <si>
    <t>Biofuel has an important role in alleviating the environmental pollution problem. More attention has been paid to optimization of biofuel supply chain in recent years. In this paper, a scientific, rational and practical biodiesel processing plant location with waste oil as the raw material was proposed in order to provide a theoretical basis for guiding the planning and management of restaurants, waste oil collection points, and processing plants. Considering the merits and demerits of the subjective and objective weighting methods, this paper proposes a new weighting method which is namely the combination of rough set theory and clustering algorithm. It then verifies the location results with a plant carbon emission. At last, this paper analyzes the location of biodiesel processing plant in the Yangtze River Delta of China and finds that the precision has been greatly improved with the new method comparing the RMSE and the R2 of the Delphi method with the improved rough set theory. By using this method, the weights of the influencing factors of biodiesel processing plants are the following: Waste oil supply 0.143, Fixed construction cost factor 0.343, Biodiesel demand 0.143 and Location convenience 0.371. In the comparison between the robust optimization method and the improved rough set theory, it was found that the final location results are the same, all being Jiaxing City. However, the improved rough set theory is much simpler than the robust optimization algorithm in the calculation process.</t>
  </si>
  <si>
    <t>[Geng, Nana; Zhang, Yong] Southeast Univ, Sch Transportat, Nanjing 210018, Peoples R China; [Sun, Yixiang] Nanjing Univ Aeronaut &amp; Astronaut, Sch Civil Aviat, Nanjing 211106, Peoples R China</t>
  </si>
  <si>
    <t>Southeast University - China; Nanjing University of Aeronautics &amp; Astronautics</t>
  </si>
  <si>
    <t>Geng, NN (corresponding author), Southeast Univ, Sch Transportat, Nanjing 210018, Peoples R China.</t>
  </si>
  <si>
    <t>shiyu0618@163.com</t>
  </si>
  <si>
    <t>Funding of Jiangsu Innovation Program for Graduate Education [KYLX15_0312]</t>
  </si>
  <si>
    <t>Funding of Jiangsu Innovation Program for Graduate Education</t>
  </si>
  <si>
    <t>This work was supported by the Funding of Jiangsu Innovation Program for Graduate Education (KYLX15_0312).</t>
  </si>
  <si>
    <t>UNIV RIJEKA, FAC ENGINEERING</t>
  </si>
  <si>
    <t>RIJEKA</t>
  </si>
  <si>
    <t>VUKOVARSKA 58, RIJEKA, 51000, CROATIA</t>
  </si>
  <si>
    <t>1330-9587</t>
  </si>
  <si>
    <t>1849-0433</t>
  </si>
  <si>
    <t>ENG REV</t>
  </si>
  <si>
    <t>Eng. Rev.</t>
  </si>
  <si>
    <t>10.30765/er.40.3.11</t>
  </si>
  <si>
    <t>LR9QR</t>
  </si>
  <si>
    <t>WOS:000536030200011</t>
  </si>
  <si>
    <t>Wang, MZ</t>
  </si>
  <si>
    <t>Wang, Minzhi</t>
  </si>
  <si>
    <t>Design and supply chain management of intelligent logistics system using cloud computing under internet of things</t>
  </si>
  <si>
    <t>INTERNATIONAL JOURNAL OF GRID AND UTILITY COMPUTING</t>
  </si>
  <si>
    <t>intelligent logistics system; internet of things; deep learning; convolutional neural network</t>
  </si>
  <si>
    <t>ALGORITHM; CNN; RECOGNITION; MODEL; RBM</t>
  </si>
  <si>
    <t>Image recognition is the key to smart logistics systems. Traditional handwriting feature extraction is difficult to meet the requirements of image recognition. Deep learning is used for image recognition. Firstly, Convolutional Neural Network (CNN) and deep Boltzmann machines under deep learning are introduced. Secondly, cellular neural networks are used to perform feature recognition and extraction on images. Finally, a Parzen classifier is used to classify the obtained image features. The novelty is that through the structural design and research of the intelligent logistics system, the CNN is combined to construct a management system of supply chain logistics of image recognition and information processing. Experiments show that the time for the improved algorithm to achieve high recognition accuracy on the Mixed National Institute of Standards and Technology mixed data set is 198.85 s. When the improved algorithm achieves the same recognition accuracy as the unimproved algorithm, the time is 159.65 s.</t>
  </si>
  <si>
    <t>[Wang, Minzhi] Henan Finance Univ, Sch Publ Finance &amp; Taxat, Zhengzhou, Henan, Peoples R China</t>
  </si>
  <si>
    <t>Henan Finance University</t>
  </si>
  <si>
    <t>Wang, MZ (corresponding author), Henan Finance Univ, Sch Publ Finance &amp; Taxat, Zhengzhou, Henan, Peoples R China.</t>
  </si>
  <si>
    <t>minzhi0026@163.com</t>
  </si>
  <si>
    <t>1741-847X</t>
  </si>
  <si>
    <t>1741-8488</t>
  </si>
  <si>
    <t>INT J GRID UTIL COMP</t>
  </si>
  <si>
    <t>Int. J. Grid Util. Comput.</t>
  </si>
  <si>
    <t>10.1504/IJGUC.2023.131007</t>
  </si>
  <si>
    <t>H5QL0</t>
  </si>
  <si>
    <t>WOS:000996505500012</t>
  </si>
  <si>
    <t>Chang, R</t>
  </si>
  <si>
    <t>Chang, Rui</t>
  </si>
  <si>
    <t>Evaluation Model of Enterprise Lean Management Effect Based on Data Mining</t>
  </si>
  <si>
    <t>DISCRETE DYNAMICS IN NATURE AND SOCIETY</t>
  </si>
  <si>
    <t>This article discusses the task allocation decision of single management ability and multiple management ability in view of the operation stage of the specific project of enterprise lean management service supply chain. First of all, the basic process of the management service integrator's task allocation to the functional management service provider is given. Based on factors such as business satisfaction and other factors, we construct a management task allocation model based on service income price discounts in the case of fuzzy demand. On this basis, we further dig out the external and internal related factors of supply risk, use enterprise research and data mining methods to verify theoretical hypotheses and identify related factors of supply risk, analyze the impact of the characteristics of cooperation with different types of suppliers in data mining to determine the key factors of supply risk for different types of supply and demand cooperation, and determine the focus of supply risk control for different types of suppliers for data mining. In the process of simulation experiment, the method of maximum satisfaction of fuzzy multiobjective programming is adopted, and the influence of factors such as the preference of decision-makers and price discounts on the result of task allocation is analyzed in combination with specific examples. Finally, on the basis of fully considering the characteristics of management services, we build a comprehensive evaluation index system for management service providers in terms of service capabilities, service quality, informatization capabilities, and cooperation risks and comprehensively consider the uncertain factors in the decision-making process. The experimental results show that the proposed interval data mining solution method based on the degree of possibility can realize the ranking of management service providers by combining the subjective wishes of decision-makers with the objective evaluation of data mining.</t>
  </si>
  <si>
    <t>[Chang, Rui] Hebei Petr Univ Technol, Chengde, Hebei, Peoples R China</t>
  </si>
  <si>
    <t>Hebei Petroleum University of Technology</t>
  </si>
  <si>
    <t>Chang, R (corresponding author), Hebei Petr Univ Technol, Chengde, Hebei, Peoples R China.</t>
  </si>
  <si>
    <t>changrui@cdpc.edu.cn</t>
  </si>
  <si>
    <t>1026-0226</t>
  </si>
  <si>
    <t>1607-887X</t>
  </si>
  <si>
    <t>DISCRETE DYN NAT SOC</t>
  </si>
  <si>
    <t>Discrete Dyn. Nat. Soc.</t>
  </si>
  <si>
    <t>FEB 23</t>
  </si>
  <si>
    <t>10.1155/2022/7381982</t>
  </si>
  <si>
    <t>Mathematics, Interdisciplinary Applications; Multidisciplinary Sciences</t>
  </si>
  <si>
    <t>Mathematics; Science &amp; Technology - Other Topics</t>
  </si>
  <si>
    <t>0A0HH</t>
  </si>
  <si>
    <t>WOS:000773642400001</t>
  </si>
  <si>
    <t>Nasr, N; Niaki, STA; Kashan, AH; Seifbarghy, M</t>
  </si>
  <si>
    <t>Nasr, Navid; Niaki, Seyed Taghi Akhavan; Kashan, Ali Hussenzadek; Seifbarghy, Mehdi</t>
  </si>
  <si>
    <t>An efficient solution method for an agri-fresh food supply chain: hybridization of Lagrangian relaxation and genetic algorithm</t>
  </si>
  <si>
    <t>Agri-fresh food supply chain (AFSC); Location-inventory-routing problem; Aggregate product movement; Perishability; Matheuristic; GA; Lagrangian relaxation</t>
  </si>
  <si>
    <t>CROSS-DOCKING; ROUTING PROBLEM; NETWORK DESIGN; POSTHARVEST LOSSES; SCHEDULING PROBLEM; CAUSAL FACTORS; LOCATION; MANAGEMENT; LOGISTICS; PERFORMANCE</t>
  </si>
  <si>
    <t>In the traditional agri-fresh food supply chain (AFSC), geographically dispersed small farmers transport their products individually to the market for sale. This leads to a higher transportation cost, which is the primary cause of farmers' low profitability. This paper formulates a traditional product movement problem in AFSC. First, the aggregate product movement model is combined with the vehicle routing model to redesign an existing AFSC (the ETKA Company; the most extensive domestic agri-fresh food supply chain in Iran) based on the available data. For the four-echelon, multi-period supply chain under investigation, a mixed integer linear programming (MILP) model is developed for the location-inventory-routing problem of perishable products via considering the clustering of farmers to minimize the total distribution cost. Considering the complexity of the problem, an efficient and effective matheuristic is introduced based on hybridizing the Lagrangian relaxation and genetic algorithm (GA). The solution obtained by the proposed matheuristic algorithm is robust and efficient in comparison with an exact solver, GA, and the Lagrangian relaxation approach individually. The comparison analysis reveals that the location-inventory-routing model is efficient, leading to a reduction in total distribution cost by 33% compared to the existing supply chain. Finally, the findings encourage further development and application of the proposed matheuristic to solve other complicated location-inventory-routing problems heuristically.</t>
  </si>
  <si>
    <t>[Nasr, Navid] Islamic Azad Univ, Sch Ind &amp; Mech Engn, Qazvin Branch, Tehran, Iran; [Niaki, Seyed Taghi Akhavan] Sharif Univ Technol, Dept Ind Engn, Tehran, Iran; [Kashan, Ali Hussenzadek] Tarbiat Modares Univ, Fac Ind &amp; Syst Engn, Tehran, Iran; [Seifbarghy, Mehdi] Alzahra Univ, Fac Engn, Dept Ind Engn, Tehran, Iran</t>
  </si>
  <si>
    <t>Islamic Azad University; Sharif University of Technology; Tarbiat Modares University; Alzahra University</t>
  </si>
  <si>
    <t>Niaki, STA (corresponding author), Sharif Univ Technol, Dept Ind Engn, Tehran, Iran.</t>
  </si>
  <si>
    <t>Niaki@sharif.edu</t>
  </si>
  <si>
    <t>Niaki, S.T.A./B-4008-2011</t>
  </si>
  <si>
    <t>Niaki, S.T.A./0000-0001-6281-055X</t>
  </si>
  <si>
    <t>2021 APR 23</t>
  </si>
  <si>
    <t>10.1007/s11356-021-13718-8</t>
  </si>
  <si>
    <t>RR1KP</t>
  </si>
  <si>
    <t>WOS:000642866000009</t>
  </si>
  <si>
    <t>Lam, HL; Varbanov, PS; Klemes, JJ</t>
  </si>
  <si>
    <t>Lam, Hon Loong; Varbanov, Petar Sabev; Klemes, Jiri Jaromir</t>
  </si>
  <si>
    <t>Optimisation of regional energy supply chains utilising renewables: P-graph approach</t>
  </si>
  <si>
    <t>COMPUTERS &amp; CHEMICAL ENGINEERING</t>
  </si>
  <si>
    <t>Regional Energy Clustering Algorithm; Biomass supply chain synthesis; Process graph (P-graph); Carbon Footprint minimisation; Renewable energy sources</t>
  </si>
  <si>
    <t>HEAT-EXCHANGER NETWORKS; INTEGRATED SYNTHESIS; BIOMASS</t>
  </si>
  <si>
    <t>This paper presents a new method for regional energy targeting and supply chain synthesis. The method is based on a novel approach to the optimisation of renewable energy supply. A new algorithm for revealing energy supply chain clusters is introduced, described and illustrated by a case study. It has been developed on two levels. The first is a top-level supply chain network with lowest Carbon Footprint generated. It consists of a number of zone clusters. The definition of zones is provided: it can be e.g. a village or a town. Each zone is considered as a unit. At the second level is a supply chain synthesis carried out by P-graph based optimisation within each cluster. It provides a more detailed analysis. The use of the P-graph framework as a synthesis toolset provides a strong mathematically proven fundament for handling the complexity of the synthesis problem. It contributes to the optimal network design with a high computational efficiency. This approach contributes to the cleaner generation of energy from biomass, approaching CO2 neutrality as much as possible. It is beneficial for extending the use of biomass as a renewable source of energy. (C) 2010 Published by Elsevier Ltd.</t>
  </si>
  <si>
    <t>[Lam, Hon Loong; Varbanov, Petar Sabev; Klemes, Jiri Jaromir] Univ Pannonia, Ctr Proc Integrat &amp; Intensificat CPI2, Res Inst Chem &amp; Proc Engn, Fac Informat Technol, H-8200 Veszprem, Hungary</t>
  </si>
  <si>
    <t>Klemes, JJ (corresponding author), Univ Pannonia, Ctr Proc Integrat &amp; Intensificat CPI2, Res Inst Chem &amp; Proc Engn, Fac Informat Technol, Egyet 10, H-8200 Veszprem, Hungary.</t>
  </si>
  <si>
    <t>klemes@cpi.uni-pannon.hu</t>
  </si>
  <si>
    <t>Varbanov, Petar Sabev/B-8954-2009; Lam, Loong/A-7422-2010; Klemes, Jiri Jaromir/B-7291-2009; Lam, Hon Loong/H-1438-2016</t>
  </si>
  <si>
    <t>Varbanov, Petar Sabev/0000-0001-5261-1645; Klemes, Jiri Jaromir/0000-0002-7450-7029; Lam, Hon Loong/0000-0003-1818-9078</t>
  </si>
  <si>
    <t>0098-1354</t>
  </si>
  <si>
    <t>1873-4375</t>
  </si>
  <si>
    <t>COMPUT CHEM ENG</t>
  </si>
  <si>
    <t>Comput. Chem. Eng.</t>
  </si>
  <si>
    <t>MAY 10</t>
  </si>
  <si>
    <t>10.1016/j.compchemeng.2009.11.020</t>
  </si>
  <si>
    <t>Computer Science, Interdisciplinary Applications; Engineering, Chemical</t>
  </si>
  <si>
    <t>597HK</t>
  </si>
  <si>
    <t>WOS:000277747300019</t>
  </si>
  <si>
    <t>Trappey, CV; Trappey, AJC; Chang, AC; Huang, AYL</t>
  </si>
  <si>
    <t>Trappey, Charles V.; Trappey, Amy J. C.; Chang, Ai-Che; Huang, Ashley Y. L.</t>
  </si>
  <si>
    <t>Clustering analysis prioritization of automobile logistics services</t>
  </si>
  <si>
    <t>Automotive industry; Distribution channels and markets; Channel relationships; Cluster analysis</t>
  </si>
  <si>
    <t>CUSTOMER RELATIONSHIP MANAGEMENT; MARKET-SEGMENTATION; K-MEANS; PERFORMANCE; INTEGRATION; SELECTION; BUSINESS; INDUSTRY; MAP; HUB</t>
  </si>
  <si>
    <t>Purpose - The purpose of this paper is to provide a clustering approach to segment supply chain partners in the automobile industry and prioritize services offered by third party logistics service (3PL) providers. Design/methodology/approach - In total, 98 automobile and auto-parts manufacturers are surveyed to identify service needs, preferences, and outsourcing commitments. By applying a two-stage clustering approach combined with Ward's minimum-variance method and the K-means algorithm, the logistics companies prioritize their services to better satisfy groups of customers with specific preferences. Findings - Four distinctive groups of manufacturers are identified using the two-stage clustering approach. The clusters separate logistic preferences and outsourcing patterns of after market parts suppliers, original equipment service parts suppliers, original equipment manufacturer parts suppliers, and tier one car makers. The paper finds that distribution and delivery services hold the highest percentage of services outsourced among the manufacturers. Originality/value - This paper models logistic services as customizable services and develops a data system methodology to define the profiles of automobile manufacturers and their preferred logistic services. Through the analysis of service preferences and clustering, the paper identifies the key logistic services that can be customized for members of the automobile supply chain. A case is provided which demonstrates how a logistics company can provide customized service designs for specific target markets and customers.</t>
  </si>
  <si>
    <t>[Trappey, Charles V.] Natl Chiao Tung Univ, Dept Management Sci, Hsinchu, Taiwan; [Trappey, Amy J. C.; Chang, Ai-Che] Natl Taipei Univ Technol, Dept Ind Engn &amp; Management, Taipei, Taiwan; [Trappey, Amy J. C.; Huang, Ashley Y. L.] Natl Tsing Hua Univ, Dept Ind Engn &amp; Engn Management, Hsinchu, Taiwan</t>
  </si>
  <si>
    <t>National Yang Ming Chiao Tung University; National Taipei University of Technology; National Tsing Hua University</t>
  </si>
  <si>
    <t>Trappey, CV (corresponding author), Natl Chiao Tung Univ, Dept Management Sci, Hsinchu, Taiwan.</t>
  </si>
  <si>
    <t>trappey@faculty.nctu.edu.tw</t>
  </si>
  <si>
    <t>Trappey, Charles/AAM-7310-2021</t>
  </si>
  <si>
    <t>Trappey, Charles/0000-0002-3069-6702</t>
  </si>
  <si>
    <t>National Science Council; Industrial Technology Research Institute</t>
  </si>
  <si>
    <t>National Science Council(Ministry of Science and Technology, Taiwan); Industrial Technology Research Institute</t>
  </si>
  <si>
    <t>This paper is partially supported by the National Science Council and the Industrial Technology Research Institute Research Grants.</t>
  </si>
  <si>
    <t>5-6</t>
  </si>
  <si>
    <t>10.1108/02635571011044759</t>
  </si>
  <si>
    <t>638YE</t>
  </si>
  <si>
    <t>WOS:000280935600006</t>
  </si>
  <si>
    <t>Rivera-Royero, D; Jaller, M; Jenn, A</t>
  </si>
  <si>
    <t>Rivera-Royero, Daniel; Jaller, Miguel; Jenn, Alan</t>
  </si>
  <si>
    <t>Impacts of Precautionary and Opportunistic Buying Behaviors and Supply Issues on Supply Chain Resilience During the COVID-19 Pandemic</t>
  </si>
  <si>
    <t>TRANSPORTATION RESEARCH RECORD</t>
  </si>
  <si>
    <t>freight; resilience; sustainability; supply chain; logistics</t>
  </si>
  <si>
    <t>SOCIAL MEDIA</t>
  </si>
  <si>
    <t>This paper proposes a text analytics approach using dictionary-based clustering, word counting data, and discrete regression modeling to study the relationship between demand behaviors and supply issues affecting supply chain resilience during the first stages of the COVID-19 pandemic. The work used news and media articles gathered from the LexisNexis database covering 5 months between February and July 2020. The data analyses describe the general patterns in the news texts by using text mining techniques, and the methodology describes the relationship between consumer behavior, supply chain issues, and the reduced level of service shown during the study period. Demand behaviors include precautionary and opportunistic buying, which affected many countries and could be the result of a lack of perceived control and other factors; for example, near-empty shelves of certain products could have prompted consumers to increasingly look for comparable products, driving up demand. Additionally, the method explored the potential effect of strategies to mitigate impacts on the resilience of supply chains. The results confirmed that buying behaviors and a reduction in the capacity of the supply chain led to a lower level of service being perceived by consumers, however, resilience strategies were found to mitigate the impact of such capacity reductions. Empirical analyses showed that the proposed approach, using data extracted from the news, could identify and represent impacts consistent with expectations from the supply chain field under disruptions, and quantify the magnitude of the impacts as the pandemic evolved, providing more information for decision making.</t>
  </si>
  <si>
    <t>[Rivera-Royero, Daniel] Univ Calif Davis, Inst Transportat Studies, Davis, CA 95616 USA; [Jaller, Miguel] Univ Calif Davis, Inst Transportat Studies, Dept Civil &amp; Environm Engn, Sustainable Freight Res Program, Davis, CA 95616 USA; [Jenn, Alan] Univ Calif Davis, Inst Transportat Studies, Plug Hybrid &amp; Elect Vehicle PH&amp;EV, Davis, CA 95616 USA</t>
  </si>
  <si>
    <t>University of California System; University of California Davis; University of California System; University of California Davis; University of California System; University of California Davis</t>
  </si>
  <si>
    <t>Jaller, M (corresponding author), Univ Calif Davis, Inst Transportat Studies, Dept Civil &amp; Environm Engn, Sustainable Freight Res Program, Davis, CA 95616 USA.</t>
  </si>
  <si>
    <t>mjaller@ucdavis.edu</t>
  </si>
  <si>
    <t>Rivera-Royero, Daniel/0000-0003-2137-5664; Jenn, Alan/0000-0003-4232-0697</t>
  </si>
  <si>
    <t>U.S. Department of Transportation through the Center for Transportation, Environment, and Community Health at the University of California, Davis</t>
  </si>
  <si>
    <t>The authors disclosed receipt of the following financial support for the research, authorship, and/or publication of this article: This study was funded by a grant from U.S. Department of Transportation through the Center for Transportation, Environment, and Community Health at the University of California, Davis.</t>
  </si>
  <si>
    <t>0361-1981</t>
  </si>
  <si>
    <t>2169-4052</t>
  </si>
  <si>
    <t>TRANSPORT RES REC</t>
  </si>
  <si>
    <t>Transp. Res. Record</t>
  </si>
  <si>
    <t>2022 OCT 6</t>
  </si>
  <si>
    <t>10.1177/03611981221124880</t>
  </si>
  <si>
    <t>Engineering, Civil; Transportation; Transportation Science &amp; Technology</t>
  </si>
  <si>
    <t>Engineering; Transportation</t>
  </si>
  <si>
    <t>5D4CW</t>
  </si>
  <si>
    <t>WOS:000864893000001</t>
  </si>
  <si>
    <t>Kanemoto, K; Hanaka, T; Kagawa, S; Nansai, K</t>
  </si>
  <si>
    <t>Kanemoto, Keiichiro; Hanaka, Tesshu; Kagawa, Shigemi; Nansai, Keisuke</t>
  </si>
  <si>
    <t>Industrial clusters with substantial carbon-reduction potential</t>
  </si>
  <si>
    <t>Cluster analysis; embodied emissions; input-output analysis</t>
  </si>
  <si>
    <t>COMMUNITY STRUCTURE; SUPPLY CHAIN; MANAGEMENT; COLLABORATION; MATRIX; CONSUMPTION; INNOVATION</t>
  </si>
  <si>
    <t>To successfully reduce environmental emissions, companies need to expand the scope of their emissions accounting to include entire supply chains. A clustering approach has been used to find emission-intensive industry clusters. However, this approach did not include entire direct and indirect supply chains when forming high emission industry clusters. We propose a new method based on a modified normalized cut function with Leontief's input-output model and basic clustering algorithms to find industry clusters with high levels of embodied within-cluster emissions that are well separated in the supply chain network. We use this method to identify 58 carbon-intensive clusters of Japanese industries and visualize the within-cluster supply chains in terms of embodied carbon flows. We recommend that companies collaborate within clusters to reduce environmental emissions. Our results provide new insights on where to target emissions reduction actions and technology development within industrial supply chains.</t>
  </si>
  <si>
    <t>[Kanemoto, Keiichiro] Shinshu Univ, Fac Econ &amp; Law, Nagano, Japan; [Hanaka, Tesshu; Kagawa, Shigemi] Kyushu Univ, Fac Econ, Fukuoka, Fukuoka, Japan; [Nansai, Keisuke] Natl Inst Environm Studies, Ctr Mat Cycles &amp; Waste Management Res, Tsukuba, Ibaraki, Japan; [Hanaka, Tesshu] Chuo Univ, Fac Sci &amp; Engn, Dept Informat &amp; Syst Engn, Tokyo, Japan; [Nansai, Keisuke] Univ Sydney, Fac Sci, Sydney, NSW, Australia</t>
  </si>
  <si>
    <t>Shinshu University; Kyushu University; National Institute for Environmental Studies - Japan; Chuo University; University of Sydney</t>
  </si>
  <si>
    <t>Kanemoto, K (corresponding author), Shinshu Univ, Fac Econ &amp; Law, Nagano, Japan.</t>
  </si>
  <si>
    <t>keiichiro.kanemoto@gmail.com</t>
  </si>
  <si>
    <t>Kanemoto, Keiichiro/O-9633-2016; Hanaka, Tesshu/AAD-9828-2021; Nansai, Keisuke/C-2516-2008</t>
  </si>
  <si>
    <t>Kanemoto, Keiichiro/0000-0003-0230-9020; Hanaka, Tesshu/0000-0001-6943-856X; Nansai, Keisuke/0000-0002-2449-1874; Kagawa, Shigemi/0000-0003-3936-4103</t>
  </si>
  <si>
    <t>Japan Society for the Promotion of Science [15H05341, 26881005, 26241031, 16H01797]; Grants-in-Aid for Scientific Research [15H05341, 26881005] Funding Source: KAKEN</t>
  </si>
  <si>
    <t>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</si>
  <si>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work was supported by the Japan Society for the Promotion of Science through its Grant-in-Aid for Young Scientists (A) 15H05341, (Start-up) 26881005, and Grant-in-Aid for Scientific Research (A) 26241031 and 16H01797.</t>
  </si>
  <si>
    <t>10.1080/09535314.2018.1492369</t>
  </si>
  <si>
    <t>HX9YV</t>
  </si>
  <si>
    <t>WOS:000467765900006</t>
  </si>
  <si>
    <t>Alhameli, F; Ahmadian, A; Elkamel, A</t>
  </si>
  <si>
    <t>Alhameli, Falah; Ahmadian, Ali; Elkamel, Ali</t>
  </si>
  <si>
    <t>Multiscale Decision-Making for Enterprise-Wide Operations Incorporating Clustering of High-Dimensional Attributes and Big Data Analytics: Applications to Energy Hub</t>
  </si>
  <si>
    <t>ENERGIES</t>
  </si>
  <si>
    <t>multiscale decision making; big data analytics; planning and scheduling; clustering; supply chain; multiple attributes; computational complexity; energy hub</t>
  </si>
  <si>
    <t>INTEGER PROGRAMMING APPROACH; MULTIPERIOD OPTIMIZATION; DISTRIBUTION NETWORK; OPTIMAL STORAGE; DEMAND; MODEL</t>
  </si>
  <si>
    <t>In modern systems, there is a tendency to model issues more accurately with low computational cost and considering multiscale decision-making which increases the complexity of the optimization. Therefore, it is necessary to develop tools to cope with these new challenges. Supply chain management of enterprise-wide operations usually involves three decision levels: strategic, tactical, and operational. These decision levels depend on each other involving different time scales. Accordingly, their integration usually leads to multiscale models that are computationally intractable. In this work, the aim is to develop novel clustering methods with multiple attributes to tackle the integrated problem. As a result, a clustering structure is proposed in the form of a mixed integer non-linear program (MINLP) later converted into a mixed integer linear program (MILP) for clustering shape-based time series data with multiple attributes through a multi-objective optimization approach (since different attributes have different scales or units) and minimize the computational complexity of multiscale decision problems. The results show that normal clustering is closer to the optimal case (full-scale model) compared with sequence clustering. Additionally, it provides improved solution quality due to flexibility in terms of sequence restrictions. The developed clustering algorithms can work with any two-dimensional datasets and simultaneous demand patterns. The most suitable applications of the clustering algorithms are long-term planning and integrated scheduling and planning problems. To show the performance of the proposed method, it is investigated on an energy hub as a case study, the results show a significant reduction in computational cost with accuracies ranging from 95.8% to 98.3%.</t>
  </si>
  <si>
    <t>[Alhameli, Falah; Ahmadian, Ali; Elkamel, Ali] Univ Waterloo, Dept Chem Engn, Waterloo, ON N2L 3G1, Canada; [Ahmadian, Ali] Univ Bonab, Dept Elect Engn, Bonab 5551761167, Iran</t>
  </si>
  <si>
    <t>University of Waterloo; University of Bonab</t>
  </si>
  <si>
    <t>Ahmadian, A; Elkamel, A (corresponding author), Univ Waterloo, Dept Chem Engn, Waterloo, ON N2L 3G1, Canada.;Ahmadian, A (corresponding author), Univ Bonab, Dept Elect Engn, Bonab 5551761167, Iran.</t>
  </si>
  <si>
    <t>falhamel@uwaterloo.ca; ali.ahmadian@uwaterloo.ca; aelkamel@uwaterloo.ca</t>
  </si>
  <si>
    <t>Sharif-Ahmadian, Ali/D-1228-2009</t>
  </si>
  <si>
    <t>Alhameli, Falah/0000-0001-6972-366X</t>
  </si>
  <si>
    <t>1996-1073</t>
  </si>
  <si>
    <t>Energies</t>
  </si>
  <si>
    <t>10.3390/en14206682</t>
  </si>
  <si>
    <t>Energy &amp; Fuels</t>
  </si>
  <si>
    <t>WR7HN</t>
  </si>
  <si>
    <t>WOS:000714667600001</t>
  </si>
  <si>
    <t>Thomassey, S</t>
  </si>
  <si>
    <t>Thomassey, Sebastien</t>
  </si>
  <si>
    <t>Sales forecasts in clothing industry: The key success factor of the supply chain management</t>
  </si>
  <si>
    <t>Sales forecasts; Textile-apparel supply chain; Clothing industry; Sourcing simulation</t>
  </si>
  <si>
    <t>NEURAL-NETWORKS; DECISION TREES; ROUGH SETS; SYSTEM; CLASSIFICATION; PERFORMANCE; EXTRACTION; APPAREL; DEMAND; IMPACT</t>
  </si>
  <si>
    <t>Like many others, Textile-apparel companies have to deal with a very competitive environment and have to manage consumers which become more demanding. Thus, to stay competitive, companies rely on sophisticated information systems and logistic skills, and especially accurate and reliable forecasting systems. However, forecasters have to deal with some singular constraints of the textile-apparel market such as for instance the volatile demand, the strong seasonality of sales, the wide number of items with short life cycle or the lack of historical data. To respond to these constraints, companies have implemented specific forecasting systems often simple but robust. After the study of existing practices in the clothing industry, we propose different forecasting models which perform more accurate and more reliable sales forecasts. These models rely on advanced methods such as fuzzy logic, neural networks and data mining. In order to evaluate the benefits of these methods for the supply chain and more especially for the reduction of the bullwhip effect, a simulation based on real data of sourcing and forecasting processes is performed and analyzed. (C) 2010 Elsevier B.V. All rights reserved.</t>
  </si>
  <si>
    <t>[Thomassey, Sebastien] ENSAIT GEMTEX, F-59100 Roubaix, France; [Thomassey, Sebastien] Univ Lille Nord France, F-59100 Lille, France</t>
  </si>
  <si>
    <t>Universite de Lille - ISITE; Universite de Lille; Ecole Nationale Superieure des Arts et Industries Textiles (ENSAIT); Universite de Lille - ISITE; Universite de Lille</t>
  </si>
  <si>
    <t>Thomassey, S (corresponding author), ENSAIT GEMTEX, 2 Allee Louise &amp; Victor Champier, F-59100 Roubaix, France.</t>
  </si>
  <si>
    <t>sebastien.thomassey@ensait.fr</t>
  </si>
  <si>
    <t>thomassey, sebastien/AAZ-9320-2020</t>
  </si>
  <si>
    <t>thomassey, sebastien/0000-0002-5556-7173</t>
  </si>
  <si>
    <t>10.1016/j.ijpe.2010.07.018</t>
  </si>
  <si>
    <t>689YR</t>
  </si>
  <si>
    <t>WOS:000284967500003</t>
  </si>
  <si>
    <t>Kazancoglu, Y; Sagnak, M; Mangla, SK; Sezer, MD; Pala, MO</t>
  </si>
  <si>
    <t>Kazancoglu, Yigit; Sagnak, Muhittin; Mangla, Sachin Kumar; Sezer, Muruvvet Deniz; Pala, Melisa Ozbiltekin</t>
  </si>
  <si>
    <t>A fuzzy based hybrid decision framework to circularity in dairy supply chains through big data solutions</t>
  </si>
  <si>
    <t>Dairy supply chain; Barriers; Circular economy; Big data solution; Fuzzy ANP-VIKOR; Group decision making system</t>
  </si>
  <si>
    <t>LIFE-CYCLE ASSESSMENT; ENVIRONMENTAL SUSTAINABILITY; BUSINESS ANALYTICS; SANTA-CATARINA; VIKOR METHOD; KEY FACTORS; MANAGEMENT; BARRIERS; PERFORMANCE; SYSTEMS</t>
  </si>
  <si>
    <t>This study determines the potential barriers to achieving circularity in dairy supply chains; it proposes a framework which covers big data driven solutions to deal with the suggested barriers. The main contribution of the study is to propose a framework by making ideal matching and ranking of big data solutions to barriers to circularity in dairy supply chains. This framework further offers a specific roadmap as a practical contribution while investigating companies with restricted resources. In this study the main barriers are classified as 'economic', 'environmental', 'social and legal', 'technological', 'supply chain management' and 'strategic' with twenty-seven sub-barriers. Various big data solutions such as machine learning, optimization, data mining, cloud computing, artificial neural network, statistical techniques and social network analysis have been suggested. Big data solutions are matched with circularity focused barriers to show which solutions succeed in overcoming barriers. A hybrid decision framework based on the fuzzy ANP and the fuzzy VIKOR is developed to find the weights of the barriers and to rank the big data driven solutions. The results indicate that among the main barriers, 'economic' was of the highest importance, followed by 'technological', 'environmental', 'strategic', 'supply chain management' then 'social and legal barrier' in dairy supply chains. In order to overcome circularity focused barriers, 'optimization' is determined to be the most important big data solution. The other solutions to overcoming proposed challenges are 'data mining', 'machine learning', 'statistical techniques' and 'artificial neural network' respectively. The suggested big data solutions will be useful for policy makers and managers to deal with potential barriers in implementing circularity in the context of dairy supply chains.</t>
  </si>
  <si>
    <t>[Kazancoglu, Yigit] Yasar Univ, Dept Logist Management, TR-35100 Izmir, Turkey; [Sagnak, Muhittin] Izmir Katip Celebi Univ, Dept Informat &amp; Document Management, Balatcik Kampusu, TR-35620 Cigli Izmir, Turkey; [Mangla, Sachin Kumar] OP Jindal Global Univ, Jindal Global Business Sch, Sonipat, Haryana, India; [Mangla, Sachin Kumar] Univ Plymouth, Plymouth Business Sch, Plymouth, Devon, England; [Sezer, Muruvvet Deniz] Yasar Univ, Business Adm Dept, TR-35100 Izmir, Turkey; [Pala, Melisa Ozbiltekin] Yasar Univ, Logist Management Dept, TR-35100 Izmir, Turkey</t>
  </si>
  <si>
    <t>Yasar University; Izmir Katip Celebi University; O.P. Jindal Global University; University of Plymouth; Yasar University; Yasar University</t>
  </si>
  <si>
    <t>Mangla, SK (corresponding author), OP Jindal Global Univ, Jindal Global Business Sch, Sonipat, Haryana, India.;Mangla, SK (corresponding author), Univ Plymouth, Plymouth Business Sch, Plymouth, Devon, England.</t>
  </si>
  <si>
    <t>yigit.kazancoglu@yasar.edu.tr; muhittin.sagnak@ikc.edu.tr; sachin.kumar@plymouth.ac.uk; deniz.sezer@yasar.edu.tr; melisa.ozbiltekin@yasar.edu.tr</t>
  </si>
  <si>
    <t>Kazancoglu, Yigit/E-7705-2015; Kazancoglu, Yigit/AAT-5676-2021; Ozbiltekin-Pala, Melisa/AAA-2580-2019; Sagnak, Muhittin/AAZ-1223-2020</t>
  </si>
  <si>
    <t>Kazancoglu, Yigit/0000-0001-9199-671X; Kazancoglu, Yigit/0000-0001-9199-671X; Ozbiltekin-Pala, Melisa/0000-0002-1356-3203; Sagnak, Muhittin/0000-0002-0799-0348; Sezer, Muruvvet Deniz/0000-0002-4630-2464; KUMAR MANGLA, SACHIN/0000-0001-7166-5315</t>
  </si>
  <si>
    <t>10.1016/j.techfore.2021.120927</t>
  </si>
  <si>
    <t>TI1SF</t>
  </si>
  <si>
    <t>WOS:000672564400004</t>
  </si>
  <si>
    <t>Rao, S; Ellis, SC; Goldsby, TJ; Raju, D</t>
  </si>
  <si>
    <t>Rao, Shashank; Ellis, Scott C.; Goldsby, Thomas J.; Raju, Dheeraj</t>
  </si>
  <si>
    <t>On the Invisible Inventory Conundrum in RFID-Equipped Supply Chains: A Data Science Approach to Assessing Tag Performance</t>
  </si>
  <si>
    <t>JOURNAL OF BUSINESS LOGISTICS</t>
  </si>
  <si>
    <t>RFID; supply chain visibility; retail; data mining; data science; inventory</t>
  </si>
  <si>
    <t>RESOURCE-MANAGEMENT SYSTEM; INFORMATION-TECHNOLOGY; 3RD-PARTY LOGISTICS; BIG DATA; VISIBILITY; IMPACT; CHALLENGES; ANALYTICS; ADOPTION; LINKING</t>
  </si>
  <si>
    <t>Recent trade reports suggest that RFID implementation continues to lag lofty projections. A primary concern is that, despite the high cost of implementing RFID systems, realized read-rates fall short of expectations. This results in the invisible inventory conundrum whereby tagged merchandise may still not be accurately represented in inventory records. Drawing from data science to address this issue, we ask: How can directed data mining models be used to identify laboratory test performance criteria for RFID tags that operate reliably across the idiosyncratic facilities (i.e., unique DCs, warehouses, and stores) that comprise apparel retailers' supply chains? We investigate this question by advancing a methodology that integrates laboratory test performance data, field tests of RFID tags fixed to apparel items and scanned under normal operating conditions, and the application of five directed data mining models to the integrated data set of laboratory and field test results. Our analyses of 45,416 observations show that two directed data mining models may identify-with near-100% accuracy-laboratory test criteria that discriminate tags having 99% or greater read-rates in the field. Accordingly, our study validates a generalizable methodology for identifying technical performance standards for tags that operate reliably within apparel retailers' supply chains.</t>
  </si>
  <si>
    <t>[Rao, Shashank] Auburn Univ, SCM, Harbert Coll Business, Auburn, AL 36849 USA; [Ellis, Scott C.] Georgia Southern Univ, Supply Chain Management, Statesboro, GA 30460 USA; [Goldsby, Thomas J.] Univ Tennessee, Supply Chain Management, Knoxville, TN 37996 USA; [Raju, Dheeraj] Canc Treatment Ctr Amer Global Inc, Boca Raton, FL USA</t>
  </si>
  <si>
    <t>Auburn University System; Auburn University; University System of Georgia; Georgia Southern University; University of Tennessee System; University of Tennessee Knoxville</t>
  </si>
  <si>
    <t>Ellis, SC (corresponding author), Georgia Southern Univ, Parker Coll Business, Dept Logist &amp; Supply Chain Management, Box 8036, Statesboro, GA 30460 USA.</t>
  </si>
  <si>
    <t>sellis@geor-giasouthern.edu</t>
  </si>
  <si>
    <t>0735-3766</t>
  </si>
  <si>
    <t>2158-1592</t>
  </si>
  <si>
    <t>J BUS LOGIST</t>
  </si>
  <si>
    <t>J. Bus. Logist.</t>
  </si>
  <si>
    <t>10.1111/jbl.12232</t>
  </si>
  <si>
    <t>JZ7ID</t>
  </si>
  <si>
    <t>WOS:000505281000005</t>
  </si>
  <si>
    <t>Van Campenhout, B; De, A</t>
  </si>
  <si>
    <t>Van Campenhout, Bjorn; De, Anusha</t>
  </si>
  <si>
    <t>Gendered perceptions in maize supply chains: Evidence from Uganda</t>
  </si>
  <si>
    <t>DEVELOPMENT POLICY REVIEW</t>
  </si>
  <si>
    <t>gender; maize supply chain; perceptions; Uganda</t>
  </si>
  <si>
    <t>SELF-RATINGS; PERFORMANCE; SOUTHERN; EASTERN; FEMALE; BIAS; PROFESSORS; QUALITY; MARKETS; IMPACT</t>
  </si>
  <si>
    <t>MotivationFaced by imperfect information about the performance of value chain actors, transactions are often based on perceptions. Inaccurate perceptions may result in inefficient value chains. Biased perceptions, especially about women, may affect inclusiveness. PurposeWe aim to compare perceptions by farmers, input dealers, traders, and processors in Uganda's maize value chain. Specifically, we compare ratings given by farmers to self-ratings of dealers, traders and processors. We test if male farmers rate others differently as compared to female farmers; if men and women rate themselves differently; and whether female farmers rate female value chain actors more highly by virtue of being of the same gender (homophily). Methods and approachA random sample of 1526 small-scale farmers growing maize from the Eastern region in Uganda were asked to rate agro-input dealers, traders, and processors by ease of access, quality of services, price competitiveness, and reputation. These value chain actors-78 agro-input dealers, 341 assembly traders, and 174 processors-were then asked to assess themselves.Descriptive analysis, t-tests, and multivariate regression with two-way non-nested clustering were used for the analysis. FindingsWe find that input dealers, traders, and processors rate themselves more highly than farmers rate them. For self-assessments, the gender of the value chain actor does not matter. Female farmers tend to rate the dealers, traders, and processors more highly than male farmers do. The sex of the actor rated does not affect the rating they receive; we also find no signs that women rate women more highly than they rate men. Policy implicationsIt is reassuring to see that in Eastern Uganda, women as dealers, traders, and processors were not rated lower than their male counterparts. It was equally reassuring to see that dealers, traders, and processors were rated well for quality by farmers-a frequent concern in Uganda is that they provide poor service. They did not score so well, however, for competitive prices. Policies to encourage competition and new entrants may help. That dealers, traders, and processors rate themselves more highly than farmers do, could lead to complacency, in turn hindering investment and innovation. The gap in perceptions might be reduced if there were certification by an independent agency, or if farmer ratings were crowd sourced.</t>
  </si>
  <si>
    <t>[Van Campenhout, Bjorn] Int Food Policy Res Inst, Dev Strategy &amp; Governance Div, Leuven, Belgium; [Van Campenhout, Bjorn; De, Anusha] Katholieke Univ Leuven, LICOS Ctr Inst &amp; Econ Performance, Leuven, Belgium; [De, Anusha] Univ Gottingen, Dept Agr Econ &amp; Rural Dev, Gottingen, Germany</t>
  </si>
  <si>
    <t>CGIAR; International Food Policy Research Institute (IFPRI); KU Leuven; University of Gottingen</t>
  </si>
  <si>
    <t>De, A (corresponding author), Katholieke Univ Leuven, LICOS Ctr Inst &amp; Econ Performance, Leuven, Belgium.;De, A (corresponding author), Univ Gottingen, Dept Agr Econ &amp; Rural Dev, Gottingen, Germany.</t>
  </si>
  <si>
    <t>anusha.de@kuleuven.be</t>
  </si>
  <si>
    <t>Van Campenhout, Bjorn/0000-0003-2404-7826; De, Anusha/0000-0002-5044-8212</t>
  </si>
  <si>
    <t>0950-6764</t>
  </si>
  <si>
    <t>1467-7679</t>
  </si>
  <si>
    <t>DEV POLICY REV</t>
  </si>
  <si>
    <t>Dev. Policy Rev.</t>
  </si>
  <si>
    <t>10.1111/dpr.12662</t>
  </si>
  <si>
    <t>Development Studies</t>
  </si>
  <si>
    <t>9I0RK</t>
  </si>
  <si>
    <t>hybrid, Green Accepted, Green Published</t>
  </si>
  <si>
    <t>WOS:000920023300001</t>
  </si>
  <si>
    <t>Ouidadi, H; Guo, SH; Zamiela, C; Bian, LK</t>
  </si>
  <si>
    <t>Ouidadi, Hasnaa; Guo, Shenghan; Zamiela, Christian; Bian, Linkan</t>
  </si>
  <si>
    <t>Real-time defect detection using online learning for laser metal deposition</t>
  </si>
  <si>
    <t>JOURNAL OF MANUFACTURING PROCESSES</t>
  </si>
  <si>
    <t>Online learning; Transfer learning; Self-organizing maps; K-means; Additive manufacturing; Real-time anomaly detection</t>
  </si>
  <si>
    <t>POROSITY; PREDICTION; ALGORITHM</t>
  </si>
  <si>
    <t>Defect prevention and detection are very crucial for the quality improvement of additive manufacturing (AM) processes. Timely identification of imperfections and flaws in the manufactured products will allow effective and early implementation of corrective actions and thus impede the spread of defects to the whole industrial value chain. In laser metal deposition (LMD) AM processes, defects are imperfections which typically include porosity and cracks formation. This study presents novel data-driven anomaly detection techniques that use both transfer learning and online learning to assess the quality of melt pool images taken during the LMD process of a part. The proposed methods incorporate the characteristics and dynamics of the manufactured part during the printing process along with previous knowledge acquired from historical data. Continual online learning models (K-means and self-organizing maps) are developed whose parameters are adapted to the incoming data collected in real-time as a new part is being manufactured. The proposed models significantly outperformed the performance of their batch-learning counterparts in detecting anomalous melt pool images in an additively manufactured Ti-6Al-4V thin-walled part. Both models required an average of similar to 0.07 s to process each incoming melt pool image, update their parameters and give a prediction on the image's health. This shows the potential of continual online learning for real-time anomaly detection.</t>
  </si>
  <si>
    <t>[Ouidadi, Hasnaa; Guo, Shenghan] Arizona State Univ, Sch Mfg Syst &amp; Networks, Mesa, AZ 85212 USA; [Zamiela, Christian; Bian, Linkan] Mississippi State Univ, Dept Ind &amp; Syst Engn, Starkville, MS 39762 USA</t>
  </si>
  <si>
    <t>Arizona State University; Mississippi State University</t>
  </si>
  <si>
    <t>Guo, SH (corresponding author), Arizona State Univ, Sch Mfg Syst &amp; Networks, Mesa, AZ 85212 USA.</t>
  </si>
  <si>
    <t>shenghan.guo@asu.edu</t>
  </si>
  <si>
    <t>Arizona State University startup funds [CC1379 PG14414, CC1379 PG14416]</t>
  </si>
  <si>
    <t>Arizona State University startup funds</t>
  </si>
  <si>
    <t>This research is supported by Arizona State University startup funds CC1379 PG14414 and CC1379 PG14416.</t>
  </si>
  <si>
    <t>1526-6125</t>
  </si>
  <si>
    <t>2212-4616</t>
  </si>
  <si>
    <t>J MANUF PROCESS</t>
  </si>
  <si>
    <t>J. Manuf. Process.</t>
  </si>
  <si>
    <t>AUG 4</t>
  </si>
  <si>
    <t>10.1016/j.jmapro.2023.05.030</t>
  </si>
  <si>
    <t>Engineering, Manufacturing</t>
  </si>
  <si>
    <t>K7MD8</t>
  </si>
  <si>
    <t>WOS:001018234800001</t>
  </si>
  <si>
    <t>Zhang, SL; Chang, TC</t>
  </si>
  <si>
    <t>Zhang, Shiliang; Chang, Tingcheng</t>
  </si>
  <si>
    <t>Spatial-temporal evolution of the distribution pattern of customer sources in tea trade of Fujian enterprise supply chain</t>
  </si>
  <si>
    <t>MICROSYSTEM TECHNOLOGIES-MICRO-AND NANOSYSTEMS-INFORMATION STORAGE AND PROCESSING SYSTEMS</t>
  </si>
  <si>
    <t>WATER; ASSOCIATION; CHINA</t>
  </si>
  <si>
    <t>The temporal and spatial operation of commodity business activities is neither random nor accidental. It is characterized by inner laws and features. Based on spatio-temporal analysis in GIS, the objective of this study was to use spatial autocorrelation method and kernel density estimation to study the temporal and spatial distribution pattern of customer sources in tea trade extracted from enterprise supply chains in Fujian Province, China. Using data of Fujian tea business as an example, customer sources showed a typical clustered pattern overall that could be classified into several hot areas. The distribution of customer sources is dynamic along with time. These hot areas spread from coastal cities to inland cities, ranging from urban to suburban. Meanwhile, it showed a relatively irregular distribution in suburban areas with aggregation distribution near urban areas. This study applied GIS spatio-temporal analysis technology to the analysis of an enterprise supply chain, synthesizing both spatial and temporal information and successfully integrating business with geography.</t>
  </si>
  <si>
    <t>[Zhang, Shiliang; Chang, Tingcheng] Ningde Normal Univ, Sch Informat &amp; Mech Engn, Fujan, Peoples R China</t>
  </si>
  <si>
    <t>Ningde Normal University</t>
  </si>
  <si>
    <t>Zhang, SL (corresponding author), Ningde Normal Univ, Sch Informat &amp; Mech Engn, Fujan, Peoples R China.</t>
  </si>
  <si>
    <t>shiliangzh@163.com</t>
  </si>
  <si>
    <t>zhang, shiliang/AAC-7804-2019</t>
  </si>
  <si>
    <t>zhang, shiliang/0000-0002-7019-3034</t>
  </si>
  <si>
    <t>0946-7076</t>
  </si>
  <si>
    <t>1432-1858</t>
  </si>
  <si>
    <t>MICROSYST TECHNOL</t>
  </si>
  <si>
    <t>Microsyst. Technol.</t>
  </si>
  <si>
    <t>10.1007/s00542-018-4228-0</t>
  </si>
  <si>
    <t>Engineering, Electrical &amp; Electronic; Nanoscience &amp; Nanotechnology; Materials Science, Multidisciplinary; Physics, Applied</t>
  </si>
  <si>
    <t>Engineering; Science &amp; Technology - Other Topics; Materials Science; Physics</t>
  </si>
  <si>
    <t>RY3FC</t>
  </si>
  <si>
    <t>WOS:000647800200026</t>
  </si>
  <si>
    <t>Goudarzi, FS; Bergey, P; Olaru, D</t>
  </si>
  <si>
    <t>Goudarzi, Fatemeh Sahar; Bergey, Paul; Olaru, Doina</t>
  </si>
  <si>
    <t>Behavioral operations management and supply chain coordination mechanisms: a systematic review and classification of the literature</t>
  </si>
  <si>
    <t>Supply chain coordination; Behavioral operations management; Supply chain contracts; Behavioral decision theories; Systematic literature review; Operations management; decision-making; Supply-chain management; Coordination</t>
  </si>
  <si>
    <t>RISK-AVERSE; CHANNEL COORDINATION; DECISION-MAKING; CONTRACT DESIGN; INVENTORY MANAGEMENT; CONSIGNMENT CONTRACT; FAIRNESS CONCERNS; QUICK RESPONSE; INFORMATION; IMPACT</t>
  </si>
  <si>
    <t>Purpose The recent surge in behavioral studies on the coordination mechanisms in supply chains (SCs) and advanced methods highlights the role of SC coordination (SCC) and behavioral issues associated with improving the performance of the operations. This study aims to critically review the behavioral aspect of channel coordination mechanisms. Design/methodology/approach Following a systematic literature review methodology, the authors adopt a combination of bibliometric (to reflect the current state of the field), content (using Leximancer data mining software to develop thematic maps) and theory-oriented qualitative analyzes that provide a holistic conceptual framework to unify the literature's critical concepts. Findings The analysis confirms the plethora of risk-oriented publications, demonstrating that the second largest category of studies is concerned with social preferences theory. Most studies were based on experiments, followed by analytical modeling, revealing the impact of heuristics and individual preferences in SC decisions and suggesting promising managerial and theoretical avenues for future research. Originality/value The study sheds light on behavioral decision theories applied to SC coordination by categorizing the literature based on the adopted theories. The methodological contributions include using automated content analysis and validating the outcome by interviewing leading scholars conducting active research on behavioral operations management and SC contracts. The authors also propose several directions for future research based on the research gaps.</t>
  </si>
  <si>
    <t>[Goudarzi, Fatemeh Sahar; Bergey, Paul; Olaru, Doina] Univ Western Australia, Business Sch, Dept Management &amp; Org, Perth, WA, Australia</t>
  </si>
  <si>
    <t>University of Western Australia</t>
  </si>
  <si>
    <t>Goudarzi, FS (corresponding author), Univ Western Australia, Business Sch, Dept Management &amp; Org, Perth, WA, Australia.</t>
  </si>
  <si>
    <t>sahar.goudarzi@research.uwa.edu.au; paul.bergey@uwa.edu.au; doina.olaru@uwa.edu.au</t>
  </si>
  <si>
    <t>Olaru, Doina/J-9171-2012</t>
  </si>
  <si>
    <t>Olaru, Doina/0000-0002-8750-9656; Goudarzi, Fatemeh (Sahar)/0000-0002-4111-910X; Bergey, Paul/0000-0002-7165-228X</t>
  </si>
  <si>
    <t>JAN 2</t>
  </si>
  <si>
    <t>10.1108/SCM-03-2021-0111</t>
  </si>
  <si>
    <t>7M1NA</t>
  </si>
  <si>
    <t>WOS:000709474400001</t>
  </si>
  <si>
    <t>Li, N; Fan, ZF</t>
  </si>
  <si>
    <t>Li, Na; Fan, Zhifeng</t>
  </si>
  <si>
    <t>A Hybrid Algorithm for Location-Routing Sustainable Optimization Under Fuzzy Demand</t>
  </si>
  <si>
    <t>Costs; Clustering algorithms; Supply chains; Production facilities; Linear programming; Routing; Genetic algorithms; Location-routing problem; fuzzy demand; genetic algorithm; tabu search; fuzzy c-means algorithm</t>
  </si>
  <si>
    <t>GENETIC ALGORITHM; DELIVERY PROBLEM; TABU SEARCH; PICKUP</t>
  </si>
  <si>
    <t>With the globalization of the supply chain and the change of demand environment, designing an effective logistic system in the sustainable development of the supply chain becomes more critical. This study proposes a location-routing problem to determine an efficient integration of single factory and multi-distribution centers and multi-customers in uncertain demands. This problem can be regarded as an optimization integrating location, distribution decision, and routing management. The objective function is to minimize the total cost and satisfy all the requirements, which is a highly complex NP-hard problem, so a hybrid algorithm of genetic algorithm (GA) and tabu search (TS) algorithm is proposed. A fuzzy c-means clustering algorithm is used to produce an initial solution. Fuzzy triangular number and confidence interval transformation are used to deal with fuzzy customer demand. The research findings concludes that (i) determine the numbers of facilities with locations that should be opened and (ii) minimize the total cost in supply chain. The experiments prove that the proposed hybrid algorithm of GA and TS algorithm overcomes the defect of local optimum in the literature viewpoint, and the optimization algorithms can effectively solve the location-routing problem.</t>
  </si>
  <si>
    <t>[Li, Na; Fan, Zhifeng] Tianjin Chengjian Univ, Sch Econ &amp; Management, Tianjin 300384, Peoples R China</t>
  </si>
  <si>
    <t>Tianjin Chengjian University</t>
  </si>
  <si>
    <t>Li, N (corresponding author), Tianjin Chengjian Univ, Sch Econ &amp; Management, Tianjin 300384, Peoples R China.</t>
  </si>
  <si>
    <t>llnn49@126.com</t>
  </si>
  <si>
    <t>FAN, Zhi-Feng/0000-0001-8730-870X</t>
  </si>
  <si>
    <t>10.1109/ACCESS.2022.3145157</t>
  </si>
  <si>
    <t>YT4VG</t>
  </si>
  <si>
    <t>WOS:000751359000001</t>
  </si>
  <si>
    <t>Tsai, FM; Huang, LDJW</t>
  </si>
  <si>
    <t>Tsai, Feng-Ming; Huang, Linda J. W.</t>
  </si>
  <si>
    <t>Using artificial neural networks to predict container flows between the major ports of Asia</t>
  </si>
  <si>
    <t>container flows; decision-making; artificial neural networks; ports of Asia; supply chain management</t>
  </si>
  <si>
    <t>MODEL; VOLUMES; DEMAND</t>
  </si>
  <si>
    <t>Container flow information is a critical issue for port operators and liners to support their strategic planning and decision-making. This study uses artificial neural networks (ANNs) to predict container flows by considering GDP, interest rates, the value of export and import trade, the numbers of export and import containers and the number of quay cranes. ANNs are developed for data mining purposes, and the developed model can simultaneously predict container flows between the major ports of Asia. The forecasting results indicate that the prediction errors are relatively small in most selected ports, and thus shipping companies can use the container flow prediction model to make decisions concerning operations. The results can be further applied to the trend analysis of container flows among the major ports of Asia, and a community analysis of the containers was conducted for the purpose of supply chain management.</t>
  </si>
  <si>
    <t>[Tsai, Feng-Ming; Huang, Linda J. W.] Natl Taiwan Ocean Univ, Dept Shipping &amp; Transportat Management, Keelung, Taiwan</t>
  </si>
  <si>
    <t>National Taiwan Ocean University</t>
  </si>
  <si>
    <t>Tsai, FM (corresponding author), Natl Taiwan Ocean Univ, Dept Shipping &amp; Transportat Management, Keelung, Taiwan.</t>
  </si>
  <si>
    <t>chucktsai@ntou.edu.tw</t>
  </si>
  <si>
    <t>Institute of Transportation, Ministry of Transportation and Communications, Taiwan</t>
  </si>
  <si>
    <t>This research was supported by a grant from Institute of Transportation, Ministry of Transportation and Communications, Taiwan.</t>
  </si>
  <si>
    <t>10.1080/00207543.2015.1112046</t>
  </si>
  <si>
    <t>EZ4GL</t>
  </si>
  <si>
    <t>WOS:000404671500012</t>
  </si>
  <si>
    <t>Alipour-Vaezi, M; Aghsami, A; Rabbani, M</t>
  </si>
  <si>
    <t>Alipour-Vaezi, Mohammad; Aghsami, Amir; Rabbani, Masoud</t>
  </si>
  <si>
    <t>Introducing a novel revenue-sharing contract in media supply chain management using data mining and multi-criteria decision-making methods</t>
  </si>
  <si>
    <t>SOFT COMPUTING</t>
  </si>
  <si>
    <t>Revenue-sharing coordination contract; Media supply chain management; Text mining; Sentiment analysis; Best worst method; Fuzzy DEMATEL</t>
  </si>
  <si>
    <t>SENTIMENT ANALYSIS; TEXT; COORDINATION; DEMATEL; CHINA</t>
  </si>
  <si>
    <t>Despite all the advances in supply chain coordination, some businesses are still coordinated traditionally, including the media supply chain, in which the actor's efficiency or deficiency is not considered in their wage determination. It means the success or failure of the project is nothing to do with the actor's revenue. This article proposes a novel revenue-sharing coordination contract that benefits from text mining and the best-worst method to address this problem. We aim to determine a fair share of profit or loss of a movie for each of its actors based on their performance and efficiency on the success or failure of the project. One of the Iranian latest movies is considered as a case study, and its lead actor's wage is determined under this contract. The sentiment analysis technique investigated the viewers' opinions about the movie and the actor's performance. Since the reviewers mainly are the people who have no expertise in cinematography, they cannot discern the influence of other participants on the actor's performance. So the proposed method used experts' opinions through the fuzzy DEMATEL method to consider the overlapping effect besides enhancing the validity of the reviewers' opinions. The results of this paper assert that the actor's performance will improve under the proposed method and therefore the movie will be more successful and profitable.</t>
  </si>
  <si>
    <t>[Alipour-Vaezi, Mohammad; Aghsami, Amir; Rabbani, Masoud] Univ Tehran, Coll Engn, Sch Ind &amp; Syst Engn, Tehran, Iran; [Aghsami, Amir] KN Toosi Univ Technol, Sch Ind Engn, Tehran, Iran</t>
  </si>
  <si>
    <t>Rabbani, M (corresponding author), Univ Tehran, Coll Engn, Sch Ind &amp; Syst Engn, Tehran, Iran.</t>
  </si>
  <si>
    <t>Mohammad.alipour@ut.ac.it; a.aghsami@ut.ac.ir; mrabani@ut.ac.ir</t>
  </si>
  <si>
    <t>Alipour-Vaezi, Mohammad/AEV-7550-2022; Aghsami, Amir/AAC-5172-2019; Rabbani, Masoud/D-3968-2018</t>
  </si>
  <si>
    <t>Alipour-Vaezi, Mohammad/0000-0002-7529-1848; Aghsami, Amir/0000-0003-0175-2979; Rabbani, Masoud/0000-0001-8756-4922</t>
  </si>
  <si>
    <t>1432-7643</t>
  </si>
  <si>
    <t>1433-7479</t>
  </si>
  <si>
    <t>SOFT COMPUT</t>
  </si>
  <si>
    <t>Soft Comput.</t>
  </si>
  <si>
    <t>10.1007/s00500-021-06609-0</t>
  </si>
  <si>
    <t>ZW3QJ</t>
  </si>
  <si>
    <t>WOS:000740402900002</t>
  </si>
  <si>
    <t>Guo, Z; Yan, N; Lapkin, AA</t>
  </si>
  <si>
    <t>Guo, Zhen; Yan, Ning; Lapkin, Alexei A.</t>
  </si>
  <si>
    <t>Towards circular economy: integration of bio-waste into chemical supply chain</t>
  </si>
  <si>
    <t>CURRENT OPINION IN CHEMICAL ENGINEERING</t>
  </si>
  <si>
    <t>LIGNOCELLULOSIC BIOMASS PYROLYSIS; CONVERSION; ACID; CO2; LIGNIN; SHELL; HEMICELLULOSE; RECOVERY; OIL; OPTIMIZATION</t>
  </si>
  <si>
    <t>Current chemical industry is heavily reliant on fossil resources as feedstock, resulting in a linear economical model, namely extract-make-use-dispose. In contrast, circular economy, targeting a more sustainable use of materials, aims to construct a loop in which waste is repurposed as feedstock. Circular economy in chemical industry may be achieved by integrating bio-waste into the chemical supply chain. However, bio-waste is different in many ways compared with fossil fuels, such as sparse distribution, geographical diversity, season-dependent supply, variability and complex composition. This short review highlights recent technological advances in valorization of bio-waste including new processing methods and promissing products. Analysis into the specific features of bio-waste suggests that bio-waste could be a promising feedstock for hub and fine chemicals, but not the commodity chemicals. A logic model of bio-waste based circular economy is proposed. Application of data mining and automated chemical routes are envisaged.</t>
  </si>
  <si>
    <t>[Guo, Zhen; Lapkin, Alexei A.] CARES Ltd, Cambridge Ctr Adv Res &amp; Educ Singapore, 1 CREATE Way,Create Tower 05-05, Singapore 138602, Singapore; [Yan, Ning] Natl Univ Singapore, Dept Chem &amp; Biomol Engn, Singapore 117585, Singapore; [Lapkin, Alexei A.] Univ Cambridge, Dept Chem Engn &amp; Biotechnol, West Cambridge Site,Philippa Fawcett Dr, Cambridge CB3 0AS, England</t>
  </si>
  <si>
    <t>National University of Singapore; University of Cambridge</t>
  </si>
  <si>
    <t>Lapkin, AA (corresponding author), CARES Ltd, Cambridge Ctr Adv Res &amp; Educ Singapore, 1 CREATE Way,Create Tower 05-05, Singapore 138602, Singapore.;Yan, N (corresponding author), Natl Univ Singapore, Dept Chem &amp; Biomol Engn, Singapore 117585, Singapore.;Lapkin, AA (corresponding author), Univ Cambridge, Dept Chem Engn &amp; Biotechnol, West Cambridge Site,Philippa Fawcett Dr, Cambridge CB3 0AS, England.</t>
  </si>
  <si>
    <t>ning.yan@nus.edu.sg; aal35@cam.ac.uk</t>
  </si>
  <si>
    <t>Yan, Ning/ABI-5922-2020; Lapkin, Alexei/CAG-1632-2022; Yan, Ning/HTT-1384-2023</t>
  </si>
  <si>
    <t>Yan, Ning/0000-0002-1877-9206; Yan, Ning/0000-0002-1877-9206</t>
  </si>
  <si>
    <t>National Research Foundation (NRF), Prime Minister's Office, Singapore under its Campus for Research Excellence and Technological Enterprise (CREATE) program as a part of the Cambridge Centre for Advanced Research and Education in Singapore Ltd (CARES)</t>
  </si>
  <si>
    <t>This project was funded, in part, by the National Research Foundation (NRF), Prime Minister's Office, Singapore under its Campus for Research Excellence and Technological Enterprise (CREATE) program as a part of the Cambridge Centre for Advanced Research and Education in Singapore Ltd (CARES).</t>
  </si>
  <si>
    <t>2211-3398</t>
  </si>
  <si>
    <t>CURR OPIN CHEM ENG</t>
  </si>
  <si>
    <t>Curr. Opin. Chem. Eng.</t>
  </si>
  <si>
    <t>10.1016/j.coche.2019.09.010</t>
  </si>
  <si>
    <t>Biotechnology &amp; Applied Microbiology; Engineering, Chemical</t>
  </si>
  <si>
    <t>Biotechnology &amp; Applied Microbiology; Engineering</t>
  </si>
  <si>
    <t>JW7DP</t>
  </si>
  <si>
    <t>WOS:000503208700021</t>
  </si>
  <si>
    <t>Chen, PK; Chou, FD; Dai, XZ; Ye, Y</t>
  </si>
  <si>
    <t>Chen, Ping-Kuo; Chou, Fuh-Der; Dai, Xiaozhen; Ye, Yong</t>
  </si>
  <si>
    <t>Development of a Supply Chain Integration Process</t>
  </si>
  <si>
    <t>Supply chain management; processes; integration; clustering; process planning</t>
  </si>
  <si>
    <t>VENDOR-MANAGED INVENTORY; INFORMATION-SYSTEMS; FIRM PERFORMANCE; ORGANIZATIONAL CULTURE; BUSINESS PROCESS; NETWORK DESIGN; IMPACT; PRODUCT; CAPABILITIES; LOGISTICS</t>
  </si>
  <si>
    <t>The purpose of this paper was to align integrative tactics and coordination program to develop a supply chain integration process. The taxonomy approach was employed in this paper. An empirical sample comprising 655 responses to the International Manufacturing Strategy Survey was used to test the research question. This paper identified an integrative process that entailed four steps: initial integration, basic integration, junior integration, and senior integration. In addition, the research results show which integrative tactic should be improved, and how they should be improved, in each step, as well as which coordination program should be implemented in each step to expedite integration. Finally, the research results show changes in competitive capabilities between the steps. In terms of practical implications, our research results can be used as a guideline for practitioners to develop a stepwise process of integration and to gradually improve and expand integration until complete integration is achieved.</t>
  </si>
  <si>
    <t>[Chen, Ping-Kuo; Dai, Xiaozhen] Wenzhou Business Coll, Dept Logist Management, Wenzhou 325035, Peoples R China; [Chou, Fuh-Der] Wenzhou Univ, Dept Ind Engn, Wenzhou 325035, Peoples R China; [Ye, Yong] Wenzhou Med Univ, Dept Management, Wenzhou 325035, Peoples R China</t>
  </si>
  <si>
    <t>Wenzhou University; Wenzhou Medical University</t>
  </si>
  <si>
    <t>Dai, XZ (corresponding author), Wenzhou Business Coll, Dept Logist Management, Wenzhou 325035, Peoples R China.;Ye, Y (corresponding author), Wenzhou Med Univ, Dept Management, Wenzhou 325035, Peoples R China.</t>
  </si>
  <si>
    <t>a2170364290@gmail.com; yong_ye@foxmail.com</t>
  </si>
  <si>
    <t>Educational Commission of Zhejiang Province of China [kg20160537]</t>
  </si>
  <si>
    <t>Educational Commission of Zhejiang Province of China</t>
  </si>
  <si>
    <t>This work was supported by the Educational Commission of Zhejiang Province of China under Grant kg20160537.</t>
  </si>
  <si>
    <t>10.1109/ACCESS.2018.2856262</t>
  </si>
  <si>
    <t>GP6TW</t>
  </si>
  <si>
    <t>WOS:000441019900001</t>
  </si>
  <si>
    <t>Gruzauskas, V; Burinskiene, A</t>
  </si>
  <si>
    <t>Gruzauskas, Valentas; Burinskiene, Aurelija</t>
  </si>
  <si>
    <t>Managing Supply Chain Complexity and Sustainability: The Case of the Food Industry</t>
  </si>
  <si>
    <t>supply chain management; sustainability; food industry; complexity theory; cyber-physical systems</t>
  </si>
  <si>
    <t>ADAPTIVE SYSTEMS; CLUSTER-ANALYSIS; BIG DATA; COLLABORATION; PERFORMANCE</t>
  </si>
  <si>
    <t>Consumer demand for organic products, rapidly growing urbanizations levels requires the food supply chain to reduce lead-time and maintain higher product quality. For the food supply chain to cope with the raising issues an e-commerce type of supply chain must be implemented. This approach creates challenges for supply chain, because the food industry must shift towards high variety and low quantity freight forwarding with multiple delivery points. The methodology of the paper consists of scientific literature analysis and macro indicator clustering. The author of the paper proposes a supply chain management framework, which is grounded through complexity theory. The framework mainly consists of 3 characteristics, which organizations should operationalize to maintain system resilience and which in the long-run would evolve to sustainable development-capabilities, collaboration, complexity management. The proposed framework defines how operational and tactical levels should be automated through cyber-physical systems, while the automation should be controlled through strategic level variables. The macro level analysis of existing EU markets of the food industry has been conducted to identify the food industry's contingencies, in which an agent-based model will be used to validate the proposed framework. Main 3 clusters were identified, which number was chosen based on the elbow method and validated with the silhouette score of 0.749. The food industry can be categorized in to developing, underdeveloped, and developed food industries. Moreover, singularities of different contingencies have been identified which considers population size, population density, market size of the food industry and disruption intensity. The application of the framework depends on the identified contingencies. From strategic level the SCMF is similar in all contingencies, however, depending on the type of market, more emphasize on vehicle routing or demand forecasting should be made.</t>
  </si>
  <si>
    <t>[Gruzauskas, Valentas; Burinskiene, Aurelija] Vilnius Gediminas Tech Univ, Fac Business Management, LT-01119 Vilnius, Lithuania</t>
  </si>
  <si>
    <t>Vilnius Gediminas Technical University</t>
  </si>
  <si>
    <t>Burinskiene, A (corresponding author), Vilnius Gediminas Tech Univ, Fac Business Management, LT-01119 Vilnius, Lithuania.</t>
  </si>
  <si>
    <t>v.gruzauskas@gmail.com; aurelija.burinskiene@vilniustech.lt</t>
  </si>
  <si>
    <t>Burinskiene, Aurelija/0000-0002-4369-8870; Gruzauskas, Valentas/0000-0002-6997-9275</t>
  </si>
  <si>
    <t>10.3390/pr10050852</t>
  </si>
  <si>
    <t>1O6EF</t>
  </si>
  <si>
    <t>WOS:000801422300001</t>
  </si>
  <si>
    <t>Onar, SC; Aktas, E; Topcu, YI; Doran, D</t>
  </si>
  <si>
    <t>Onar, Sezi Cevik; Aktas, Emel; Topcu, Y. Ilker; Doran, Des</t>
  </si>
  <si>
    <t>An analysis of supply chain related graduate programmes in Europe</t>
  </si>
  <si>
    <t>Supply chain management; Education; Cluster analysis; Europe; Graduates; Learning cycles</t>
  </si>
  <si>
    <t>LOGISTICS; FUTURE; DEMAND</t>
  </si>
  <si>
    <t>Purpose - Motivated by a lack of studies in graduate level supply chain education, this research aims to explore trends in supply chain-related graduate programmes in Europe and to propose a framework for designing such programmes. Design/methodology/approach - The authors determine knowledge and skills areas applicable to supply chain management (SCM) education and analyse supply chain-related graduate programmes published by the European Logistics Association in 2004. They revisit the same programmes in 2011 to determine the recent situation and the trends. The authors use cluster analysis to reveal the similarities and differences among these programmes. Findings - The authors find two distinct clusters: focused and diversified. Focused programmes offer modules in knowledge and skills areas apart from SCM at a negligible level and place more emphasis on SCM in 2011 when compared to 2004. Diversified programmes show a similar increase in the emphasis on SCM with more variety in the knowledge and skills areas. Research limitations/implications - The authors' findings are based on SCM programmes delivered in Europe and over two discrete time periods. Future research should seek to extend this analysis to other continents with larger samples and incorporate the industry perspective to determine the potential gap between what programmes offer and what industry requires. Practical implications - SCM-related graduate programmes continue to redefine themselves. Clustering predominantly serves the universities in reassessing and re-engineering their programmes, helps prospective graduates in their selection process and assists managers in their recruitment practices. Originality/value - This paper establishes a baseline for assessing SCM-related graduate programmes with respect to the knowledge and skills they offer and introduces a framework that may serve as a starting point for the design and positioning of such programmes.</t>
  </si>
  <si>
    <t>[Onar, Sezi Cevik; Topcu, Y. Ilker] Istanbul Tech Univ, Fac Management, Dept Ind Engn, TR-80626 Istanbul, Turkey; [Aktas, Emel] Brunel Univ, Sch Business, Uxbridge UB8 3PH, Middx, England; [Doran, Des] Univ Sussex, Dept Business &amp; Management, Brighton, E Sussex, England</t>
  </si>
  <si>
    <t>Istanbul Technical University; Brunel University; University of Sussex</t>
  </si>
  <si>
    <t>Aktas, E (corresponding author), Brunel Univ, Sch Business, Uxbridge UB8 3PH, Middx, England.</t>
  </si>
  <si>
    <t>emel.aktas@brunel.ac.uk</t>
  </si>
  <si>
    <t>Aktas, Emel/A-8654-2008; Onar, Sezi Cevik/B-4146-2015; Topcu, Ilker/B-6586-2017</t>
  </si>
  <si>
    <t>Aktas, Emel/0000-0003-3509-6703; Onar, Sezi Cevik/0000-0001-6451-6709; Topcu, Ilker/0000-0001-9717-7854</t>
  </si>
  <si>
    <t>10.1108/SCM-06-2012-0209</t>
  </si>
  <si>
    <t>198SM</t>
  </si>
  <si>
    <t>WOS:000322942600005</t>
  </si>
  <si>
    <t>Bask, A; Halme, M; Kallio, M; Kuula, M</t>
  </si>
  <si>
    <t>Bask, Anu; Halme, Merja; Kallio, Markku; Kuula, Markku</t>
  </si>
  <si>
    <t>Consumer preferences for sustainability and their impact on supply chain management The case of mobile phones</t>
  </si>
  <si>
    <t>INTERNATIONAL JOURNAL OF PHYSICAL DISTRIBUTION &amp; LOGISTICS MANAGEMENT</t>
  </si>
  <si>
    <t>Sustainability; Supply chains; Consumer preferences; Mobile phones; Supply chain management; Consumer behavior; Finland</t>
  </si>
  <si>
    <t>WILLINGNESS-TO-PAY; CORPORATE SOCIAL-RESPONSIBILITY; CONJOINT-ANALYSIS; CHOICE; FRAMEWORK; ISSUES; MODULARITY; EVOLUTION; DESIGN; AGENDA</t>
  </si>
  <si>
    <t>Purpose - Consumer values increasingly favor sustainable development in products and services, thereby fostering the need to develop new operational and managerial practices that support sustainability in supply chain management. The purpose of this study is to identify relevant product features related to sustainable development in this context, and use the choice of mobile phone as an example in measuring their importance. Design/methodology/approach - The study used two different methods (qualitative and quantitative) in two phases. First it organized focus-group discussions in order to identify the features of sustainability that affect the choice of a mobile phone. The most significant features served as a starting point for the choice of attributes to be included in the final step, choice-based conjoint analysis (CBC), which assesses respondents' value functions by means of latent class clustering. Between the two major phases it carried out two additional pre-tests in order to reduce the number of attributes. Findings - The results provide fundamental information concerning the relative importance of sustainability features in the selection of a mobile phone. The study identified four different clusters of purchasers: updaters, budgeters, environmentalists, and long-life users. According to the findings, some consumers are willing to pay a premium for sustainability features. The authors discuss the potential implications of the results in the context of supply chain design. Originality/value - The literature on supply chain management tends to see the consumers as a black box. This paper reports the first results of opening this box by linking the supply chain perspective to consumer choice behavior.</t>
  </si>
  <si>
    <t>[Bask, Anu] Acad Finland, Helsinki, Finland; [Bask, Anu] Aalto Univ, Sch Business, Helsinki, Finland; [Halme, Merja; Kallio, Markku; Kuula, Markku] Aallto Univ, Sch Business, Dept Informat &amp; Serv Econ, Helsinki, Finland</t>
  </si>
  <si>
    <t>Research Council of Finland; Aalto University</t>
  </si>
  <si>
    <t>Bask, A (corresponding author), Acad Finland, Helsinki, Finland.</t>
  </si>
  <si>
    <t>anu.bask@aalto.fi</t>
  </si>
  <si>
    <t>Bask, Anu/G-1374-2018; Kallio, Markku J/G-2276-2013; Kuula, Markku J/G-2310-2013</t>
  </si>
  <si>
    <t>Bask, Anu/0000-0001-9531-6806; Kuula, Markku J/0000-0002-2786-4752; Halme, Merja/0000-0001-9845-0293</t>
  </si>
  <si>
    <t>0960-0035</t>
  </si>
  <si>
    <t>1758-664X</t>
  </si>
  <si>
    <t>INT J PHYS DISTR LOG</t>
  </si>
  <si>
    <t>Int. J. Phys. Distrib. Logist. Manag.</t>
  </si>
  <si>
    <t>10.1108/IJPDLM-03-2012-0081</t>
  </si>
  <si>
    <t>AC1PW</t>
  </si>
  <si>
    <t>WOS:000332269500003</t>
  </si>
  <si>
    <t>Patidar, R; Agrawal, S</t>
  </si>
  <si>
    <t>Patidar, Rakesh; Agrawal, Sunil</t>
  </si>
  <si>
    <t>Restructuring the Indian agro-fresh food supply chain network: a mathematical model formulation</t>
  </si>
  <si>
    <t>CLEAN TECHNOLOGIES AND ENVIRONMENTAL POLICY</t>
  </si>
  <si>
    <t>Agro-fresh food supply chain (AFSC); Supply chain network (SCN); Perishability; Aggregate product transportation; Mixed-integer nonlinear programming (MINLP)</t>
  </si>
  <si>
    <t>CAUSAL FACTORS; MANAGEMENT; LOCATION; DESIGN; FRUIT; LOSSES</t>
  </si>
  <si>
    <t>In traditional Indian agro-fresh food supply chain (AFSC), authors identify the following four shortcomings through the literature survey: (1) unorganized supply chain structure; (2) low profitability of farmers; (3) high wastage of agricultural products; and (4) a large number of small-farm-holding farmers. According to the fourth shortcoming, 85% of farmers have less than 2 hectares of farming land, and these farmers transport their products independently into the market to sell. Owing to this, a higher transportation cost is incurred in traditional AFSC, which leads to low profit for farmers. To overcome these shortcomings, authors propose aggregation of products by forming clusters of farmers and its transportation from these cluster centers to market. This paper formulates multi-period, multi-product, mixed-integer nonlinear programming model to design a four-echelon supply chain with considering the clustering of farmers and perishability of products. A real case study problem of Mandsaur District (India) of vegetable distribution is solved in LINGO 17.0 to check the validity of the formulated model. The results revealed that 85% of the total distribution cost incurred in the transportation of products from farmers to the market. Hence, the major focus should be to design an efficient transportation plan for the minimization of transportation cost from farmers to the market. Further, sensitivity analysis shows that the proposed model is robust and sensitive to changes in maximum distance traveled by a farmer to reach a cluster center and number of hubs to be opened, respectively. [GRAPHICS] .</t>
  </si>
  <si>
    <t>[Patidar, Rakesh; Agrawal, Sunil] PDPM Indian Inst Informat Technol Design &amp; Mfg, Dept Mech Engn, Jabalpur, India</t>
  </si>
  <si>
    <t>Indian Institute of Information Technology Design &amp; Manufacturing, Jabalpur</t>
  </si>
  <si>
    <t>Patidar, R (corresponding author), PDPM Indian Inst Informat Technol Design &amp; Mfg, Dept Mech Engn, Jabalpur, India.</t>
  </si>
  <si>
    <t>er.rakeshpatidar.sati@gmail.com; sa@iiitdmj.ac.in</t>
  </si>
  <si>
    <t>Patidar, Rakesh/AAL-9597-2021</t>
  </si>
  <si>
    <t>Patidar, Rakesh/0000-0002-5387-1411</t>
  </si>
  <si>
    <t>1618-954X</t>
  </si>
  <si>
    <t>1618-9558</t>
  </si>
  <si>
    <t>CLEAN TECHNOL ENVIR</t>
  </si>
  <si>
    <t>Clean Technol. Environ. Policy</t>
  </si>
  <si>
    <t>10.1007/s10098-020-01955-3</t>
  </si>
  <si>
    <t>PE2UV</t>
  </si>
  <si>
    <t>WOS:000577936000002</t>
  </si>
  <si>
    <t>Yoo, MJ; Naciri, S; Badulescu, Y; Glardon, R</t>
  </si>
  <si>
    <t>Yoo, Min-Jung; Naciri, Souleiman; Badulescu, Yvonne; Glardon, Remy</t>
  </si>
  <si>
    <t>A pilot study on eliciting human operations decision in purchasing and measuring their impact on supply chain efficiency</t>
  </si>
  <si>
    <t>16th Asia Pacific Industrial Engineering and Management Systems Conference (APIEMS)</t>
  </si>
  <si>
    <t>DEC 08-11, 2015</t>
  </si>
  <si>
    <t>Ho Chi Minh City, VIETNAM</t>
  </si>
  <si>
    <t>Human decision modelling; Operational decision; Simulation; Behaviour metrics; Supply chain efficiency; Quantitative analysis</t>
  </si>
  <si>
    <t>SUPPORT; UNCERTAINTIES; INFORMATION</t>
  </si>
  <si>
    <t>This paper presents a methodology for eliciting the behavioural model of purchasers' decision-making in a supply chain environment. The objective of the work is to explicitly describe the relationship between a human user's behaviour and the resulting performance in inventory level and service satisfaction. The key research findings include: (i) How to identify a categorised pattern of a human decision model, particularly concerning purchasing operations; and (ii) Which metrics would be relevant in the objective of carrying out a quantitative analysis on decision behaviour. The order placement behaviour is studied as one of daily operational decisions. The work demonstrates how to analyse a potential relationship between each category of behaviour and selected measures of supply chain performance, i.e., average inventory level and delivery satisfaction. We developed a specialised tool for supply chain simulation aimed at collecting data such as information consultations and decision-making actions of purchasing operations. The methodology is composed of sub-processes, such as data log file generation, data parsing and information generation, behaviour profile identification through clustering, and the analysis of supply performance regarding each category of decision-making behaviour. Through experimentation with industrial purchasing agents, we validated the effectiveness of the approach and demonstrated how to achieve a quantitative analysis of decision making behaviour and its impact on supply performance. (C) 2017 Elsevier Ltd. All rights reserved.</t>
  </si>
  <si>
    <t>[Yoo, Min-Jung; Naciri, Souleiman; Badulescu, Yvonne; Glardon, Remy] Ecole Polytech Fed Lausanne, ICT Sustainable Mfg Syst, Stn 9, CH-1015 Lausanne, Switzerland</t>
  </si>
  <si>
    <t>Swiss Federal Institutes of Technology Domain; Ecole Polytechnique Federale de Lausanne</t>
  </si>
  <si>
    <t>Yoo, MJ (corresponding author), Ecole Polytech Fed Lausanne, ICT Sustainable Mfg Syst, Stn 9, CH-1015 Lausanne, Switzerland.</t>
  </si>
  <si>
    <t>min-jung.yoo@epfl.ch; souleiman.naciri@gmail.com; yvonne.badulescu@hotmail.com; Remy.glardon@epfl.ch</t>
  </si>
  <si>
    <t>Yoo, Min-Jung/0000-0002-4586-6866; Badulescu, Yvonne/0000-0002-8823-0016</t>
  </si>
  <si>
    <t>10.1016/j.cie.2017.04.037</t>
  </si>
  <si>
    <t>FQ2SI</t>
  </si>
  <si>
    <t>WOS:000418207900069</t>
  </si>
  <si>
    <t>Alsayat, A; Ahmadi, H</t>
  </si>
  <si>
    <t>Alsayat, Ahmed; Ahmadi, Hossein</t>
  </si>
  <si>
    <t>Workers' Opinions on Using the Internet of Things to Enhance the Performance of the Olive Oil Industry: A Machine Learning Approach</t>
  </si>
  <si>
    <t>Internet of things; performance; machine learning; supply chain; olive oil industry</t>
  </si>
  <si>
    <t>SUPPLY-CHAIN; SMART AGRICULTURE; MANAGEMENT; BLOCKCHAIN; SYSTEM; TECHNOLOGY; NETWORK; IOT</t>
  </si>
  <si>
    <t>Today's global food supply chains are highly dispersed and complex. The adoption and effective utilization of information technology are likely to increase the efficiency of companies. Because of the broad variety of sensors that are currently accessible, the possibilities for Internet of Things (IoT) applications in the olive oil industry are almost limitless. Although previous studies have investigated the impact of the IoT on the performance of industries, this issue has yet to be explored in the olive oil industry. In this study we aimed to develop a new model to investigate the factors influencing supply chain improvement in olive oil companies. The model was used to evaluate the relationship between supply chain improvement and olive oil companies' performance. Demand planning, manufacturing, transportation, customer service, warehousing, and inventory management were the main factors incorporated into the proposed model. Self-organizing map (SOM) clustering and decision trees were employed in the development of the method. The data were collected from respondents with knowledge related to integrating new technologies into the industry. The results demonstrated that IoT implementation in olive oil companies significantly improved their performance. Moreover, it was found that there was a positive relationship between supply chain improvements via IoT implementation in olive oil companies and their performance.</t>
  </si>
  <si>
    <t>[Alsayat, Ahmed] Jouf Univ, Coll Comp &amp; Informat Sci, Dept Comp Sci, Sakaka 72341, Saudi Arabia; [Ahmadi, Hossein] Univ Plymouth, Fac Hlth, Ctr Hlth Technol, Plymouth PL4 8AA, England</t>
  </si>
  <si>
    <t>Al Jouf University; University of Plymouth</t>
  </si>
  <si>
    <t>Alsayat, A (corresponding author), Jouf Univ, Coll Comp &amp; Informat Sci, Dept Comp Sci, Sakaka 72341, Saudi Arabia.</t>
  </si>
  <si>
    <t>asayat@ju.edu.sa</t>
  </si>
  <si>
    <t>Alsayat, Ahmed/0000-0002-6472-6025</t>
  </si>
  <si>
    <t>Deanship of Scientific Research at Jouf University [DSR-2021-02-0101]</t>
  </si>
  <si>
    <t>Deanship of Scientific Research at Jouf University</t>
  </si>
  <si>
    <t>The authors extend their appreciation to the Deanship of Scientific Research at Jouf University for funding this work through research grant no (DSR-2021-02-0101).</t>
  </si>
  <si>
    <t>10.3390/pr11010271</t>
  </si>
  <si>
    <t>8A6CF</t>
  </si>
  <si>
    <t>WOS:000916324400001</t>
  </si>
  <si>
    <t>Selvakumar, S; Shahabudeen, P; Robert, TP</t>
  </si>
  <si>
    <t>Selvakumar, S.; Shahabudeen, P.; Robert, T. Paul</t>
  </si>
  <si>
    <t>An Analysis of Re-configured Blood Transfusion Network of Urban India to Improve the Service Level: a Simulation Approach</t>
  </si>
  <si>
    <t>JOURNAL OF MEDICAL SYSTEMS</t>
  </si>
  <si>
    <t>Healthcare supply chain; Blood transfusion; Data analytics; Clustering; Pull system; Simulation</t>
  </si>
  <si>
    <t>BANK INVENTORY MANAGEMENT; SUPPLY CHAIN MANAGEMENT; DESIGN</t>
  </si>
  <si>
    <t>In India, blood banks are owned by state hospitals, private hospitals, NGOs and private laboratories. The aim of this study is to improve the service levels of the blood supply chain by maximizing the availability and minimizing the wastage of blood. New configuration approaches are adapted from the successful methods of manufacturing sectors. In this retrospective cross-sectional study, whole blood (WB) demand and supply data between April 2015 to March 2016 has been taken. Data analytics tool R is used for statistical analysis. Two new configurations, namely a) Zonal Network and b) Pull system models have been developed to compare the existing blood supply chain. The performances of the proposed configurations have been compared with the existing system using suitable indicators computed using Arena simulation software12.0. The total shortage index (TSI) and total wastage index (TWI) are used as indicators of performance measures. Weights are assigned for shortage and wastage indices to the reconfigured models. The pull system model outperforms existing model and zone model by achieving zero wastage. In transfusion medicine, importance is given to the achievement of lesser percentage shortage than wastage. If the WB inventory in blood centers is sufficient enough and we have more than one zone for distribution, then we can reduce wastages level in the blood supply chain.</t>
  </si>
  <si>
    <t>[Selvakumar, S.; Shahabudeen, P.; Robert, T. Paul] Anna Univ, Coll Engn Guindy, Dept Ind Engn, Madras 600025, Tamil Nadu, India</t>
  </si>
  <si>
    <t>Anna University; Anna University Chennai; College of Engineering Guindy</t>
  </si>
  <si>
    <t>Selvakumar, S (corresponding author), Anna Univ, Coll Engn Guindy, Dept Ind Engn, Madras 600025, Tamil Nadu, India.</t>
  </si>
  <si>
    <t>selva68annaunivedu@gmail.com</t>
  </si>
  <si>
    <t>ROBERT, PAUL/0000-0002-5642-3470</t>
  </si>
  <si>
    <t>0148-5598</t>
  </si>
  <si>
    <t>1573-689X</t>
  </si>
  <si>
    <t>J MED SYST</t>
  </si>
  <si>
    <t>J. Med. Syst.</t>
  </si>
  <si>
    <t>10.1007/s10916-018-1141-0</t>
  </si>
  <si>
    <t>Health Care Sciences &amp; Services; Medical Informatics</t>
  </si>
  <si>
    <t>HG3UU</t>
  </si>
  <si>
    <t>WOS:000454901000007</t>
  </si>
  <si>
    <t>Islam, N; Farhin, F; Sultana, I; Kaiser, MS; Rahman, MS; Mahmud, M; Hosen, ASMS; Cho, GH</t>
  </si>
  <si>
    <t>Islam, Nahida; Farhin, Fahiba; Sultana, Ishrat; Kaiser, M. Shamim; Rahman, Md. Sazzadur; Mahmud, Mufti; Hosen, A. S. M. Sanwar; Cho, Gi Hwan</t>
  </si>
  <si>
    <t>Towards Machine Learning Based Intrusion Detection in IoT Networks</t>
  </si>
  <si>
    <t>IoT; shallow machine learning; deep learning; data science; IDS</t>
  </si>
  <si>
    <t>INTERNET</t>
  </si>
  <si>
    <t>The Internet of Things (IoT) integrates billions of self-organized and heterogeneous smart nodes that communicate with each other without human intervention. In recent years, IoT based systems have been used in improving the experience in many applications including healthcare, agriculture, supply chain, education, transportation and traffic monitoring, utility services etc. However, node heterogeneity raised security concern which is one of the most complicated issues on the IoT. Implementing security measures, including encryption, access control, and authentication for the IoT devices are ineffective in achieving security. In this paper, we identified various types of IoT threats and shallow (such as decision tree (DT), random forest (RF), support vector machine (SVM)) as well as deep machine learning (deep neural network (DNN), deep belief network (DBN), long short-term memory (LSTM), stacked LSTM, bidirectional LSTM (Bi-LSTM)) based intrusion detection systems (IDS) in the IoT environment have been discussed. The performance of these models has been evaluated using five benchmark datasets such as NSL-KDD, IoTDevNet, DS2OS, IoTID20, and IoT Botnet dataset. The various performance metrics such as Accuracy, Precision, Recall, F1-score were used to evaluate the performance of shallow/deep machine learning based IDS. It has been found that deep machine learning IDS outperforms shallow machine learning in detecting IoT attacks.</t>
  </si>
  <si>
    <t>[Islam, Nahida; Farhin, Fahiba; Sultana, Ishrat; Kaiser, M. Shamim; Rahman, Md. Sazzadur] Jahangirnagar Univ, Inst Informat Technol, Dhaka, Bangladesh; [Mahmud, Mufti] Nottingham Trent Univ, Dept Comp Sci, Nottingham, England; [Hosen, A. S. M. Sanwar; Cho, Gi Hwan] Jeonbuk Natl Univ, Div Comp Sci &amp; Engn, Jeonju 54896, South Korea</t>
  </si>
  <si>
    <t>Jahangirnagar University; Nottingham Trent University; Jeonbuk National University</t>
  </si>
  <si>
    <t>Cho, GH (corresponding author), Jeonbuk Natl Univ, Div Comp Sci &amp; Engn, Jeonju 54896, South Korea.</t>
  </si>
  <si>
    <t>ghcho@jbnu.ac.kr</t>
  </si>
  <si>
    <t>Islam, Nahida/HPD-2616-2023; Mahmud/C-7752-2012</t>
  </si>
  <si>
    <t>Islam, Nahida/0000-0003-2401-555X; Mahmud/0000-0002-2037-8348; Farhin, Fahiba/0000-0002-5106-3461</t>
  </si>
  <si>
    <t>10.32604/cmc.2021.018466</t>
  </si>
  <si>
    <t>TP5MB</t>
  </si>
  <si>
    <t>WOS:000677642400021</t>
  </si>
  <si>
    <t>Agrawal, TK; Pal, R</t>
  </si>
  <si>
    <t>Agrawal, Tarun Kumar; Pal, Rudrajeet</t>
  </si>
  <si>
    <t>Traceability in Textile and Clothing Supply Chains: Classifying Implementation Factors and Information Sets via Delphi Study</t>
  </si>
  <si>
    <t>traceability; Delphi study; supply chain; textile and clothing</t>
  </si>
  <si>
    <t>FOOD; TRANSPARENCY; APPAREL; SYSTEM; LABEL</t>
  </si>
  <si>
    <t>The purpose of this study is twofold. First, to explore and classify factors influencing traceability implementation, and second, to cluster essential traceability-related information that demands recording and sharing with businesses and customers, in the context of the textile and clothing supply chain. A Delphi study is conducted with 23 experts (including research practitioners and industry experts) to explore, validate, and classify traceability factors and related information using distribution analyses and hierarchal clustering. As a result, 14 factors and 19 information sets are identified and classified with a moderately high agreement among the experts. Among these, risk management, product authentication, and visibility are the highest ranked and the most important factors influencing traceability implementation in the textile and clothing supply chain. While origin, composition, and sustainability-related information are crucial for sharing with customers, the information vital to businesses includes manufacturer/supplier details, product specifications, and composition. It is noteworthy that this research is among the few that classifies traceability factors and information through expert perspectives, and it creates decisive knowledge of traceability for the textile and clothing supply chain. It further provides insights on the extent to which this information can be shared among supply chain actors. Outcomes of this study can be helpful for the development of an information traceability framework. Policymakers can use the results to draft traceability guidelines/regulations, whilst top management can develop traceability-related strategies.</t>
  </si>
  <si>
    <t>[Agrawal, Tarun Kumar; Pal, Rudrajeet] Univ Boras, Swedish Sch Text, S-50190 Boras, Sweden; [Agrawal, Tarun Kumar] ENSAIT, GEMTEX, Lab Genie &amp; Mat Text, F-59000 Lille, France; [Agrawal, Tarun Kumar] Univ Lille Nord France, F-59000 Lille, France; [Agrawal, Tarun Kumar] Soochow Univ, Coll Text &amp; Clothing Engn, Suzhou 215021, Peoples R China</t>
  </si>
  <si>
    <t>University of Boras; Universite de Lille - ISITE; Universite de Lille; Ecole Nationale Superieure des Arts et Industries Textiles (ENSAIT); Universite de Lille - ISITE; Universite de Lille; Soochow University - China</t>
  </si>
  <si>
    <t>Agrawal, TK (corresponding author), Univ Boras, Swedish Sch Text, S-50190 Boras, Sweden.;Agrawal, TK (corresponding author), ENSAIT, GEMTEX, Lab Genie &amp; Mat Text, F-59000 Lille, France.;Agrawal, TK (corresponding author), Univ Lille Nord France, F-59000 Lille, France.;Agrawal, TK (corresponding author), Soochow Univ, Coll Text &amp; Clothing Engn, Suzhou 215021, Peoples R China.</t>
  </si>
  <si>
    <t>tarun_kumar.agrawal@hb.se; rudrajeet.pal@hb.se</t>
  </si>
  <si>
    <t>Pal, Rudrajeet/AAR-5543-2021; Agrawal, Tarun/Y-1125-2019</t>
  </si>
  <si>
    <t>Agrawal, Tarun/0000-0003-4408-3656; Pal, Rudrajeet/0000-0003-2015-6275</t>
  </si>
  <si>
    <t>European Commission</t>
  </si>
  <si>
    <t>This work has been comprehended in the framework of Erasmus Mundus Joint Doctorate Project-SMDTex (Sustainable Management and Design for Textiles), which is financed by the European Commission.</t>
  </si>
  <si>
    <t>10.3390/su11061698</t>
  </si>
  <si>
    <t>HU9KJ</t>
  </si>
  <si>
    <t>WOS:000465613000130</t>
  </si>
  <si>
    <t>Liu, DS; Fan, SJ</t>
  </si>
  <si>
    <t>Liu, Dong-sheng; Fan, Shu-jiang</t>
  </si>
  <si>
    <t>Tourist Behavior Pattern Mining Model Based on Context</t>
  </si>
  <si>
    <t>Personalized travel experience and service of tourist has been a hot topic research in the tourism service supply chain. In this paper, we take the context into consideration and propose an analyzed method to the tourist based on the context: firstly, we analyze the context which influences the tourist behavior patterns, select the main context factors, and construct the tourist behavior pattern model based on it; then, we calculate the interest degree of the tourist behavior pattern and mine out the rules with high interest degree with the association rule algorithm; we can make some recommendations to the tourist with better personalized travelling experience and services. At last, we make an experiment to show the feasibility and effectiveness of our method.</t>
  </si>
  <si>
    <t>[Liu, Dong-sheng; Fan, Shu-jiang] Zhejiang Gongshang Univ, Coll Comp Sci &amp; Informat Engn, Hangzhou 310018, Peoples R China</t>
  </si>
  <si>
    <t>Liu, DS (corresponding author), Zhejiang Gongshang Univ, Coll Comp Sci &amp; Informat Engn, Hangzhou 310018, Peoples R China.</t>
  </si>
  <si>
    <t>lds1118@163.com</t>
  </si>
  <si>
    <t>liu, dongsheng/IWM-1597-2023</t>
  </si>
  <si>
    <t>National Natural Science Foundation of China [71071140, 71301070005]; National Natural Science Foundation of Zhejiang Province [Y1090617]; Key Innovation Team of Zhejiang Province [2010R50041]; Soft science key research project of Zhejiang Province [2013C25053]; Zhejiang Gongshang University Graduate Student Scientific Research Project [1130XJ1512168]; Modern Business Centre of Zhejiang GongShang University</t>
  </si>
  <si>
    <t>National Natural Science Foundation of China(National Natural Science Foundation of China (NSFC)); National Natural Science Foundation of Zhejiang Province; Key Innovation Team of Zhejiang Province; Soft science key research project of Zhejiang Province; Zhejiang Gongshang University Graduate Student Scientific Research Project; Modern Business Centre of Zhejiang GongShang University</t>
  </si>
  <si>
    <t>This research is supported by the National Natural Science Foundation of China (Grant nos. 71071140 and 71301070005), the National Natural Science Foundation of Zhejiang Province (Grant no. Y1090617), the Key Innovation Team of Zhejiang Province (Grant no. 2010R50041), the Soft science key research project of Zhejiang Province (Grant no. 2013C25053), the Zhejiang Gongshang University Graduate Student Scientific Research Project (1130XJ1512168), and the Modern Business Centre of Zhejiang GongShang University.</t>
  </si>
  <si>
    <t>10.1155/2013/108062</t>
  </si>
  <si>
    <t>256QS</t>
  </si>
  <si>
    <t>WOS:000327329600001</t>
  </si>
  <si>
    <t>Choy, KL; Tan, KH; Chan, FTS</t>
  </si>
  <si>
    <t>Choy, K. L.; Tan, K. H.; Chan, F. T. S.</t>
  </si>
  <si>
    <t>Design of an intelligent supplier knowledge management system - an integrative approach</t>
  </si>
  <si>
    <t>19th International Conference on Computer-Aided Production Engineering 9CAPE</t>
  </si>
  <si>
    <t>NOV 21-23, 2005</t>
  </si>
  <si>
    <t>Monash Univ, Dept Mech Engn, Clayton, AUSTRALIA</t>
  </si>
  <si>
    <t>Monash Univ, Dept Mech Engn</t>
  </si>
  <si>
    <t>supplier and knowledge management; artificial neural networks; case-based reasoning; on-line analytical processing</t>
  </si>
  <si>
    <t>NEURAL-NETWORK APPROACH; MODEL; CLASSIFICATION; SELECTION; CRITERIA; SUPPORT; COST</t>
  </si>
  <si>
    <t>The drive to cut costs continually and focus on core competencies has driven many companies to outsource some or all of their production. Unlike the past, companies can no longer concentrate only on their own internal business operations, but have to work with customers and suppliers effectively and efficiently. The integration of customer demand and supplier capability to facilitate supplier management using data mining and artificial intelligence technologies has become a promising solution for outsourced-type companies in outsourcing manufacturing operations to suitable suppliers. The result is to form a supply network on which they depend on the provision of products and services. In this paper, a supplier knowledge management system (SKMS) is introduced for such a purpose. By using its hybrid on-line analytical processing (OLAP)/artificial neural networks (ANNs)/case-based reasoning (CBR) approach in predicting future customer demands and allocating suitable suppliers during the order fulfilment process, it is found that the overall efficiency in the whole supply chain is greatly enhanced. A case study using the SKMS to integrate the order subcontracting system of Farnell Newark-InOne (Shanghai) Limited is presented. Through the use of the SKMS, the demand of customers is related to the supplier's capabilities both efficiently and effectively while, at the same time, valuable supplier knowledge is also accumulated by the company.</t>
  </si>
  <si>
    <t>Hong Kong Polytech Univ, Dept Ind &amp; Syst Engn, Kowloon, Hong Kong, Peoples R China; Univ Nottingham, Sch Business, Nottingham NG7 2RD, England; Univ Hong Kong, Dept Ind &amp; Mfg Syst Engn, Hong Kong, Hong Kong, Peoples R China</t>
  </si>
  <si>
    <t>Hong Kong Polytechnic University; University of Nottingham; University of Hong Kong</t>
  </si>
  <si>
    <t>Choy, KL (corresponding author), Hong Kong Polytech Univ, Dept Ind &amp; Syst Engn, Kowloon, Hong Kong, Peoples R China.</t>
  </si>
  <si>
    <t>mfklchoy@inet.polyu.edu.hk</t>
  </si>
  <si>
    <t>Tan, Kim H/E-7735-2010; Chan, Felix/O-8875-2016</t>
  </si>
  <si>
    <t>Chan, Felix/0000-0001-7374-2396; CHOY, King Lun Tommy/0000-0001-9252-1476; Tan, Kim Hua/0000-0003-4894-293X; Choy, K.L./0000-0001-9365-1205</t>
  </si>
  <si>
    <t>10.1243/09544054JEM627</t>
  </si>
  <si>
    <t>173NO</t>
  </si>
  <si>
    <t>WOS:000246880000007</t>
  </si>
  <si>
    <t>Taghipour, A; Fooladvand, A; Khazaei, M; Ramezani, M</t>
  </si>
  <si>
    <t>Taghipour, Atour; Fooladvand, Arvin; Khazaei, Moein; Ramezani, Mohammad</t>
  </si>
  <si>
    <t>Criteria Clustering and Supplier Segmentation Based on Sustainable Shared Value Using BWM and PROMETHEE</t>
  </si>
  <si>
    <t>supply chain; supplier segmentation; shared value; sustainability; multi-criteria decision making</t>
  </si>
  <si>
    <t>ANALYTIC NETWORK PROCESS; DECISION FRAMEWORK; FUZZY AHP; SELECTION; CLASSIFICATION</t>
  </si>
  <si>
    <t>With the advent of healthy visions, two of the trends that have become extremely important in the supply chain in recent decades are corporate social responsibility (CSR) and sustainability, which have affected the activities of buyers and suppliers. The next trend that is emerging is the vision of creating shared value (CSV), which wants to move the supply chain toward solving social problems in a completely strategic way. This research intends to develop a step-by-step framework for evaluating and segmenting suppliers based on CSV criteria in the supply chain. In the first stage, the criteria for creating sustainable shared value (CSSV) are obtained through existing activities in the field of CSR. The obtained criteria are then divided into two categories, strategic and critical, and then the weight of each criterion is obtained using the best-worst method (BWM). In the next step, based on the Kraljic model, the suppliers are divided into four clusters using the preference ranking organization method for enrichment evaluation (PROMETHEE) technique. This framework helps the buyer to conclude and select purchasing decisions and relationships with suppliers through the lenses of CSV and sustainability.</t>
  </si>
  <si>
    <t>[Taghipour, Atour] Normandy Univ, Fac Int Business, F-76600 Le Havre, France; [Fooladvand, Arvin; Khazaei, Moein; Ramezani, Mohammad] Tarbiat Modares Univ, Dept Ind Management, Tehran 14115111, Iran</t>
  </si>
  <si>
    <t>Universite Le Havre Normandie; Tarbiat Modares University</t>
  </si>
  <si>
    <t>Taghipour, A (corresponding author), Normandy Univ, Fac Int Business, F-76600 Le Havre, France.</t>
  </si>
  <si>
    <t>atour.taghipour@univ-lehavre.fr</t>
  </si>
  <si>
    <t>Fooladvand, Arvin/JBI-9739-2023; Khazaei, Moein/AAA-1771-2022</t>
  </si>
  <si>
    <t>Fooladvand, Arvin/0000-0001-9223-7491; Khazaei, Moein/0000-0002-3323-890X; , atour/0000-0003-1687-8881</t>
  </si>
  <si>
    <t>MAY 26</t>
  </si>
  <si>
    <t>10.3390/su15118670</t>
  </si>
  <si>
    <t>I8UB1</t>
  </si>
  <si>
    <t>WOS:001005468200001</t>
  </si>
  <si>
    <t>Nicholls, DL; Bumgardner, MS</t>
  </si>
  <si>
    <t>Nicholls, David L.; Bumgardner, Matthew S.</t>
  </si>
  <si>
    <t>Challenges and Opportunities for North American Hardwood Manufacturers to Adopt Customization Strategies in an Era of Increased Competition</t>
  </si>
  <si>
    <t>FORESTS</t>
  </si>
  <si>
    <t>customization; competitive advantage; lean; agile; supply chain; hardwood products</t>
  </si>
  <si>
    <t>SUPPLY CHAIN MANAGEMENT; CHARACTER-MARKED FURNITURE; WOOD HOUSEHOLD FURNITURE; MASS CUSTOMIZATION; LEAN PRODUCTION; PRODUCTS INDUSTRY; TO-ORDER; PERFORMANCE; IMPACT; US</t>
  </si>
  <si>
    <t>Much of the North American wood products industry was severely impacted by the recession of 2008-2009. In addition, many sectors within this industry face intense global competition. Against this backdrop, we examine economic opportunities for hardwood manufacturers to achieve greater competitive advantage via product customization, through a literature review and synthesis. We also discuss several related themes including agility, lean manufacturing, and clustering. We found that, in globally competitive environments, hardwood producers must be agile to adapt to economic conditions and dynamic customer demand. We discuss how some sectors of the hardwood industry have effectively exhibited customized production, and subsequently fared relatively well in the current economy. We conclude the synthesis by evaluating the importance of supply chains to achieving customization for hardwood producers. In the future, supply chains will need to be configured to rapidly respond to changing consumer demands, and pressure to provide more services will likely extend further back up the supply chain to hardwood sawmills. It is expected that sustainability practices, including green supply chain management, will impact operational and economic performance of hardwood firms as well.</t>
  </si>
  <si>
    <t>[Nicholls, David L.] Pacific Northwest Res Stn, Sitka, AK 99835 USA; [Bumgardner, Matthew S.] Northern Res Stn, Delaware, OH 43015 USA</t>
  </si>
  <si>
    <t>Nicholls, DL (corresponding author), Pacific Northwest Res Stn, Sitka, AK 99835 USA.</t>
  </si>
  <si>
    <t>dlnicholls@fs.fed.us; mbumgardner@fs.fed.us</t>
  </si>
  <si>
    <t>1999-4907</t>
  </si>
  <si>
    <t>Forests</t>
  </si>
  <si>
    <t>10.3390/f9040186</t>
  </si>
  <si>
    <t>Forestry</t>
  </si>
  <si>
    <t>GI9PH</t>
  </si>
  <si>
    <t>WOS:000434856800030</t>
  </si>
  <si>
    <t>Jain, V.; Wadhwa, S.; Deshmukh, S. G.</t>
  </si>
  <si>
    <t>Supplier selection using fuzzy association rules mining approach</t>
  </si>
  <si>
    <t>supplier selection; fuzzy association rule mining; fuzzy support; fuzzy confidence; flexibility; supply chain management</t>
  </si>
  <si>
    <t>ANALYTIC HIERARCHY PROCESS; SYSTEM</t>
  </si>
  <si>
    <t>Owing to ill-structured, dynamic environments and the presence of multiple decision-makers with conflicting viewpoints, comprehension, analysis and support of the supplier evaluation process becomes more and more difficult. Moreover, with the complexities of issues such as the role of leadership, the influence of group formation, and analysis of disagreements, it cannot be predictable that there will ever exist a solution to cope with all imprecise, multi-criteria/multi-actor situations. A fuzzy association rules-based approach may be suited for the judgement of human subjects. In this paper, we develop an approach based on Fuzzy Association Rule Mining to support the decision makers by enhancing the flexibility in making decisions for evaluating suppliers with both tangibles and intangibles attributes. Also, by checking the fuzzy classification rules, the goal of knowledge acquisition can be achieved in a framework in which assessments could be established without constraints, and consequently checked and compared in several details. The efficacy and intricacy of the proposed model for finding fuzzy association rules from the database for supplier assessment is demonstrated with the help of numerical examples.</t>
  </si>
  <si>
    <t>Indian Inst Technol, Dept Mech Engn, New Delhi 110016, India</t>
  </si>
  <si>
    <t>10.1080/00207540600665836</t>
  </si>
  <si>
    <t>135HI</t>
  </si>
  <si>
    <t>WOS:000244144300004</t>
  </si>
  <si>
    <t>Aqlan, F</t>
  </si>
  <si>
    <t>Aqlan, Faisal</t>
  </si>
  <si>
    <t>Dynamic clustering of inventory parts to enhance warehouse management</t>
  </si>
  <si>
    <t>warehouse management; warehousing systems; inventory clustering; space allocation; high-end server manufacturing</t>
  </si>
  <si>
    <t>ABC ANALYSIS; CLASSIFICATION; OPTIMIZATION; MULTI; MODEL; INDUSTRY; PICKING; SYSTEM</t>
  </si>
  <si>
    <t>Inventory management in today's complex manufacturing environments has become increasingly challenging. Ineffective management of inventory can lead to material shortages, excessive inventories, long lead times, waste of space, and poor customer service. Nowadays, various companies are using information systems to establish effective linkages to suppliers, customers, and other agents in the supply chain. These information systems include comprehensive data warehouses that integrate operational data within the supply chain including part usage, customer demand, defect rates, etc. The data can be used in analytics models to improve warehouse operations and inventory management. In this research, an approach is proposed for warehouse inventory management based on part clustering. The proposed approach categorises inventory parts based on their pick frequency, age, price, and sensitivity to transportation. Part grouping helps the decision makers to identify whether to keep the part in the warehouse, move it to an offsite inventory storage, or scrap it. The approach also determines when and how many parts should be moved from the offsite storage to the internal warehouse in order to balance the inventory and minimise the transportation costs. Dynamic reports are generated on a regular basis to effectively manage the inventory.</t>
  </si>
  <si>
    <t>[Aqlan, Faisal] Penn State Univ, Behrend Coll, Dept Ind Engn, Erie, PA 16563 USA</t>
  </si>
  <si>
    <t>Pennsylvania Commonwealth System of Higher Education (PCSHE); Pennsylvania State University</t>
  </si>
  <si>
    <t>Aqlan, F (corresponding author), Penn State Univ, Behrend Coll, Dept Ind Engn, Erie, PA 16563 USA.</t>
  </si>
  <si>
    <t>fua11@psu.edu</t>
  </si>
  <si>
    <t>10.1504/EJIE.2017.086184</t>
  </si>
  <si>
    <t>FM5UU</t>
  </si>
  <si>
    <t>WOS:000415107300002</t>
  </si>
  <si>
    <t>Alkatheri, M; Alhameli, F; Betancourt-Torcat, A; Almansoori, A; Elkamel, A</t>
  </si>
  <si>
    <t>Alkatheri, Mohammed; Alhameli, Falah; Betancourt-Torcat, Alberto; Almansoori, Ali; Elkamel, Ali</t>
  </si>
  <si>
    <t>Clustering Approach for the Efficient Solution of Multiscale Stochastic Programming Problems: Application to Energy Hub Design and Operation under Uncertainty</t>
  </si>
  <si>
    <t>clustering algorithm; multiscale; supply chain; computational complexity; energy hub</t>
  </si>
  <si>
    <t>OPTIMIZATION; EMISSION; SYSTEM; MODEL; NETWORK</t>
  </si>
  <si>
    <t>The management of the supply chain for enterprise-wide operations generally consists of strategic, tactical, and operational decision stages dependent on one another and affecting various time scales. Their integration usually leads to multiscale models that are computationally intractable. The design and operation of energy hubs faces similar challenges. Renewable energies are challenging to model due to the high level of intermittency and uncertainty. The multiscale (i.e., planning and scheduling) energy hub systems that incorporate renewable energy resources become more challenging to model due to an integration of the multiscale and high level of intermittency associated with renewable energy. In this work, a mixed-integer programming (MILP) superstructure is proposed for clustering shape-based time series data featuring multiple attributes using a multi-objective optimization approach. Additionally, a data-driven statistical method is used to represent the intermittent behavior of uncertain renewable energy data. According to these methods, the design and operation of an energy hub with hydrogen storage was reformulated following a two-stage stochastic modeling technique. The main outcomes of this study are formulating a stochastic energy hub optimization model which comprehensively considers the design and operation planning, energy storage system, and uncertainties of DRERs, and proposing an efficient size reduction approach for large-sized multiple attributes demand data. The case study results show that normal clustering is closer to the optimal case (full scale model) compared with sequence clustering. In addition, there is an improvement in the objective function value using the stochastic approach instead of the deterministic. The present clustering algorithm features many unique characteristics that gives it advantages over other clustering approach and the straightforward statistical approach used to represent intermittent energy, and it can be easily incorporated into various distributed energy systems.</t>
  </si>
  <si>
    <t>[Alkatheri, Mohammed; Alhameli, Falah; Betancourt-Torcat, Alberto; Elkamel, Ali] Univ Waterloo, Dept Chem Engn, 200 Univ Ave West, Waterloo, ON N2L 3G1, Canada; [Almansoori, Ali; Elkamel, Ali] Khalifa Univ Sci &amp; Technol, Dept Chem Engn, Sas Al Nakhl Campus,POB 2533, Abu Dhabi, U Arab Emirates</t>
  </si>
  <si>
    <t>University of Waterloo; Khalifa University of Science &amp; Technology</t>
  </si>
  <si>
    <t>Elkamel, A (corresponding author), Univ Waterloo, Dept Chem Engn, 200 Univ Ave West, Waterloo, ON N2L 3G1, Canada.;Almansoori, A; Elkamel, A (corresponding author), Khalifa Univ Sci &amp; Technol, Dept Chem Engn, Sas Al Nakhl Campus,POB 2533, Abu Dhabi, U Arab Emirates.</t>
  </si>
  <si>
    <t>ali.almansoori@ku.ac.ae; aelkamel@uwaterloo.ca</t>
  </si>
  <si>
    <t>Almansoori, Ali/0000-0002-0789-5105</t>
  </si>
  <si>
    <t>10.3390/pr11041046</t>
  </si>
  <si>
    <t>F5MW3</t>
  </si>
  <si>
    <t>WOS:000982795800001</t>
  </si>
  <si>
    <t>Kong, JL; Yang, CC; Wang, JL; Wang, XY; Zuo, M; Jin, XB; Lin, S</t>
  </si>
  <si>
    <t>Kong, Jianlei; Yang, Chengcai; Wang, Jianli; Wang, Xiaoyi; Zuo, Min; Jin, Xuebo; Lin, Sen</t>
  </si>
  <si>
    <t>Deep-Stacking Network Approach by Multisource Data Mining for Hazardous Risk Identification in IoT-Based Intelligent Food Management Systems</t>
  </si>
  <si>
    <t>COMPUTATIONAL INTELLIGENCE AND NEUROSCIENCE</t>
  </si>
  <si>
    <t>SAFETY; INITIATIVES; ALGORITHM; MACHINE; CHAIN</t>
  </si>
  <si>
    <t>Food quality and safety issues occurred frequently in recent years, which have attracted more and more attention of social and international organizations. Considering the increased quality risk in the food supply chain, many researchers have applied various information technologies to develop real-time risk identification and traceability systems (RITSs) for preferable food safety guarantee. This paper presents an innovative approach by utilizing the deep-stacking network method for hazardous risk identification, which relies on massive multisource data monitored by the Internet of Things timely in the whole food supply chain. The aim of the proposed method is to help managers and operators in food enterprises to find accurate risk levels of food security in advance and to provide regulatory authorities and consumers with potential rules for better decision-making, thereby maintaining the safety and sustainability of food product supply. The verification experiments show that the proposed method has the best performance in terms of prediction accuracy up to 97.62%, meanwhile achieves the appropriate model parameters only up to 211.26 megabytes. Moreover, the case analysis is implemented to illustrate the outperforming performance of the proposed method in risk level identification. It can effectively enhance the RITS ability for assuring food supply chain security and attaining multiple cooperation between regulators, enterprises, and consumers.</t>
  </si>
  <si>
    <t>[Kong, Jianlei; Yang, Chengcai; Wang, Jianli; Wang, Xiaoyi; Zuo, Min; Jin, Xuebo] Beijing Technol &amp; Business Univ, Sch Artificial Intelligence, Beijing 100048, Peoples R China; [Kong, Jianlei; Zuo, Min] Natl Engn Lab Agriprod Qual Traceabil, Beijing 100048, Peoples R China; [Lin, Sen] Beijing Acad Agr &amp; Forestry Sci, Intelligent Equipment Res Ctr, Beijing 100097, Peoples R China</t>
  </si>
  <si>
    <t>Beijing Technology &amp; Business University; Beijing Academy of Agriculture &amp; Forestry Sciences (BAAFS)</t>
  </si>
  <si>
    <t>Wang, JL; Zuo, M (corresponding author), Beijing Technol &amp; Business Univ, Sch Artificial Intelligence, Beijing 100048, Peoples R China.;Zuo, M (corresponding author), Natl Engn Lab Agriprod Qual Traceabil, Beijing 100048, Peoples R China.</t>
  </si>
  <si>
    <t>kongjianlei@btbu.edu.cn; 2030601023@st.btbu.edu.cn; wangjianli@btbu.edu.cn; sdwangxy@163.com; zuomin@btbu.edu.cn; jinxuebo@btbu.edu.cn; linseng@nercita.org.cn</t>
  </si>
  <si>
    <t>WANG, Xiaoyi/AAJ-1674-2020; JIN, Xue-bo/W-2837-2019</t>
  </si>
  <si>
    <t>WANG, Xiaoyi/0000-0002-6286-3085; JIN, Xue-bo/0000-0002-2230-0077; Wang, Jianli/0000-0003-1449-7823; Zuo, Min/0000-0003-3336-2940; Jianlei, Kong/0000-0002-0074-3467</t>
  </si>
  <si>
    <t>National Natural Science Foundation of China [62006008]; National Key Research and Development Program of China [2020YFC1606801]; Beijing Natural Science Foundation [4202014]; Humanities and Social Sciences of Ministry of Education of China [20YJCZH229]</t>
  </si>
  <si>
    <t>National Natural Science Foundation of China(National Natural Science Foundation of China (NSFC)); National Key Research and Development Program of China; Beijing Natural Science Foundation(Beijing Natural Science Foundation); Humanities and Social Sciences of Ministry of Education of China(Ministry of Education, China)</t>
  </si>
  <si>
    <t>AcknowledgmentsThis research was financially supported by the National Natural Science Foundation of China (no. 62006008), National Key Research and Development Program of China (no. 2020YFC1606801), Beijing Natural Science Foundation (no. 4202014), and Humanities and Social Sciences of Ministry of Education of China (no. 20YJCZH229).</t>
  </si>
  <si>
    <t>1687-5265</t>
  </si>
  <si>
    <t>1687-5273</t>
  </si>
  <si>
    <t>COMPUT INTEL NEUROSC</t>
  </si>
  <si>
    <t>Comput. Intell. Neurosci.</t>
  </si>
  <si>
    <t>NOV 10</t>
  </si>
  <si>
    <t>10.1155/2021/1194565</t>
  </si>
  <si>
    <t>Mathematical &amp; Computational Biology; Neurosciences</t>
  </si>
  <si>
    <t>Mathematical &amp; Computational Biology; Neurosciences &amp; Neurology</t>
  </si>
  <si>
    <t>XD5JG</t>
  </si>
  <si>
    <t>WOS:000722744500001</t>
  </si>
  <si>
    <t>Singh, A; Gutub, A; Nayyar, A; Khan, MK</t>
  </si>
  <si>
    <t>Singh, Ashish; Gutub, Adnan; Nayyar, Anand; Khan, Muhammad Khurram</t>
  </si>
  <si>
    <t>Redefining food safety traceability system through blockchain: findings, challenges and open issues</t>
  </si>
  <si>
    <t>MULTIMEDIA TOOLS AND APPLICATIONS</t>
  </si>
  <si>
    <t>Food safety traceability systems; Blockchain technology; Consensus algorithms; Security and privacy issues</t>
  </si>
  <si>
    <t>SUPPLY-CHAIN; PRODUCT TRACEABILITY; RFID TECHNOLOGY; COLD CHAIN; HEALTH; AUTHENTICATION; SECURITY; ADOPTION</t>
  </si>
  <si>
    <t>In the last few decades, there has been an increase in food safety and traceability issues. To prevent accidents and misconduct, it became essential to establish Food Safety Traceability System (FSTS) to trace the food from producer to consumer. The traceability systems can help track food in supply chains from farms to retail. Numerous technologies such as Radio Frequency Identification (RFID), sensor networks, and data mining have been integrated into traditional food supply chain systems to remove unsafe food products from the chain. But, these are not adequate for the current supply chain market. The emerging technology of blockchain can overcome safety and tracking issues. This can be possible with the help of blockchain features like transparent, decentralized, distributed, and immutable. Most of the previous works missed the discussion of the systematic process and technology involved in implementing the FSTS using blockchain. In this paper, we have discussed an organized state of research of the existing FSTS using blockchain. This survey paper aims to outline a detailed analysis of blockchain technology, FSTS using blockchain, consensus algorithms, security attacks, and solutions. Several survey papers and solutions based on blockchain are included in this research paper. Also, this work discusses some of the open research issues related to FSTS.</t>
  </si>
  <si>
    <t>[Singh, Ashish] KIIT Deemed Univ, Sch Comp Engn, Bhubaneswar 751024, Odisha, India; [Gutub, Adnan] Umm Al Qura Univ, Comp Engn Dept, Mecca, Saudi Arabia; [Nayyar, Anand] Duy Tan Univ, Sch Comp Sci, Da Nang, Vietnam; [Khan, Muhammad Khurram] King Saud Univ, Coll Comp &amp; Informat Sci, Ctr Excellence Informat Assurance, Riyadh 11653, Saudi Arabia</t>
  </si>
  <si>
    <t>Kalinga Institute of Industrial Technology (KIIT); Umm Al Qura University; Duy Tan University; King Saud University</t>
  </si>
  <si>
    <t>Nayyar, A (corresponding author), Duy Tan Univ, Sch Comp Sci, Da Nang, Vietnam.</t>
  </si>
  <si>
    <t>ashishashish307@gmail.com; anandnayyar@duytan.edu.vn; aagutub@uqu.edu.sa; mkhurram@ksu.edu.sa</t>
  </si>
  <si>
    <t>Gutub, Adnan Abdul-Aziz/O-1240-2016; KHAN, MUHAMMAD KHURRAM/E-4836-2014; Nayyar, Anand/F-3732-2015; Khan, Muhammad/IXN-8470-2023</t>
  </si>
  <si>
    <t>Gutub, Adnan Abdul-Aziz/0000-0003-0923-202X; KHAN, MUHAMMAD KHURRAM/0000-0001-6636-0533; Nayyar, Anand/0000-0002-9821-6146;</t>
  </si>
  <si>
    <t>1380-7501</t>
  </si>
  <si>
    <t>1573-7721</t>
  </si>
  <si>
    <t>MULTIMED TOOLS APPL</t>
  </si>
  <si>
    <t>Multimed. Tools Appl.</t>
  </si>
  <si>
    <t>10.1007/s11042-022-14006-4</t>
  </si>
  <si>
    <t>Computer Science, Information Systems; Computer Science, Software Engineering; Computer Science, Theory &amp; Methods; Engineering, Electrical &amp; Electronic</t>
  </si>
  <si>
    <t>H3YR2</t>
  </si>
  <si>
    <t>WOS:000869339100001</t>
  </si>
  <si>
    <t>Antomarioni, S; Lucantoni, L; Ciarapica, FE; Bevilacqua, M</t>
  </si>
  <si>
    <t>Antomarioni, Sara; Lucantoni, Laura; Ciarapica, Filippo Emanuele; Bevilacqua, Maurizio</t>
  </si>
  <si>
    <t>Data-driven decision support system for managing item allocation in an ASRS: A framework development and a case study</t>
  </si>
  <si>
    <t>Warehouse management; Automated Storage and Retrieval System (ASRS); Data-driven techniques; Association Rule Mining</t>
  </si>
  <si>
    <t>ORDER-PICKING; STORAGE ASSIGNMENT; MANAGEMENT; WAREHOUSE; IMPLEMENTATION</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</si>
  <si>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t>
  </si>
  <si>
    <t>[Antomarioni, Sara; Lucantoni, Laura; Ciarapica, Filippo Emanuele; Bevilacqua, Maurizio] Univ Politecn Marche, Dept Ind Engn &amp; Math Sci, Via Brecce Bianche 12, I-60131 Ancona, Italy</t>
  </si>
  <si>
    <t>Antomarioni, S (corresponding author), Univ Politecn Marche, Dept Ind Engn &amp; Math Sci, Via Brecce Bianche 12, I-60131 Ancona, Italy.</t>
  </si>
  <si>
    <t>s.antomarioni@univpm.it; l.lucantoni@univpm.it; f.ciarapica@univpm.it; m.bevilacqua@univpm.it</t>
  </si>
  <si>
    <t>Antomarioni, Sara/AAO-3553-2020</t>
  </si>
  <si>
    <t>Antomarioni, Sara/0000-0001-8584-7814</t>
  </si>
  <si>
    <t>10.1016/j.eswa.2021.115622</t>
  </si>
  <si>
    <t>WH0YJ</t>
  </si>
  <si>
    <t>WOS:000707414500005</t>
  </si>
  <si>
    <t>Zhang, JX; Chen, M; Hu, EH; Wu, LH</t>
  </si>
  <si>
    <t>Zhang, Jingxiang; Chen, Mo; Hu, Enhua; Wu, Linhai</t>
  </si>
  <si>
    <t>Data mining model for food safety incidents based on structural analysis and semantic similarity</t>
  </si>
  <si>
    <t>JOURNAL OF AMBIENT INTELLIGENCE AND HUMANIZED COMPUTING</t>
  </si>
  <si>
    <t>Data mining model; Food safety incidents; Semantic analysis</t>
  </si>
  <si>
    <t>WILLINGNESS-TO-PAY; INTERNET</t>
  </si>
  <si>
    <t>Food safety is of vital interest for public health and the stability of society. In this paper, we analyzed the characteristics of food safety incidents (FSIs), including spatial distribution, food categories, risk factors, and supply chain links, reported by mainstream media in China. Based on our analysis, we constructed a semantic template for text data related to FSIs. Furthermore, we introduced a multi-layer, multi-level semantic structure of rank (MMSS-Rank) algorithm to measure the similarity between collected food safety data and the semantic template. We then calculated the overall scores (i.e., text layer weight, semantic template weight, and keyword density matrix) and selected an appropriate threshold to determine the accuracy of the FSI data. Results showed that, compared with traditional methods, MMSS-Rank is an efficient and robust method for identifying large-scale FSI data with higher accuracy and recall rate.</t>
  </si>
  <si>
    <t>[Zhang, Jingxiang] Jiangnan Univ, Sch Sci, 1800 Lihu Ave, Wuxi 214122, Jiangsu, Peoples R China; [Zhang, Jingxiang] Jiangnan Univ, Sch Biotechnol, 1800 Lihu Ave, Wuxi 214122, Jiangsu, Peoples R China; [Chen, Mo; Hu, Enhua] Nanjing Univ Aeronaut &amp; Astronaut, Sch Econ &amp; Management, 29 Jiangjun Ave, Nanjing 211106, Jiangsu, Peoples R China; [Zhang, Jingxiang; Wu, Linhai] Jiangnan Univ, Res Inst Food Safety Risk Management, Sch Business, 1800 Lihu Ave, Wuxi 214122, Jiangsu, Peoples R China</t>
  </si>
  <si>
    <t>Jiangnan University; Jiangnan University; Nanjing University of Aeronautics &amp; Astronautics; Jiangnan University</t>
  </si>
  <si>
    <t>Zhang, JX (corresponding author), Jiangnan Univ, Sch Sci, 1800 Lihu Ave, Wuxi 214122, Jiangsu, Peoples R China.;Zhang, JX (corresponding author), Jiangnan Univ, Sch Biotechnol, 1800 Lihu Ave, Wuxi 214122, Jiangsu, Peoples R China.;Zhang, JX (corresponding author), Jiangnan Univ, Res Inst Food Safety Risk Management, Sch Business, 1800 Lihu Ave, Wuxi 214122, Jiangsu, Peoples R China.</t>
  </si>
  <si>
    <t>zhangjingxiang@jiangnan.edu.cn</t>
  </si>
  <si>
    <t>National Social Science: Research on the Scientific Connotation and the Design of Food Safety System Framework [19AGL021]; Philosophy and Social Science Fund of Education Department of Jiangsu Province [15JD005]</t>
  </si>
  <si>
    <t>National Social Science: Research on the Scientific Connotation and the Design of Food Safety System Framework; Philosophy and Social Science Fund of Education Department of Jiangsu Province</t>
  </si>
  <si>
    <t>This work was supported in part by the 2019 Key Research Project Sponsored by National Social Science: Research on the Scientific Connotation and the Design of Food Safety System Framework, Project No. 19AGL021. The Philosophy and Social Science Fund of Education Department of Jiangsu Province (15JD005).</t>
  </si>
  <si>
    <t>1868-5137</t>
  </si>
  <si>
    <t>1868-5145</t>
  </si>
  <si>
    <t>J AMB INTEL HUM COMP</t>
  </si>
  <si>
    <t>J. Ambient Intell. Humaniz. Comput.</t>
  </si>
  <si>
    <t>2020 FEB 4</t>
  </si>
  <si>
    <t>10.1007/s12652-020-01750-4</t>
  </si>
  <si>
    <t>Computer Science, Artificial Intelligence; Computer Science, Information Systems; Telecommunications</t>
  </si>
  <si>
    <t>KI0RN</t>
  </si>
  <si>
    <t>WOS:000511053400001</t>
  </si>
  <si>
    <t>Hsu, MF; Chang, TM; Lin, SJ</t>
  </si>
  <si>
    <t>Hsu, Ming-Fu; Chang, Te-Min; Lin, Sin-Jin</t>
  </si>
  <si>
    <t>NEWS-BASED SOFT INFORMATION AS A CORPORATE COMPETITIVE ADVANTAGE</t>
  </si>
  <si>
    <t>supply chain network; sentimental indicator; decision making; data envelopment analysis</t>
  </si>
  <si>
    <t>DATA ENVELOPMENT ANALYSIS; RESEARCH-AND-DEVELOPMENT; SUPPLY CHAIN MANAGEMENT; DATA MINING TECHNIQUES; DECISION-MAKING; SOCIAL NETWORK; STRUCTURAL EMBEDDEDNESS; FINANCIAL PERFORMANCE; EFFICIENCY; DEA</t>
  </si>
  <si>
    <t>This study establishes a decision-making conceptual architecture that evaluates decision making units (DMUs) from numerous aspects. The architecture combines financial indicators together with a variety of data envelopment analysis (DEA) specifications to encapsulate more information to give a complete picture of a corporate's operation. To make outcomes more accessible to non-specialists, multidimensional scaling (MDS) was performed to visualize the data. Most previous studies on forecasting model construction have relied heavily on hard information, with quite a few works taking into consideration soft information, which contains much denser and more diverse messages than hard information. To overcome this challenge, we consider two different types of soft information: supply chain influential indicator (SCI) and sentimental indicator (STI). SCI is computed by joint utilization of text mining (TM) and social network analysis (SNA), with TM identifying the corporate's SC relationships from news articles and SNA to determining their impact on the network. STI is extracted from an accounting narrative so as to comprehensively illustrate the relationships between pervious and future performances. The analyzed outcomes are then fed into an artificial intelligence (AI)-based technique to construct the forecasting model. The introduced model, examined by real cases, is a promising alternative for performance forecasting.</t>
  </si>
  <si>
    <t>[Hsu, Ming-Fu] Chinese Culture Univ, English Program Global Business, Taipei, Taiwan; [Chang, Te-Min] Natl Sun Yat Sen Univ, Dept Informat Management, Kaohsiung, Taiwan; [Lin, Sin-Jin] Chinese Culture Univ, Dept Accounting, Taipei, Taiwan</t>
  </si>
  <si>
    <t>Chinese Culture University; National Sun Yat Sen University; Chinese Culture University</t>
  </si>
  <si>
    <t>Lin, SJ (corresponding author), Chinese Culture Univ, Dept Accounting, Taipei, Taiwan.</t>
  </si>
  <si>
    <t>annman1204@gmail.com</t>
  </si>
  <si>
    <t>Ministry of Science and Technology, Taiwan, R.O.C. [106-2410-H-034 -046 -MY2, 1062410-H-034 -011 -MY3, 107-2410-H-110 -025 -MY2, 108-2410-H-034 -056 -MY2]</t>
  </si>
  <si>
    <t>Ministry of Science and Technology, Taiwan, R.O.C.(Ministry of Science and Technology, Taiwan)</t>
  </si>
  <si>
    <t>The authors would like to thank the Ministry of Science and Technology, Taiwan, R.O.C. for financially supporting this work under contracts No.106-2410-H-034 -046 -MY2, No. 1062410-H-034 -011 -MY3, No. 107-2410-H-110 -025 -MY2, and 108-2410-H-034 -056 -MY2</t>
  </si>
  <si>
    <t>10.3846/tede.2019.11328</t>
  </si>
  <si>
    <t>KF8NJ</t>
  </si>
  <si>
    <t>WOS:000509493500003</t>
  </si>
  <si>
    <t>Developing the Profiles of Business Analytics Adopters and Non-adopters Using Data Mining Tools</t>
  </si>
  <si>
    <t>Business analytics adoption; business intelligence; data mining tools; Korean firms</t>
  </si>
  <si>
    <t>BIG DATA ANALYTICS; TECHNOLOGY ACCEPTANCE MODEL; INFORMATION-TECHNOLOGY; FIRM PERFORMANCE; SUPPLY CHAIN; PERCEIVED EASE; ADOPTION; CAPABILITIES; INNOVATION; DIFFUSION</t>
  </si>
  <si>
    <t>Despite the growing popularity of business analytics (BA) in the increasingly knowledge-based economy, many firms are still skeptical about its strategic value and thus hesitant to adopt BA. To have a true sense of which firms are likely to adopt and then utilize the BA for their competitiveness, this paper identifies BA user characteristics in terms of the user's firm size, organizational readiness, financial resources, and information technology expertise/infrastructure. In so doing, this paper conducted a series of cluster and decision tree analyses to develop specific profiles of BA adopters and non-adopters based on a sample of 224 Korean firms representing various industry sectors. This paper is one of the first attempts to develop practical guidelines for the successful implementation of BA based on the empirical study of BA practices among Korean firms.</t>
  </si>
  <si>
    <t>[Min, Hokey] Bowling Green State Univ, Allen &amp; Carol Schmidthorst Coll Business, Maurer Ctr 312, Bowling Green, OH 43403 USA; [Lea, Bih-Ru] Missouri Univ Sci &amp; Technol, Fulton 107B, Rolla, MO 65409 USA</t>
  </si>
  <si>
    <t>hmin@bgsu.edu</t>
  </si>
  <si>
    <t>Lea, Bih-Ru/0000-0002-1518-5621</t>
  </si>
  <si>
    <t>SEP 3</t>
  </si>
  <si>
    <t>10.1080/08874417.2021.1967815</t>
  </si>
  <si>
    <t>4E7FR</t>
  </si>
  <si>
    <t>WOS:000696299700001</t>
  </si>
  <si>
    <t>Sener, A; Barut, M; Oztekin, A; Avcilar, MY; Yildirim, MB</t>
  </si>
  <si>
    <t>Sener, Abdurrezzak; Barut, Mehmet; Oztekin, Asil; Avcilar, Mutlu Yuksel; Yildirim, Mehmet Bayram</t>
  </si>
  <si>
    <t>The role of information usage in a retail supply chain: A causal data mining and analytical modeling approach</t>
  </si>
  <si>
    <t>JOURNAL OF BUSINESS RESEARCH</t>
  </si>
  <si>
    <t>Information sharing; Information usage; Operational performance; Organizational learning; Data mining; Causal analytics</t>
  </si>
  <si>
    <t>KNOWLEDGE MANAGEMENT-PRACTICES; RESOURCE-BASED VIEW; CUSTOMER SATISFACTION; EXTERNAL INTEGRATION; COMPANY PERFORMANCE; FIRM PERFORMANCE; LOGISTICS PERFORMANCE; FINANCIAL PERFORMANCE; ABSORPTIVE-CAPACITY; PRODUCT DEVELOPMENT</t>
  </si>
  <si>
    <t>This study utilizes both a resource-based view and organizational learning theory to present the need to distinguish information sharing from information usage. Our main research aim was to investigate the mediating role of information usage between information sharing, and operational efficiency and effectiveness. We tested the hypotheses in our relational model using empirical data obtained from food retailers in Turkey. The analysis of results from structural equation modeling reveal that the separation of information sharing from information usage is valid, and the mediating role of usage is significant in improving operational effectiveness and efficiency. We further utilized a Bayesian neural networks-based causal analytic model, i.e., universal structure modeling methodology to reveal non-trivial, implicit, previously unknown, and potentially useful relationships among the constructs.</t>
  </si>
  <si>
    <t>[Sener, Abdurrezzak] Duquesne Univ, Palumbo Donahue Sch Business, Pittsburgh, PA 15219 USA; [Barut, Mehmet] Wichita State Univ, Barton Sch Business, Dept Finance Real Estate &amp; Decis Sci, 1845 North Fairmt St, Wichita, KS 67260 USA; [Oztekin, Asil] Univ Massachusetts, Manning Sch Business, Dept Operat &amp; Informat Syst, Lowell, MA USA; [Avcilar, Mutlu Yuksel] Osmaniye Korkut Ata Univ, Fac Econ &amp; Business Adm, Dept Operat Management &amp; Mkt, Osmaniye, Turkey; [Yildirim, Mehmet Bayram] Wichita State Univ, Coll Engn, Dept Ind Syst &amp; Mfg Engn, Wichita, KS 67260 USA</t>
  </si>
  <si>
    <t>Duquesne University; Wichita State University; University of Massachusetts System; University of Massachusetts Lowell; Osmaniye Korkut Ata University; Wichita State University</t>
  </si>
  <si>
    <t>Barut, M (corresponding author), Wichita State Univ, Barton Sch Business, Dept Finance Real Estate &amp; Decis Sci, 1845 North Fairmt St, Wichita, KS 67260 USA.</t>
  </si>
  <si>
    <t>Mehmet.Barut@wichita.edu</t>
  </si>
  <si>
    <t>0148-2963</t>
  </si>
  <si>
    <t>1873-7978</t>
  </si>
  <si>
    <t>J BUS RES</t>
  </si>
  <si>
    <t>J. Bus. Res.</t>
  </si>
  <si>
    <t>10.1016/j.jbusres.2019.01.070</t>
  </si>
  <si>
    <t>HY6PX</t>
  </si>
  <si>
    <t>WOS:000468253300009</t>
  </si>
  <si>
    <t>Liu, YQ; Xu, SW; Liu, JJ; Zhuang, JY</t>
  </si>
  <si>
    <t>Liu, Yunqing; Xu, Shiwei; Liu, Jiajia; Zhuang, Jiayu</t>
  </si>
  <si>
    <t>Analytical bi-level multi-local-world complex network model on fresh agricultural products supply chain</t>
  </si>
  <si>
    <t>INTERNATIONAL JOURNAL OF AGRICULTURAL AND BIOLOGICAL ENGINEERING</t>
  </si>
  <si>
    <t>fresh agricultural products; supplying process; supply chain; complex network; multi-local-world model</t>
  </si>
  <si>
    <t>Lately, in some regions and seasons in China, urban consumers have paid high in buying fresh agricultural products while farmers get unreasonable income from producing them. To seek the reason for the phenomenon and explore ways to simulate it, this study constructed and implemented a complex network model named the Bi-Level Multi-Local-World (BI-MLW model) with characteristics of an interdependent coupling relationship between its participants. To verify the validity of the model, this study implemented an experimental simulation under Small Decentralized Operation Mode (SDOM) and Large Centralized Operation Mode (LCOM) scenarios using Cucurbita pepo and Cucumber in the Tianjin area of China as sample empirical products. Results indicate that nodes do not increase edges rapidly which reflects that even large firms in agricultural business cannot occupy markets fleetly. Furthermore, under the SDOM scenario the BI-MLW model exposes scale-free features with a small average degree value and low average clustering coefficient, while under the LCOM scenario, the model displays a rising average clustering coefficient and a lowered average path length. Both of which are consistent with the common view in literature and features of reality. Thus, the BI-MLW model specially designed for fresh agricultural products supply chain can improve the descriptive ability than conventional Erdos-Renyi (ER), Barabasi-Albert (BA), Bianconi-Barabasi (BB) network models.</t>
  </si>
  <si>
    <t>[Liu, Yunqing; Xu, Shiwei; Liu, Jiajia; Zhuang, Jiayu] Chinese Acad Agr Sci, Agr Informat Inst, Beijing 100081, Peoples R China; [Xu, Shiwei; Liu, Jiajia; Zhuang, Jiayu] Minist Agr &amp; Rural Affairs, Key Lab Agr Informat Serv Technol, Beijing 100081, Peoples R China; [Liu, Yunqing] Chinese Acad Agr Sci, Inst Environm &amp; Sustainable Dev Agr, Beijing 100081, Peoples R China; [Xu, Shiwei; Liu, Jiajia; Zhuang, Jiayu] Res Ctr Agr Monitoring &amp; Early Warning Engn Techn, Beijing 100081, Peoples R China</t>
  </si>
  <si>
    <t>Chinese Academy of Agricultural Sciences; Agriculture Information Institute, CAAS; Ministry of Agriculture &amp; Rural Affairs; Chinese Academy of Agricultural Sciences; Institute of Environment &amp; Sustainable Development in Agriculture, CAAS</t>
  </si>
  <si>
    <t>Xu, SW (corresponding author), 12 Zhongguancun South St, Beijing 100081, Peoples R China.</t>
  </si>
  <si>
    <t>liuyunqing@caas.cn; xushiwei@caas.cn; liujiajia@caas.cn; zhuangjiayu@caas.cn</t>
  </si>
  <si>
    <t>liu, jiajia/IUN-0901-2023; liu, jiajia/ISS-0316-2023; liu, jia/JAC-7852-2023; wang, ya/HQZ-7558-2023; liu, jiayu/JCP-0511-2023; Yu, Kun/IAP-9807-2023; Liu, Jiayu/JCO-5073-2023; Li, Jiaxi/HTS-3430-2023; liu, jia/HKE-9796-2023; liu, jiaming/IWE-3196-2023; li, jiawei/HOA-5023-2023</t>
  </si>
  <si>
    <t>Li, Jiaxi/0000-0002-8197-8590;</t>
  </si>
  <si>
    <t>Technology Innovation Project Fund of the Chinese Academy of Agricultural Sciences [CAAS-ASTIP-2020-AII-01]; Agricultural Monitoring and Early Warning Research Team of Agricultural Information Institute of Chinese Academy of Agricultural Sciences</t>
  </si>
  <si>
    <t>Technology Innovation Project Fund of the Chinese Academy of Agricultural Sciences; Agricultural Monitoring and Early Warning Research Team of Agricultural Information Institute of Chinese Academy of Agricultural Sciences</t>
  </si>
  <si>
    <t>The authors would like to acknowledge the support of Technology Innovation Project Fund of the Chinese Academy of Agricultural Sciences (CAAS-ASTIP-2020-AII-01); the Agricultural Monitoring and Early Warning Research Team of Agricultural Information Institute of Chinese Academy of Agricultural Sciences.</t>
  </si>
  <si>
    <t>CHINESE ACAD AGRICULTURAL ENGINEERING</t>
  </si>
  <si>
    <t>RM 506, NO 41, MAIZIDIAN ST, CHAOYANG DISTRICT, BEIJING, 100125, PEOPLES R CHINA</t>
  </si>
  <si>
    <t>1934-6344</t>
  </si>
  <si>
    <t>1934-6352</t>
  </si>
  <si>
    <t>INT J AGR BIOL ENG</t>
  </si>
  <si>
    <t>Int. J. Agric. Biol. Eng.</t>
  </si>
  <si>
    <t>10.25165/j.ijabe.20221501.6353</t>
  </si>
  <si>
    <t>Agricultural Engineering</t>
  </si>
  <si>
    <t>Agriculture</t>
  </si>
  <si>
    <t>ZP7MZ</t>
  </si>
  <si>
    <t>WOS:000766605500001</t>
  </si>
  <si>
    <t>Al-Sahaf, H; Bi, Y; Chen, Q; Lensen, A; Mei, Y; Sun, YN; Tran, B; Xue, B; Zhang, MJ</t>
  </si>
  <si>
    <t>Al-Sahaf, Harith; Bi, Ying; Chen, Qi; Lensen, Andrew; Mei, Yi; Sun, Yanan; Tran, Binh; Xue, Bing; Zhang, Mengjie</t>
  </si>
  <si>
    <t>A survey on evolutionary machine learning</t>
  </si>
  <si>
    <t>JOURNAL OF THE ROYAL SOCIETY OF NEW ZEALAND</t>
  </si>
  <si>
    <t>Artificial intelligence; machine learning; evolutionary computation; classification; regression; clustering; combinatorial optimisation; deep learning; transfer learning; ensemble learning</t>
  </si>
  <si>
    <t>PARTICLE SWARM OPTIMIZATION; K-MEANS ALGORITHM; FEATURE-SELECTION; GENETIC ALGORITHM; DIFFERENTIAL EVOLUTION; IMAGE CLASSIFICATION; MEMETIC ALGORITHM; SUPPLY CHAIN; REGRESSION; MODELS</t>
  </si>
  <si>
    <t>Artificial intelligence (AI) emphasises the creation of intelligent machines/systems that function like humans. AI has been applied to many real-world applications. Machine learning is a branch of AI based on the idea that systems can learn from data, identify hidden patterns, and make decisions with little/minimal human intervention. Evolutionary computation is an umbrella of population-based intelligent/learning algorithms inspired by nature, where New Zealand has a good international reputation. This paper provides a review on evolutionary machine learning, i.e. evolutionary computation techniques for major machine learning tasks such as classification, regression and clustering, and emerging topics including combinatorial optimisation, computer vision, deep learning, transfer learning, and ensemble learning. The paper also provides a brief review of evolutionary learning applications, such as supply chain and manufacturing for milk/dairy, wine and seafood industries, which are important to New Zealand. Finally, the paper presents current issues with future perspectives in evolutionary machine learning.</t>
  </si>
  <si>
    <t>[Al-Sahaf, Harith; Bi, Ying; Chen, Qi; Lensen, Andrew; Mei, Yi; Sun, Yanan; Tran, Binh; Xue, Bing; Zhang, Mengjie] Victoria Univ Wellington, Sch Engn &amp; Comp Sci, Wellington, New Zealand</t>
  </si>
  <si>
    <t>Victoria University Wellington</t>
  </si>
  <si>
    <t>Xue, B; Zhang, MJ (corresponding author), Victoria Univ Wellington, Sch Engn &amp; Comp Sci, Wellington, New Zealand.</t>
  </si>
  <si>
    <t>bing.xue@ecs.vuw.ac.nz; mengjie.zhang@ecs.vuw.ac.nz</t>
  </si>
  <si>
    <t>Zhang, Mengjie/AAT-8675-2021; Bi, Ying/AAO-1496-2021; Al-Sahaf, Harith/I-2749-2019; Lensen, Andrew/J-3207-2019; Tran, Binh/AAL-4815-2021; Mei, Yi/D-1451-2019; Bi, Ying/HCI-1773-2022</t>
  </si>
  <si>
    <t>Al-Sahaf, Harith/0000-0003-4633-6135; Lensen, Andrew/0000-0003-1269-4751; Tran, Binh/0000-0002-2445-1231; Mei, Yi/0000-0003-0682-1363; SUN, YANAN/0000-0001-6374-1429; zhang, mengjie/0000-0003-4463-9538; Bi, Ying/0000-0003-2758-6067; Xue, Bing/0000-0002-4865-8026</t>
  </si>
  <si>
    <t>Marsden Fund of the New Zealand Government through the Royal Society of New Zealand [VUW1509, VUW1614, VUW1615]; Novel Transfer Learning Techniques in Genetic Programming for Big Data Mining through the Victoria University of Wellington [216378/3764]; Huawei Technologies [E2880/3663]</t>
  </si>
  <si>
    <t>Marsden Fund of the New Zealand Government through the Royal Society of New Zealand(Royal Society of New Zealand); Novel Transfer Learning Techniques in Genetic Programming for Big Data Mining through the Victoria University of Wellington; Huawei Technologies(Huawei Technologies)</t>
  </si>
  <si>
    <t>This work was supported in part by the Marsden Fund of the New Zealand Government under Contract VUW1509, VUW1614, VUW1615 through the Royal Society of New Zealand, in part by the Novel Transfer Learning Techniques in Genetic Programming for Big Data Mining under Grant 216378/3764 through the Victoria University of Wellington, and Industry Grant E2880/3663 Huawei Technologies.</t>
  </si>
  <si>
    <t>0303-6758</t>
  </si>
  <si>
    <t>1175-8899</t>
  </si>
  <si>
    <t>J ROY SOC NEW ZEAL</t>
  </si>
  <si>
    <t>J. R. Soc. N.Z.</t>
  </si>
  <si>
    <t>10.1080/03036758.2019.1609052</t>
  </si>
  <si>
    <t>IE5YK</t>
  </si>
  <si>
    <t>WOS:000472453300009</t>
  </si>
  <si>
    <t>Sener, A; Barut, M; Dag, A; Yildirim, MB</t>
  </si>
  <si>
    <t>Sener, Abdurrezzak; Barut, Mehmet; Dag, Ali; Yildirim, Mehmet Bayram</t>
  </si>
  <si>
    <t>Impact of commitment, information sharing, and information usage on supplier performance: a Bayesian belief network approach</t>
  </si>
  <si>
    <t>Analytics; Data mining; Relationship commitment; Information usage; Supplier performance</t>
  </si>
  <si>
    <t>RESOURCE-BASED VIEW; BIG DATA ANALYTICS; CHAIN INTEGRATION; FIRM PERFORMANCE; PREDICTIVE ANALYTICS; FINANCIAL PERFORMANCE; CUSTOMER SATISFACTION; MANAGEMENT-PRACTICES; COMPANY PERFORMANCE; EMPIRICAL-RESEARCH</t>
  </si>
  <si>
    <t>Due to the proliferation of information systems and technology, supply chains have the capability of acquiring an enormous amount of supplier data in their databases. However, much of the useful supplier-specific insights in terms of supplier performance metrics are mostly hidden and untouched. The current emphasis on supplier performance makes relationship commitment and information management functions an ideal application area to benefit from the use of data-mining tools for the decision-making process and improving supplier performance. By employing Bayesian belief networks, this study investigates the role of the major variables of commitment, information sharing, quality of shared information, and information usage in relation to supplier performance in the U.S. aircraft manufacturing supply chain. The results provide insightful guidance to managers on how to enhance performance.</t>
  </si>
  <si>
    <t>[Sener, Abdurrezzak] Duquesne Univ, Palumbo Donahue Sch Business, Supply Chain Management Dept, 600 Forbes Ave,Rockwell Hall, Pittsburgh, PA 15282 USA; [Barut, Mehmet] Wichita State Univ, Barton Sch Business, Dept Finance Real Estate &amp; Decis Sci, 1845 North Fairmount St, Wichita, KS 67260 USA; [Dag, Ali] Creighton Univ, Heider Coll Business, Business Intelligence &amp; Analyt Dept, 602 N 20th St, Omaha, NE 68102 USA; [Yildirim, Mehmet Bayram] Wichita State Univ, Coll Engn, Dept Ind Syst &amp; Mfg Engn, 1845 North Fairmount St, Wichita, KS 67260 USA</t>
  </si>
  <si>
    <t>Duquesne University; Wichita State University; Creighton University; Wichita State University</t>
  </si>
  <si>
    <t>Barut, M (corresponding author), Wichita State Univ, Barton Sch Business, Dept Finance Real Estate &amp; Decis Sci, 1845 North Fairmount St, Wichita, KS 67260 USA.</t>
  </si>
  <si>
    <t>senera@duq.edu; Mehmet.Barut@wichita.edu; alidag@creighton.edu; Bayram.Yildirim@wichita.edu</t>
  </si>
  <si>
    <t>10.1007/s10479-019-03504-8</t>
  </si>
  <si>
    <t>DEC 2019</t>
  </si>
  <si>
    <t>TL6AU</t>
  </si>
  <si>
    <t>WOS:000574636800003</t>
  </si>
  <si>
    <t>Ren, L; Meng, ZH; Wang, XK; Lu, RQ; Yang, LT</t>
  </si>
  <si>
    <t>Ren, Lei; Meng, Zihao; Wang, Xiaokang; Lu, Renquan; Yang, Laurence T.</t>
  </si>
  <si>
    <t>A Wide-Deep-Sequence Model-Based Quality Prediction Method in Industrial Process Analysis</t>
  </si>
  <si>
    <t>Feature extraction; Predictive models; Data models; Quality assessment; Product design; Data mining; Analytical models; Industrial artificial intelligence (AI); industrial big data; Industrial Internet of Things; product quality prediction; wide-deep-sequence (WDS) model</t>
  </si>
  <si>
    <t>Product quality prediction, as an important issue of industrial intelligence, is a typical task of industrial process analysis, in which product quality will be evaluated and improved as feedback for industrial process adjustment. Data-driven methods, with predictive model to analyze various industrial data, have been received considerable attention in recent years. However, to get an accurate prediction, it is an essential issue to extract quality features from industrial data, including several variables generated from supply chain and time-variant machining process. In this article, a data-driven method based on wide-deep-sequence (WDS) model is proposed to provide a reliable quality prediction for industrial process with different types of industrial data. To process industrial data of high redundancy, in this article, data reduction is first conducted on different variables by different techniques. Also, an improved wide-deep (WD) model is proposed to extract quality features from key time-invariant variables. Meanwhile, an long short-term memory (LSTM)-based sequence model is presented for exploring quality information from time-domain features. Under the joint training strategy, these models will be combined and optimized by a designed penalty mechanism for unreliable predictions, especially on reduction of defective products. Finally, experiments on a real-world manufacturing process data set are carried out to present the effectiveness of the proposed method in product quality prediction.</t>
  </si>
  <si>
    <t>[Ren, Lei; Meng, Zihao] Beihang Univ, Sch Automat Sci &amp; Elect Engn, Beijing 100191, Peoples R China; [Ren, Lei; Meng, Zihao] Beihang Univ, Beijing Adv Innovat Ctr Big Data Based Precis Med, Beijing 100191, Peoples R China; [Wang, Xiaokang; Yang, Laurence T.] St Francis Xavier Univ, Dept Comp Sci, Antigonish, NS B2G 2W5, Canada; [Lu, Renquan] Guangdong Univ Technol, Sch Automat, Guangzhou 510006, Peoples R China; [Lu, Renquan] Guangdong Univ Technol, Guangdong Prov Key Lab Intelligent Decis &amp; Cooper, Guangzhou 510006, Peoples R China</t>
  </si>
  <si>
    <t>Beihang University; Beihang University; Saint Francis Xavier University - Canada; Guangdong University of Technology; Guangdong University of Technology</t>
  </si>
  <si>
    <t>Ren, L (corresponding author), Beihang Univ, Sch Automat Sci &amp; Elect Engn, Beijing 100191, Peoples R China.</t>
  </si>
  <si>
    <t>renlei@buaa.edu.cn</t>
  </si>
  <si>
    <t>MENG, ZIHAO/P-7022-2017; Laurence T. Yang, FCAE/AAA-1898-2019</t>
  </si>
  <si>
    <t>Laurence T. Yang, FCAE/0000-0002-7986-4244; Wang, Xiaokang/0000-0002-0981-6204</t>
  </si>
  <si>
    <t>National Key Research and Development Program of China [2018YFB1700403]; National Science Foundation of China (NSFC) [61572057, 61836001]</t>
  </si>
  <si>
    <t>National Key Research and Development Program of China; National Science Foundation of China (NSFC)(National Natural Science Foundation of China (NSFC))</t>
  </si>
  <si>
    <t>This work was supported in part by the National Key Research and Development Program of China under Grant 2018YFB1700403 and in part by the National Science Foundation of China (NSFC) Project under Grant 61572057 and Grant 61836001.</t>
  </si>
  <si>
    <t>SEPT</t>
  </si>
  <si>
    <t>10.1109/TNNLS.2020.3001602</t>
  </si>
  <si>
    <t>NJ9CU</t>
  </si>
  <si>
    <t>WOS:000566342500045</t>
  </si>
  <si>
    <t>Duarte, DP; Nogueira, RN; Bifro, LB</t>
  </si>
  <si>
    <t>Duarte, Daniel P.; Nogueira, Rogerio N.; Bifro, Lucia B.</t>
  </si>
  <si>
    <t>Semi-supervised Gaussian and t-distribution hybrid mixture model for water leak detection</t>
  </si>
  <si>
    <t>MEASUREMENT SCIENCE AND TECHNOLOGY</t>
  </si>
  <si>
    <t>remote sensing; water leak detection; clustering; semi-supervised; distribution functions; expectation maximization</t>
  </si>
  <si>
    <t>The last few years have seen a great number of announcements and projections on cities of the future, where technological interconnected metering infrastructure is the main smart-grid unit, promoting higher sustainability due to its more efficient management capability. The water supply network is one of the grids that has been given additional attention due to the problem of waste caused by water leakage, usually requiring rapid detection for fast intervention to prevent high costs. With centralised information coming from the grid, like the measurement of pressure and flow, it is revealed that anomaly detection could be an important tool for quick automatic detection without needing permanent analysis by a human operator. However, there is a need for a more robust approach, especially when noisy data are present. In this paper, we propose the implementation of a new approach based on a hybrid expectation maximization (EM) Gaussian model combined with a t-distribution mixture. This approach is compared to both a pure EM Gaussian mixture model and a t-distribution mixture model that can use labelled data or not. Each EM algorithm was applied to real data acquired from a water supply grid with the aim of automatically detecting water leaks. Using the newly developed approach, the results show that detection is both possible and more accurate for this type of database.</t>
  </si>
  <si>
    <t>[Duarte, Daniel P.; Nogueira, Rogerio N.; Bifro, Lucia B.] Inst Telecomunicacoes Polo Aveiro, P-3810193 Aveiro, Portugal; [Duarte, Daniel P.] Aveiro Univ, Dept Phys, P-3810193 Aveiro, Portugal</t>
  </si>
  <si>
    <t>Universidade de Aveiro; Instituto de Telecomunicacoes; Universidade de Aveiro</t>
  </si>
  <si>
    <t>Duarte, DP (corresponding author), Inst Telecomunicacoes Polo Aveiro, P-3810193 Aveiro, Portugal.;Duarte, DP (corresponding author), Aveiro Univ, Dept Phys, P-3810193 Aveiro, Portugal.</t>
  </si>
  <si>
    <t>dduarte@av.it.pt</t>
  </si>
  <si>
    <t>Bilro, Lúcia/D-2667-2016; Nogueira, Rogerio N/A-7875-2013; Duarte, Daniel A. P./D-3176-2015</t>
  </si>
  <si>
    <t>Bilro, Lúcia/0000-0001-8804-593X; Nogueira, Rogerio N/0000-0002-4156-8984; Duarte, Daniel A. P./0000-0002-5845-9354</t>
  </si>
  <si>
    <t>FCT/MEC; FEDER-PT2020 [UID/EEA/50008/2013, P01262, INITIATE-IF/FCT-IF/01664/2014/CP1257/CT0002]; FCT [SFRH/BD/130966/2017]; Fundação para a Ciência e a Tecnologia [SFRH/BD/130966/2017] Funding Source: FCT</t>
  </si>
  <si>
    <t>FCT/MEC(Fundacao para a Ciencia e a Tecnologia (FCT)); FEDER-PT2020; FCT(Fundacao para a Ciencia e a Tecnologia (FCT)); Fundação para a Ciência e a Tecnologia(Fundacao para a Ciencia e a Tecnologia (FCT))</t>
  </si>
  <si>
    <t>This work is funded by the FCT/MEC through national funds, and when applicable co-funded by the FEDER-PT2020 partnership agreement under the projects UID/EEA/50008/2013, sWAT (P01262) and INITIATE-IF/FCT-IF/01664/2014/CP1257/CT0002. Daniel P Duarte wishes to acknowledge the financial support of FCT through research grant SFRH/BD/130966/2017.</t>
  </si>
  <si>
    <t>IOP PUBLISHING LTD</t>
  </si>
  <si>
    <t>BRISTOL</t>
  </si>
  <si>
    <t>TEMPLE CIRCUS, TEMPLE WAY, BRISTOL BS1 6BE, ENGLAND</t>
  </si>
  <si>
    <t>0957-0233</t>
  </si>
  <si>
    <t>1361-6501</t>
  </si>
  <si>
    <t>MEAS SCI TECHNOL</t>
  </si>
  <si>
    <t>Meas. Sci. Technol.</t>
  </si>
  <si>
    <t>10.1088/1361-6501/ab3b48</t>
  </si>
  <si>
    <t>JV4VZ</t>
  </si>
  <si>
    <t>WOS:000502364700001</t>
  </si>
  <si>
    <t>Guan, ZM; Mou, YX; Sun, MH</t>
  </si>
  <si>
    <t>Guan, Zhimin; Mou, Yuxia; Sun, Minghe</t>
  </si>
  <si>
    <t>Hybrid robust and stochastic optimization for a capital-constrained fresh product supply chain integrating risk-aversion behavior and financial strategies</t>
  </si>
  <si>
    <t>Fresh product supply chain; Hybrid robust and stochastic optimization; Risk aversion; Trade credit; Bank loans</t>
  </si>
  <si>
    <t>NETWORK DESIGN; TRADE CREDIT; INVENTORY MANAGEMENT; MODEL; REPLENISHMENT; POLICIES; UNCERTAINTY; LOCATION; DELIVERY</t>
  </si>
  <si>
    <t>A fresh product supply chain is considered in which an omnichannel retailer procures products from multiple suppliers and distributes them through a distribution center to physical stores to serve both online and offline customers. A two-stage stochastic optimization model is formulated for the strategic and operational decisions of the omnichannel retailer incorporating the decision maker's risk aversion behavior and financial flow into supply chain optimization. In the model, the amount of capital possessed by the retailer is treated as a hard constraint, and trade credit and bank loans are both considered as financial sources. After linearization, the two-stage stochastic optimization model is transformed into a mixed integer linear programming model. A hybrid robust and stochastic optimization approach is developed to simultaneously cope with two different types of uncertainties in the supply chain by including stochastic scenarios for transportation costs and using interval + polyhedral  uncertainty sets for demands and deterioration rate. The robust counterpart of the mixed integer linear programming model is constructed. An improved sample average approximation method using the k means clustering technique is adopted to solve the problem. The applicability of the proposed model and the efficiency of the solution approach are investigated through numerical studies. Some important managerial insights are provided through the model, the solution approach and the numerical studies.</t>
  </si>
  <si>
    <t>[Guan, Zhimin; Mou, Yuxia] Northeastern Univ, Sch Business Adm, Shenyang, Peoples R China; [Sun, Minghe] Univ Texas San Antonio, Coll Business, Dept Management Sci &amp; Stat, San Antonio, TX USA</t>
  </si>
  <si>
    <t>Northeastern University - China; University of Texas System; University of Texas at San Antonio (UTSA)</t>
  </si>
  <si>
    <t>Mou, YX (corresponding author), Northeastern Univ, Sch Business Adm, Shenyang, Peoples R China.</t>
  </si>
  <si>
    <t>guanzm168@126.com; 1223279191@qq.com; minghe.sun@utsa.edu</t>
  </si>
  <si>
    <t>National Natural Science Foundation of China [70972100]</t>
  </si>
  <si>
    <t>Acknowledgements This work was partially supported by the National Natural Science Foundation of China [grant number 70972100] .</t>
  </si>
  <si>
    <t>10.1016/j.cie.2022.108224</t>
  </si>
  <si>
    <t>1Q8VD</t>
  </si>
  <si>
    <t>WOS:000802958800007</t>
  </si>
  <si>
    <t>Peng, S; Cheng, J; Wu, XQ; Fang, X; Wu, Q</t>
  </si>
  <si>
    <t>Peng, Sen; Cheng, Jing; Wu, Xingqi; Fang, Xu; Wu, Qing</t>
  </si>
  <si>
    <t>Pressure Sensor Placement in Water Supply Network Based on Graph Neural Network Clustering Method</t>
  </si>
  <si>
    <t>WATER</t>
  </si>
  <si>
    <t>pressure sensor placement; water supply network; graph neural network; structural deep clustering network; monitoring system; pipe burst identification</t>
  </si>
  <si>
    <t>Pressure sensor placement is critical to system safety and operation optimization of water supply networks (WSNs). The majority of existing studies focuses on sensitivity or burst identification ability of monitoring systems based on certain specific operating conditions of WSNs, while nodal connectivity or long-term hydraulic fluctuation is not fully considered and analyzed. A new method of pressure sensor placement is proposed in this paper based on Graph Neural Networks. The method mainly consists of two steps: monitoring partition establishment and sensor placement. (1) Structural Deep Clustering Network algorithm is used for clustering analysis with the integration of complicated topological and hydraulic characteristics, and a WSN is divided into several monitoring partitions. (2) Then, sensor placement is carried out based on burst identification analysis, a quantitative metric named indicator tensor is developed to calculate hydraulic characteristics in time series, and the node with the maximum average partition perception rate is selected as the sensor in each monitoring partition. The results showed that the proposed method achieved a better monitoring scheme with more balanced distribution of sensors and higher coverage rate for pipe burst detection. This paper offers a new robust framework, which can be easily applied in the decision-making process of monitoring system establishment.</t>
  </si>
  <si>
    <t>[Peng, Sen; Cheng, Jing; Wu, Xingqi; Fang, Xu; Wu, Qing] Tianjin Univ, Sch Environm Sci &amp; Engn, Tianjin 300350, Peoples R China</t>
  </si>
  <si>
    <t>Tianjin University</t>
  </si>
  <si>
    <t>Peng, S (corresponding author), Tianjin Univ, Sch Environm Sci &amp; Engn, Tianjin 300350, Peoples R China.</t>
  </si>
  <si>
    <t>pengsen@tju.edu.cn; chengjing@tju.edu.cn; wxq021@tju.edu.cn; tju_fangxu@163.com; wuq@tju.edu.cn</t>
  </si>
  <si>
    <t>Peng, Sen/0000-0003-2309-2692</t>
  </si>
  <si>
    <t>National Key R &amp; D Program of China [2016YFC0802400]</t>
  </si>
  <si>
    <t>National Key R &amp; D Program of China</t>
  </si>
  <si>
    <t>FundingThis research was funded by the National Key R &amp; D Program of China, grant number 2016YFC0802400.</t>
  </si>
  <si>
    <t>2073-4441</t>
  </si>
  <si>
    <t>WATER-SUI</t>
  </si>
  <si>
    <t>Water</t>
  </si>
  <si>
    <t>10.3390/w14020150</t>
  </si>
  <si>
    <t>Environmental Sciences; Water Resources</t>
  </si>
  <si>
    <t>Environmental Sciences &amp; Ecology; Water Resources</t>
  </si>
  <si>
    <t>YM1UG</t>
  </si>
  <si>
    <t>WOS:000746365600001</t>
  </si>
  <si>
    <t>Wang, LK; Yan, J; Chen, XH; Xu, QF</t>
  </si>
  <si>
    <t>Wang, Liukai; Yan, Ji; Chen, Xiaohong; Xu, Qifa</t>
  </si>
  <si>
    <t>Do network capabilities improve corporate financial performance? Evidence from financial supply chains</t>
  </si>
  <si>
    <t>Supply chain finance solutions; Financial supply chain; Corporate financial performance; Network organisation; Investment activities</t>
  </si>
  <si>
    <t>Purpose The purpose of this study is to bridge the gap in the literature on supply chain finance (SCF) by exploring the relationship between network capabilities and corporate financial performance (CFP) in financial supply chains (FSCs). Design/methodology/approach The authors collect panel data and adopt regression analysis to analyse the joint investment activities among 1359 manufacturing firms and 289 financial service providers in China to explore how network capabilities, both network power and network centrality, improve CFP in the FSCs. Findings Under the FSCs environments, network centrality (i.e. eigenvector centrality, closeness centrality and betweenness centrality) raises CFP (ROA, ROE and Tobin's Q) and network power (node degree, clustering coefficient) also improves CFP. However, node strength from the network power stream has a negative effect on Tobin's Q, indicating that when the partner of a firm has an extremely strong influence in FSCs; this weakens the bargaining ability and flexibility of the focal firm, thus reducing its long-term financial performance. Practical implications The joint investment activities among supply chain partners and financial service providers help managers understand the advanced financing solutions generated by internal and external network organisations as well as be aware of network capabilities' impact on CFP in FSCs. Originality/value This study answers the call for more empirical research on SCF to provide a broader sample to examine financial supply chain management. This is one of the earliest studies to shed light on a new perspective - how network capabilities improve CFP in the FSCs.</t>
  </si>
  <si>
    <t>[Wang, Liukai] Hefei Univ Technol, Hefei, Peoples R China; [Wang, Liukai] Univ York, York, N Yorkshire, England; [Yan, Ji] Univ Durham, Durham, England; [Yan, Ji] Hunan Univ Technol &amp; Business, Changsha, Peoples R China; [Chen, Xiaohong] Cent South Univ, Business Sch, Changsha, Peoples R China; [Xu, Qifa] Hefei Univ Technol, Sch Management, Hefei, Peoples R China</t>
  </si>
  <si>
    <t>Hefei University of Technology; University of York - UK; Durham University; Hunan University of Technology &amp; Business; Central South University; Hefei University of Technology</t>
  </si>
  <si>
    <t>Yan, J (corresponding author), Univ Durham, Durham, England.;Yan, J (corresponding author), Hunan Univ Technol &amp; Business, Changsha, Peoples R China.</t>
  </si>
  <si>
    <t>liukai_w@163.com; ji.yan@durham.ac.uk; c88877803@163.com; xuqifa@hfut.edu.cn</t>
  </si>
  <si>
    <t>chen, xi/GXH-3653-2022; chen, xin/IQW-3432-2023; chen, xia/GXM-5435-2022; Chen, Xiao/GQA-8928-2022; chen, xia/GYR-3948-2022</t>
  </si>
  <si>
    <t>Chen, Xiao/0000-0002-9797-8384; YAN, JI/0000-0002-2353-7279</t>
  </si>
  <si>
    <t>National Natural Science Foundation of China [71991460, 71902159, 71671056]; Humanity and Social Science Foundation of Ministry of Education of China [18YJC790149, 19YJA790035, 20YJA630024]; Key Research and Development Program of Anhui Province [202004a05020020]</t>
  </si>
  <si>
    <t>National Natural Science Foundation of China(National Natural Science Foundation of China (NSFC)); Humanity and Social Science Foundation of Ministry of Education of China; Key Research and Development Program of Anhui Province</t>
  </si>
  <si>
    <t>The authors gratefully acknowledge financial support from the National Natural Science Foundation of China (71991460, 71902159, 71671056), the Humanity and Social Science Foundation of Ministry of Education of China (18YJC790149, 19YJA790035, 20YJA630024) and the Key Research and Development Program of Anhui Province (202004a05020020).</t>
  </si>
  <si>
    <t>10.1108/IJOPM-07-2020-0484</t>
  </si>
  <si>
    <t>WOS:000628787900001</t>
  </si>
  <si>
    <t>Liou, JJH; Chang, MH; Lo, HW; Hsu, MH</t>
  </si>
  <si>
    <t>Liou, James J. H.; Chang, Mu-Hsin; Lo, Huai-Wei; Hsu, Min-Hsi</t>
  </si>
  <si>
    <t>Application of an MCDM model with data mining techniques for green supplier evaluation and selection</t>
  </si>
  <si>
    <t>APPLIED SOFT COMPUTING</t>
  </si>
  <si>
    <t>Green supplier selection; Data mining; MCDM; SVM; FBWM; FTOPSIS</t>
  </si>
  <si>
    <t>DECISION-MAKING; BEST-WORST; CHAINS; TOPSIS</t>
  </si>
  <si>
    <t>The evaluation and selection of green suppliers are some of the most important tasks in green supply chain management (GSCM). The purpose of this study is to develop an effective green supplier evaluation model. Currently the evaluation criteria are determined through a literature review combined with decision-maker opinions. A few studies have used data mining techniques to screen the core criteria. This study proposes a novel hybrid MCDM model, that integrates the support vector machine (SVM), the fuzzy best worst method (FBWM) and, the fuzzy technique for order preference by similarity to an ideal solution (FTOPSIS) approaches to select the most suitable green suppliers. A case study, using data from a multinational electronics manufacturer, is carried out for illustration. First, the SVM is used to extract the core criteria from the historical data. The original 25 criteria are reduced to 13 criteria. Then, the FBWM is used to obtain the weights of the core criteria. Finally, the FTOPSIS is used to integrate the performance and prioritize the green suppliers. Finally, practical management implications and suggestions for improvement for decision-makers and green suppliers are provided (C) 2021 Elsevier B.V. All rights reserved.</t>
  </si>
  <si>
    <t>[Liou, James J. H.; Hsu, Min-Hsi] Natl Taipei Univ Technol, Dept Ind Engn &amp; Management, Taipei, Taiwan; [Chang, Mu-Hsin] Natl Taipei Univ Technol, Grad Inst Ind &amp; Business Management, Taipei, Taiwan; [Lo, Huai-Wei] Chaoyang Univ Technol, Dept Ind Engn &amp; Management, Taichung, Taiwan</t>
  </si>
  <si>
    <t>National Taipei University of Technology; National Taipei University of Technology; Chaoyang University of Technology</t>
  </si>
  <si>
    <t>Lo, HW (corresponding author), Chaoyang Univ Technol, Dept Ind Engn &amp; Management, Taichung, Taiwan.</t>
  </si>
  <si>
    <t>jamesjhliou@gmail.com; 102emba01iem@gmail.com; w110168888@gmail.com; t105378042@ntut.org.tw</t>
  </si>
  <si>
    <t>Lo, Huai-Wei/ABH-2428-2021</t>
  </si>
  <si>
    <t>Lo, Huai-Wei/0000-0002-8281-8740</t>
  </si>
  <si>
    <t>1568-4946</t>
  </si>
  <si>
    <t>1872-9681</t>
  </si>
  <si>
    <t>APPL SOFT COMPUT</t>
  </si>
  <si>
    <t>Appl. Soft. Comput.</t>
  </si>
  <si>
    <t>10.1016/j.asoc.2021.107534</t>
  </si>
  <si>
    <t>UB1ZA</t>
  </si>
  <si>
    <t>WOS:000685648200004</t>
  </si>
  <si>
    <t>Bilgic, E; Cakir, O; Kantardzic, M; Duan, YQ; Cao, GM</t>
  </si>
  <si>
    <t>Bilgic, Emrah; Cakir, Ozgur; Kantardzic, Mehmed; Duan, Yanqing; Cao, Guangming</t>
  </si>
  <si>
    <t>Retail analytics: store segmentation using Rule-Based Purchasing behavior analysis</t>
  </si>
  <si>
    <t>INTERNATIONAL REVIEW OF RETAIL DISTRIBUTION AND CONSUMER RESEARCH</t>
  </si>
  <si>
    <t>Data mining; purchasing behavior; store segmentation; business analytics; data-driven decision making</t>
  </si>
  <si>
    <t>ASSOCIATION RULES; SYSTEMS</t>
  </si>
  <si>
    <t>Retailers are facing challenges in making sense of the significant amount of data available for a better understanding of their customers. While retail analytics plays an increasingly important role in successful retailing management, comprehensive store segmentation based on Data Mining-based Retail Analytics is still an under-researched area. This study seeks to address this gap by developing a novel approach to segment the stores of retail chains based on 'purchasing behavior of customers' and applying it in a case study. The applicability and benefits of using Data Mining techniques to examine purchasing behavior and identify store segments are demonstrated in a case study of a global retail chain in Istanbul, Turkey. Over 600 K transaction data of a global grocery retailer are analyzed and 175 stores in Istanbul are successfully segmented into five segments. The results suggest that the proposed new retail analytics approach enables the retail chain to identify clusters of stores in different regions using all transaction data and advances our understanding of store segmentation at the store level. The proposed approach will provide the retail chain the opportunity to manage store clusters by making data-driven decisions in marketing, customer relationship management, supply chain management, inventory management and demand forecasting.</t>
  </si>
  <si>
    <t>[Bilgic, Emrah] Iskenderun Tech Univ, Business &amp; Management Sci, Iskenderun, Turkey; [Cakir, Ozgur] Marmara Univ, Business Adm, Istanbul, Turkey; [Kantardzic, Mehmed] Univ Louisville, Comp Sci &amp; Engn, Louisville, KY 40292 USA; [Duan, Yanqing] Univ Bedfordshire, Business Sch, Luton, Beds, England; [Cao, Guangming] Ajman Univ, Coll Business Adm, Ajman, U Arab Emirates</t>
  </si>
  <si>
    <t>Iskenderun Technical University; Marmara University; University of Louisville; University of Bedfordshire; Ajman University</t>
  </si>
  <si>
    <t>Bilgic, E (corresponding author), Iskenderun Tech Univ, Business &amp; Management Sci, Iskenderun, Turkey.</t>
  </si>
  <si>
    <t>emrah.bilgic@iste.edu.tr</t>
  </si>
  <si>
    <t>Bilgic, Emrah/0000-0002-9875-2299</t>
  </si>
  <si>
    <t>0959-3969</t>
  </si>
  <si>
    <t>1466-4402</t>
  </si>
  <si>
    <t>INT REV RETAIL DISTR</t>
  </si>
  <si>
    <t>Int. Rev. Retail Distrib. Consum. Res.</t>
  </si>
  <si>
    <t>AUG 8</t>
  </si>
  <si>
    <t>10.1080/09593969.2021.1915847</t>
  </si>
  <si>
    <t>TR4XT</t>
  </si>
  <si>
    <t>WOS:000646842100001</t>
  </si>
  <si>
    <t>Yi, X</t>
  </si>
  <si>
    <t>Yi, Xin</t>
  </si>
  <si>
    <t>Construction of Online Agricultural Product Consumption Demand Analysis Model Based on Data Mining Technology</t>
  </si>
  <si>
    <t>ADVANCES IN MULTIMEDIA</t>
  </si>
  <si>
    <t>SUPPLY CHAIN INTEGRATION</t>
  </si>
  <si>
    <t>The traditional offline marketing mode of agricultural products was relatively single and difficult to adapt to the effective communication between agricultural and commercial enterprises and customers under the new situation, while the coordination between online agricultural products marketing management and customers' consumption needs was not enough. Therefore, this paper puts forward the research on the construction of online agricultural product consumption demand analysis model based on data mining technology. Based on the supply-demand relationship between agricultural and commercial enterprises and consumers, this paper analyzed consumers and their demand behavior for agricultural products and gave an evaluation model of customers' consumption demand for agricultural products. Using data mining technology, this paper made a cluster analysis on the characteristics of consumer demand behavior and established the mapping relationship between agricultural products and consumer demand. Then, the online consumption demand prediction and analysis model of agricultural products was put forward. Finally, the performance of demand forecasting model based on data classification was analyzed. The empirical results showed that the model proposed in this paper can better predict and analyze the consumption demand behavior of online agricultural products and had certain feasibility and effectiveness. The online consumption demand analysis model proposed in this paper played a positive role in improving the marketing management level of agricultural products.</t>
  </si>
  <si>
    <t>[Yi, Xin] Digital Business Acad, Beijing Informat Technol Coll, Beijing 100018, Peoples R China</t>
  </si>
  <si>
    <t>Yi, X (corresponding author), Digital Business Acad, Beijing Informat Technol Coll, Beijing 100018, Peoples R China.</t>
  </si>
  <si>
    <t>yix@bitc.edu.cn</t>
  </si>
  <si>
    <t>Yi, Xin/0000-0002-6396-8866</t>
  </si>
  <si>
    <t>1687-5680</t>
  </si>
  <si>
    <t>1687-5699</t>
  </si>
  <si>
    <t>ADV MULTIMED</t>
  </si>
  <si>
    <t>Adv. Multimed.</t>
  </si>
  <si>
    <t>FEB 10</t>
  </si>
  <si>
    <t>10.1155/2022/8229484</t>
  </si>
  <si>
    <t>Engineering, Electrical &amp; Electronic</t>
  </si>
  <si>
    <t>ZX8TX</t>
  </si>
  <si>
    <t>WOS:000772167200001</t>
  </si>
  <si>
    <t>de Souza, JT; de Francisco, AC; Piekarski, CM; do Prado, GF; de Oliveira, LG</t>
  </si>
  <si>
    <t>de Souza, Jovani Taveira; de Francisco, Antonio Carlos; Piekarski, Cassiano Moro; do Prado, Guilherme Francisco; de Oliveira, Leandro Gasparello</t>
  </si>
  <si>
    <t>Data mining and machine learning in the context of sustainable evaluation: a literature review</t>
  </si>
  <si>
    <t>IEEE LATIN AMERICA TRANSACTIONS</t>
  </si>
  <si>
    <t>Sustainable development; Data mining; Machine learning; Software; Manufacturing; Bibliographies; Economics; Data mining; Machine learning; Literature review; Methodi Ordinatio; Sustainable performance</t>
  </si>
  <si>
    <t>CORPORATE SOCIAL PERFORMANCE; BIG DATA; SUPPLY CHAIN; CLUSTER-ANALYSIS; EFFICIENCY; INDICATORS; FRAMEWORK; DECISION; SELECTION; IMPACT</t>
  </si>
  <si>
    <t>Measuring and evaluating the sustainable performance of an organization has become an important and challenging topic because it involves the economic, social and environmental dimensions, helping the development of policies and becoming strategic factors in the decision-making process. However, difficulties are still encountered by managers in adequately assessing sustainability at the corporate level. In this perspective, data mining and machine learning are presented as techniques for extracting potentially useful information for generation of knowledge. Therefore, the purpose of this article is to identify, by means of a literature review, different approaches used to assist in the evaluation of sustainable performance. The method called Methodi Ordinatio was used for the review and, for the analysis, the software tools: VOSviewer e RStudio. By means of the methodological procedure adopted, 33 significant articles were identified for analysis from the Web of Science, Scopus and Science Direct databases, in which mainly the applied techniques were addressed. In this sense, this study seeks to stimulate research on the use of DM and ML to help in the sustainable context, being essential to assist in the Sustainable Development Goals.</t>
  </si>
  <si>
    <t>[de Souza, Jovani Taveira; de Francisco, Antonio Carlos; Piekarski, Cassiano Moro; do Prado, Guilherme Francisco; de Oliveira, Leandro Gasparello] Univ Tecnol Fed Parana, Dept Posgrad Engn Prod, Ponta Grossa, Parana, Brazil</t>
  </si>
  <si>
    <t>Pontificia Universidade Catolica do Parana; Universidade Tecnologica Federal do Parana</t>
  </si>
  <si>
    <t>de Souza, JT (corresponding author), Univ Tecnol Fed Parana, Dept Posgrad Engn Prod, Ponta Grossa, Parana, Brazil.</t>
  </si>
  <si>
    <t>jovanisouza5@gmail.com; acfrancisco@utfpr.edu.br; piekarski@utfpr.edu.br; guilhermefprado92@gmail.com; leandro.gasparello@gmail.com</t>
  </si>
  <si>
    <t>Souza, Jovani Taveira de/I-9916-2017; de Francisco, Antonio Carlos/G-4374-2015; Piekarski, Cassiano Moro/R-3936-2019; de Souza, Jovani Taveira/Q-4056-2019</t>
  </si>
  <si>
    <t>Souza, Jovani Taveira de/0000-0001-8545-8149; de Francisco, Antonio Carlos/0000-0003-0401-4445; Piekarski, Cassiano Moro/0000-0002-5085-101X; de Souza, Jovani Taveira/0000-0001-8545-8149</t>
  </si>
  <si>
    <t>1548-0992</t>
  </si>
  <si>
    <t>IEEE LAT AM T</t>
  </si>
  <si>
    <t>IEEE Latin Am. Trans.</t>
  </si>
  <si>
    <t>10.1109/TLA.2019.8863307</t>
  </si>
  <si>
    <t>Computer Science, Information Systems; Engineering, Electrical &amp; Electronic</t>
  </si>
  <si>
    <t>JG7ZT</t>
  </si>
  <si>
    <t>WOS:000492297900004</t>
  </si>
  <si>
    <t>Guarnaschelli, A; Salomone, HE; Méndez, CA</t>
  </si>
  <si>
    <t>Guarnaschelli, Armando; Enrique Salomone, Hector; Mendez, Carlos A.</t>
  </si>
  <si>
    <t>A stochastic approach for integrated production and distribution planning in dairy supply chains</t>
  </si>
  <si>
    <t>Dairy supply chains; Supply chain planning; Stochastic programming; Production and Distribution Planning</t>
  </si>
  <si>
    <t>NETWORK DESIGN; INDUSTRY; MODEL; OPTIMIZATION; CONVERGENCE; PERFORMANCE; MANAGEMENT; ROBUST</t>
  </si>
  <si>
    <t>This work addresses production and distribution planning for a real-world dairy supply chain. The planning model accounts for the production and distribution of Cheese, Yogurt, Powdered Milk and UHT milk products across a two-echelon Supply Chain. This task is undermined by the inherent variability of raw materials and finished products demand. The integrated production and distribution planning methodology introduced is based on a two-stage stochastic mixed integer linear programming formulation. In real-world settings the number of scenarios grows substantially; thus, a scenario reduction strategy based on clustering techniques is given. A decomposition and solving strategy is also introduced and applied to a real-world case study. This study showed that the value of the stochastic solution might rise to 21.1% above the deterministic solution. This indicates the importance of considering uncertainty for dairy production and distribution. Besides, different-size instances are tested to study the scalability of the solution approach. (c) 2020 Elsevier Ltd. All rights reserved.</t>
  </si>
  <si>
    <t>[Guarnaschelli, Armando] Pontificia Univ Catolica Valparaiso, Brasil 2147, Valparaiso, Chile; [Enrique Salomone, Hector] UTN, CONICET, INGAR, Avellaneda 3657,S3002GJC, Santa Fe, Argentina; [Mendez, Carlos A.] Consejo Nacl Invest Cient &amp; Tecn, UNL, INTEC, Guemes 3450, RA-3000 Santa Fe, Santa Fe, Argentina</t>
  </si>
  <si>
    <t>Pontificia Universidad Catolica de Valparaiso; Consejo Nacional de Investigaciones Cientificas y Tecnicas (CONICET); National University of the Littoral; Consejo Nacional de Investigaciones Cientificas y Tecnicas (CONICET)</t>
  </si>
  <si>
    <t>Méndez, CA (corresponding author), Consejo Nacl Invest Cient &amp; Tecn, UNL, INTEC, Guemes 3450, RA-3000 Santa Fe, Santa Fe, Argentina.</t>
  </si>
  <si>
    <t>cmendez@intec.unl.edu.ar</t>
  </si>
  <si>
    <t>Consejo Nacional de Investigaciones Cientificas y Tecnicas (CONICET), Argentina; Pontificia Universidad Catolica de Valparaiso, Chile</t>
  </si>
  <si>
    <t>Consejo Nacional de Investigaciones Cientificas y Tecnicas (CONICET), Argentina(Consejo Nacional de Investigaciones Cientificas y Tecnicas (CONICET)); Pontificia Universidad Catolica de Valparaiso, Chile</t>
  </si>
  <si>
    <t>Financial support for this work by Consejo Nacional de Investigaciones Cientificas y Tecnicas (CONICET), Argentina and by Pontificia Universidad Catolica de Valparaiso, Chile.</t>
  </si>
  <si>
    <t>10.1016/j.compchemeng.2020.106966</t>
  </si>
  <si>
    <t>MU2YY</t>
  </si>
  <si>
    <t>WOS:000555541200009</t>
  </si>
  <si>
    <t>Jeihoonian, M; Zanjani, MK; Gendreau, M</t>
  </si>
  <si>
    <t>Jeihoonian, Mohammad; Zanjani, Masoumeh Kazemi; Gendreau, Michel</t>
  </si>
  <si>
    <t>Dynamic reverse supply chain network design under uncertainty: mathematical modeling and solution algorithm</t>
  </si>
  <si>
    <t>INTERNATIONAL TRANSACTIONS IN OPERATIONAL RESEARCH</t>
  </si>
  <si>
    <t>flexible reverse supply chain design; multistage stochastic programming; scenario clustering decomposition; Benders decomposition</t>
  </si>
  <si>
    <t>ACCELERATING BENDERS DECOMPOSITION; LOGISTICS NETWORK; LOCATION MODEL; OPTIMIZATION; DEMAND</t>
  </si>
  <si>
    <t>Motivated by the recovery of modular-structured products, this study addresses the flexible design of a reverse supply chain (RSC) over a planning horizon while incorporating the dynamic uncertain behavior of product returns. The stochastic parameter is modeled as a scenario tree and therefore the concerned problem is formulated as a multistage mixed-integer stochastic program. To alleviate the computational complexity of the proposed model, it is decomposed into smaller scenario cluster submodels associated with a number of subtrees that share a certain number of predecessor nodes in the original scenario tree. The submodels are coordinated into an implementable solution via a Lagrangian-progressive hedging-based method that employs a viable Benders decomposition based algorithm for solving each scenario cluster submodel. Based on a realistic scale case, computational results indicate the superiority of the proposed flexible dynamic RSC design model compared to the existing models. Results also demonstrate the efficiency of the proposed solution approach.</t>
  </si>
  <si>
    <t>[Jeihoonian, Mohammad; Zanjani, Masoumeh Kazemi] Concordia Univ, Dept Mech Ind &amp; Aerosp Engn, Montreal, PQ H3G 1M8, Canada; [Gendreau, Michel] Polytech Montreal, Dept Math &amp; Ind Engn, Montreal, PQ H3C 3A7, Canada; [Jeihoonian, Mohammad; Gendreau, Michel] Interuniv Res Ctr Enterprise Networks Logist &amp; Tr, Montreal, PQ H3C 3A7, Canada</t>
  </si>
  <si>
    <t>Concordia University - Canada; Universite de Montreal; Polytechnique Montreal; Universite de Montreal</t>
  </si>
  <si>
    <t>Zanjani, MK (corresponding author), Concordia Univ, Dept Mech Ind &amp; Aerosp Engn, Montreal, PQ H3G 1M8, Canada.</t>
  </si>
  <si>
    <t>m_jeihoo@encs.concordia.ca; kazemi@encs.concordia.ca; michel.gendreau@cirrelt.net</t>
  </si>
  <si>
    <t>Gendreau, Michel/N-7950-2019; Gendreau, Michel/HDO-6155-2022</t>
  </si>
  <si>
    <t>Gendreau, Michel/0000-0002-9262-3648; Kazemi Zanjani, Masoumeh/0000-0002-5649-3129</t>
  </si>
  <si>
    <t>Le Fonds de recherche du Quebec-Nature et technologies (FRQNT); Natural Sciences and Engineering Research Council of Canada (NSERC)</t>
  </si>
  <si>
    <t>Le Fonds de recherche du Quebec-Nature et technologies (FRQNT); Natural Sciences and Engineering Research Council of Canada (NSERC)(Natural Sciences and Engineering Research Council of Canada (NSERC))</t>
  </si>
  <si>
    <t>The authors gratefully acknowledge the financial support from Le Fonds de recherche du Quebec-Nature et technologies (FRQNT) and the Natural Sciences and Engineering Research Council of Canada (NSERC).</t>
  </si>
  <si>
    <t>0969-6016</t>
  </si>
  <si>
    <t>1475-3995</t>
  </si>
  <si>
    <t>INT T OPER RES</t>
  </si>
  <si>
    <t>Int. Trans. Oper. Res.</t>
  </si>
  <si>
    <t>10.1111/itor.12865</t>
  </si>
  <si>
    <t>0I9WA</t>
  </si>
  <si>
    <t>WOS:000567111700001</t>
  </si>
  <si>
    <t>Design of a Cooperative Sustainable Three-Echelon Supply Chain under Uncertainty in CO2 Allowance</t>
  </si>
  <si>
    <t>ACS SUSTAINABLE CHEMISTRY &amp; ENGINEERING</t>
  </si>
  <si>
    <t>Uncertainty of CO2 allowance prices; stochastic model; optimum supply chain management; cooperative game theory; ARIMA price prediction; scenario reduction; ScenRed; K-means</t>
  </si>
  <si>
    <t>MARKET; GAME</t>
  </si>
  <si>
    <t>Driven by the growing concern regarding greenhouse gas emissions, in this work, we provide a robust stochastic model for the design of a cooperative supply chain (SC) under uncertainty in CO2 allowance prices from the European Union Emissions Trading System (EU ETS). During the last years, CO2 allowance prices have undergone unexpected changes, having strong impact on the design and management of optimal SC. The consideration of uncertainty in the allowance prices has therefore become more important. We use an autoregressive integrated moving average (ARIMA) model to predict future allowance prices. A full discretization of the underlying probability space leads to a number of scenarios far too large to be handled, so we compare two approaches to reduce the number of scenarios to a feasible maximum, the ScenRed algorithm and K-means clustering. The obtained results are compared with a deterministic approach that is widely studied in the literature, showing an increase in the benefits and a reduction of emissions.</t>
  </si>
  <si>
    <t>[Garcia-Castro, Florencia Lujan; Ruiz-Femenia, Ruben; Salcedo-Diaz, Raquel; Caballero, Jose A.] Univ Alicante, Dept Chem Engn, Alicante 03080, Spain</t>
  </si>
  <si>
    <t>Garcia-Castro, FL; Ruiz-Femenia, R (corresponding author), Univ Alicante, Dept Chem Engn, Alicante 03080, Spain.</t>
  </si>
  <si>
    <t>Salcedo Díaz, Raquel/H-7891-2015; Caballero, Jose A/B-7567-2011; Ruiz-Femenia, Ruben/H-7931-2015</t>
  </si>
  <si>
    <t>Salcedo Díaz, Raquel/0000-0001-8290-0595; Caballero, Jose A/0000-0001-6470-2907; Ruiz-Femenia, Ruben/0000-0003-0652-5177; Garcia-Castro, Florencia Lujan/0000-0002-8739-8749</t>
  </si>
  <si>
    <t>Conselleria de Innovacion, Universidades, Ciencia y SociedadDigital of the Generalitat Valenciana, Spain [PROMETEO/2020/064]</t>
  </si>
  <si>
    <t>Conselleria de Innovacion, Universidades, Ciencia y SociedadDigital of the Generalitat Valenciana, Spain</t>
  </si>
  <si>
    <t>The authors gratefully acknowledge financial support to the Conselleria de Innovacion, Universidades, Ciencia y SociedadDigital of the Generalitat Valenciana, Spain, under project PROMETEO/2020/064.</t>
  </si>
  <si>
    <t>2168-0485</t>
  </si>
  <si>
    <t>ACS SUSTAIN CHEM ENG</t>
  </si>
  <si>
    <t>ACS Sustain. Chem. Eng.</t>
  </si>
  <si>
    <t>10.1021/acssuschemeng.2c01270</t>
  </si>
  <si>
    <t>Chemistry, Multidisciplinary; Green &amp; Sustainable Science &amp; Technology; Engineering, Chemical</t>
  </si>
  <si>
    <t>Chemistry; Science &amp; Technology - Other Topics; Engineering</t>
  </si>
  <si>
    <t>4H2OG</t>
  </si>
  <si>
    <t>WOS:000849720400001</t>
  </si>
  <si>
    <t>Langton, S; Geiger, MJ</t>
  </si>
  <si>
    <t>Langton, Sebastian; Geiger, Martin Josef</t>
  </si>
  <si>
    <t>Computationally automated questioning strategies for fast cost functions convergence at supply chain stockout evaluation</t>
  </si>
  <si>
    <t>INTEGRATED COMPUTER-AIDED ENGINEERING</t>
  </si>
  <si>
    <t>Stockout costs; knowledge-based systems; data mining; evolutionary computation; genetic programming</t>
  </si>
  <si>
    <t>CONSUMER RESPONSE</t>
  </si>
  <si>
    <t>Measuring cost effects of stockout events is a crucial aspect in Supply Chain Management. Motivated by the limited number of related approaches and an obvious need for applicable methods, our article focuses on this research topic. We present an interactive approach for obtaining cost function estimations from a decision maker. As a result of previous experiments, a knowledge-based Genetic Programming approach for rough function approximations is presented first. After that, a novel algorithm for reaching better convergence of the roughly approximated cost functions is described. Constituting the central research topic of this article, different interactive strategies for questioning a decision maker are then implemented and computationally tested. A decision support system integrating both aspects is illustrated and numerical results are presented. It is shown that the quality of computational results first depends on the quality of decision maker's answers. Second, looking at different questioning strategies in detail, cost function convergence seems to be reached faster, if decision maker statements are added to the database step- and not group-wise.</t>
  </si>
  <si>
    <t>[Langton, Sebastian; Geiger, Martin Josef] Univ Hamburg, Dept Logist Management, D-22041 Hamburg, Germany</t>
  </si>
  <si>
    <t>University of Hamburg</t>
  </si>
  <si>
    <t>Geiger, MJ (corresponding author), Univ Hamburg, Dept Logist Management, Holstenhofweg 85, D-22041 Hamburg, Germany.</t>
  </si>
  <si>
    <t>m.j.geiger@hsu-hh.de</t>
  </si>
  <si>
    <t>Geiger, Martin Josef/0000-0003-1797-957X</t>
  </si>
  <si>
    <t>1069-2509</t>
  </si>
  <si>
    <t>INTEGR COMPUT-AID E</t>
  </si>
  <si>
    <t>Integr. Comput.-Aided Eng.</t>
  </si>
  <si>
    <t>10.3233/ICA-130432</t>
  </si>
  <si>
    <t>Computer Science, Artificial Intelligence; Computer Science, Interdisciplinary Applications; Engineering, Multidisciplinary</t>
  </si>
  <si>
    <t>157DU</t>
  </si>
  <si>
    <t>WOS:000319876900004</t>
  </si>
  <si>
    <t>Zare, A; Motadel, MR; Jalali, A</t>
  </si>
  <si>
    <t>Zare, Abolfazl; Motadel, Mohammad Reza; Jalali, Aliakbar</t>
  </si>
  <si>
    <t>Presenting a hybrid model in social networks recommendation system architecture development</t>
  </si>
  <si>
    <t>AI &amp; SOCIETY</t>
  </si>
  <si>
    <t>Recommendation systems; Collaborative filtering; Artificial neural network; Fuzzy logic; Supply-chain management; Social networks</t>
  </si>
  <si>
    <t>There are many studies conducted on recommendation systems, most of which are focused on recommending items to users and vice versa. Nowadays, social networks are complicated due to carrying vast arrays of data about individuals and organizations. In today's competitive environment, companies face two significant problems: supplying resources and attracting new customers. Even the concept of supply-chain management in a virtual environment is changed. In this article, we propose a new and innovative combination approach to recommend organizational people in social networks based on organizational communication and SCM. The proposed approach uses a hybrid strategy that combines basic collaborative filtering and demographic recommendation systems, using data mining, artificial neural networks, and fuzzy techniques. The results of experiments and evaluations based on a real dataset collected from the LinkedIn social network showed that the hybrid recommendation system has higher accuracy and speed than other essential methods, even substantially has eliminated the fundamental problems with such systems, such as cold start, scalability, diversity, and serendipity.</t>
  </si>
  <si>
    <t>[Zare, Abolfazl; Motadel, Mohammad Reza] Islamic Azad Univ, Dept Management, Cent Tehran Branch, Tehran, Iran; [Jalali, Aliakbar] Univ Maryland, Dept Comp Sci, College Pk, MD 20742 USA</t>
  </si>
  <si>
    <t>Islamic Azad University; University System of Maryland; University of Maryland College Park</t>
  </si>
  <si>
    <t>Zare, A (corresponding author), Islamic Azad Univ, Dept Management, Cent Tehran Branch, Tehran, Iran.</t>
  </si>
  <si>
    <t>Zare.Phd@gmail.com; Dr.Motadel@Gmail.com; DrJalali@UMD.Edu</t>
  </si>
  <si>
    <t>Zare, Abolfazl/AAW-7998-2021; Motadel, Mohammadreza/AAW-7996-2021</t>
  </si>
  <si>
    <t>Zare, Abolfazl/0000-0002-1750-5326;</t>
  </si>
  <si>
    <t>0951-5666</t>
  </si>
  <si>
    <t>1435-5655</t>
  </si>
  <si>
    <t>AI SOC</t>
  </si>
  <si>
    <t>AI Soc.</t>
  </si>
  <si>
    <t>10.1007/s00146-019-00893-z</t>
  </si>
  <si>
    <t>LW6GO</t>
  </si>
  <si>
    <t>WOS:000539242900018</t>
  </si>
  <si>
    <t>Brusco, MJ; Steinley, D; Cradit, JD; Singh, R</t>
  </si>
  <si>
    <t>Brusco, Michael J.; Steinley, Douglas; Cradit, J. Dennis; Singh, Renu</t>
  </si>
  <si>
    <t>Emergent clustering methods for empirical OM research</t>
  </si>
  <si>
    <t>Cluster analysis; Multivariate statistics; Empirical research methods</t>
  </si>
  <si>
    <t>SOCIAL NETWORK ANALYSIS; SOM NEURAL-NETWORK; K-MEANS; SUPPLY CHAIN; STRUCTURAL BALANCE; MANUFACTURING STRATEGIES; COMPETITIVE PRIORITIES; NEGATIVE RELATIONSHIPS; AFFINITY PROPAGATION; MARKET-SEGMENTATION</t>
  </si>
  <si>
    <t>To date, the vast majority of cluster analysis applications in OM research have relied on traditional hierarchical (e.g.. Ward's algorithm) and nonhierarchical (e.g., K-means algorithms) methods. Although these venerable methods should continue to be employed effectively in the OM literature, we also believe there is a significant opportunity to expand the scope of clustering methods to emergent techniques. We provide an overview of some alternative clustering procedures (including advantages and disadvantages), identify software programs for implementing them, and discuss the circumstances where they might be employed gainfully in OM research. The implementation of emergent clustering methods in the OM literature should enable researchers to offer implications for practice that might not have been uncovered with traditional methods. (C) 2012 Elsevier B.V. All rights reserved.</t>
  </si>
  <si>
    <t>[Brusco, Michael J.] Florida State Univ, Tallahassee, FL 32306 USA; [Steinley, Douglas] Univ Missouri, Columbia, MO 65211 USA; [Cradit, J. Dennis] So Illinois Univ, Carbondale, IL 62901 USA; [Singh, Renu] S Carolina State Univ, Orangeburg, SC USA</t>
  </si>
  <si>
    <t>State University System of Florida; Florida State University; University of Missouri System; University of Missouri Columbia; Southern Illinois University System; Southern Illinois University; South Carolina State University</t>
  </si>
  <si>
    <t>Brusco, MJ (corresponding author), Florida State Univ, Tallahassee, FL 32306 USA.</t>
  </si>
  <si>
    <t>mbrusco@cob.fsu.edu; steinleyd@missouri.edu; dcradit@business.siu.edu; renuksingh@gmail.com</t>
  </si>
  <si>
    <t>NIAAA Grant [5K25AA017456]</t>
  </si>
  <si>
    <t>NIAAA Grant(United States Department of Health &amp; Human ServicesNational Institutes of Health (NIH) - USANIH National Institute on Alcohol Abuse &amp; Alcoholism (NIAAA))</t>
  </si>
  <si>
    <t>We are grateful to the editor and three anonymous reviewers for their thoughtful and constructive comments, which led to a substantially improved paper. Douglas Steinley's work was supported in part by NIAAA Grant 5K25AA017456.</t>
  </si>
  <si>
    <t>10.1016/j.jom.2012.06.001</t>
  </si>
  <si>
    <t>005DK</t>
  </si>
  <si>
    <t>WOS:000308730500002</t>
  </si>
  <si>
    <t>Rossmann, B; Canzaniello, A; von der Gracht, H; Hartmann, E</t>
  </si>
  <si>
    <t>Rossmann, Bernhard; Canzaniello, Angelo; von der Gracht, Heiko; Hartmann, Evi</t>
  </si>
  <si>
    <t>The future and social impact of Big Data Analytics in Supply Chain Management: Results from a Delphi study</t>
  </si>
  <si>
    <t>Big Data Analytics; Supply Chain Management; Organizational Information Processing Theory; Delphi method; Fuzzy logic</t>
  </si>
  <si>
    <t>QUALITATIVE CONTENT-ANALYSIS; PREDICTIVE ANALYTICS; REAL-TIME; FORECASTING TOOL; FIRM PERFORMANCE; CLUSTER-ANALYSIS; DATA SCIENCE; INFORMATION; CHALLENGES; LOGISTICS</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</si>
  <si>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t>
  </si>
  <si>
    <t>[Rossmann, Bernhard; Canzaniello, Angelo; von der Gracht, Heiko; Hartmann, Evi] Friedrich Alexander Univ Nuremberg, Lange Gasse 22, Nurnberg, Germany</t>
  </si>
  <si>
    <t>von der Gracht, H (corresponding author), Friedrich Alexander Univ Nuremberg, Lange Gasse 22, Nurnberg, Germany.</t>
  </si>
  <si>
    <t>bernhard.rossmann@fau.de; heiko.vd.gracht@fau.de; evi.hartmann@fau.de</t>
  </si>
  <si>
    <t>von der Gracht, Heiko/ABE-7238-2020</t>
  </si>
  <si>
    <t>von der Gracht, Heiko/0000-0002-7376-1236</t>
  </si>
  <si>
    <t>10.1016/j.techfore.2017.10.005</t>
  </si>
  <si>
    <t>GC6HQ</t>
  </si>
  <si>
    <t>WOS:000429891100014</t>
  </si>
  <si>
    <t>Kakhki, MD; Gargeya, VB</t>
  </si>
  <si>
    <t>Kakhki, Mohammad Daneshvar; Gargeya, Vidyaranya B.</t>
  </si>
  <si>
    <t>Information systems for supply chain management: a systematic literature analysis</t>
  </si>
  <si>
    <t>Supply chain management; information systems; literature analysis; journal articles; topic clustering</t>
  </si>
  <si>
    <t>VALUE CO-CREATION; BIG DATA; INTELLECTUAL STRUCTURE; ELECTRONIC COMMERCE; TOPIC TRENDS; INTEGRATION; FUTURE; ERP; ANALYTICS; TECHNOLOGY</t>
  </si>
  <si>
    <t>Information systems (IS) impact supply chain management (SCM) on processes such as planning, sourcing, and delivering, and at levels ranging from tactical operations to organisational strategy. The vast scope of IS and SCM relationships have resulted in diverse and disintegrated research on the topic. This paper offers a systematic literature analysis at the intersection of supply chain and information systems (SCIS), aiming to provide a classification for existing areas of research. This research is based on an analysis of more than 1500 articles published in peer-reviewed journals over the past four decades to classify topics and methods and to identify major trends and distinguish important research themes. The classification of the literature has identified major clusters of research in SCIS, and suggestions are made for future research in each of the identified clusters. In general, the findings point out that there is a dearth of research on topics such as 'impact of IT on vertical disintegration of supply chains,' 'implications of new technologies for supply chains,' and 'concerns related to trust, governance, ownership, privacy, and security of data in supply chains.' This work provides both researchers and practitioners with an insightful description of the current state of research in SCIS and related future trends in research and practice.</t>
  </si>
  <si>
    <t>[Kakhki, Mohammad Daneshvar] Western Michigan Univ, Dept Business Informat Syst, Kalamazoo, MI 49008 USA; [Gargeya, Vidyaranya B.] Univ N Carolina, Dept Informat Syst &amp; Supply Chain Management, Greensboro, NC USA</t>
  </si>
  <si>
    <t>Western Michigan University; University of North Carolina; University of North Carolina Greensboro</t>
  </si>
  <si>
    <t>Kakhki, MD (corresponding author), Western Michigan Univ, Dept Business Informat Syst, Kalamazoo, MI 49008 USA.</t>
  </si>
  <si>
    <t>mohammad.daneshvarkakhki@wmich.edu</t>
  </si>
  <si>
    <t>Ak, Ilayda/AAN-1228-2020</t>
  </si>
  <si>
    <t>10.1080/00207543.2019.1570376</t>
  </si>
  <si>
    <t>WOS:000479054800031</t>
  </si>
  <si>
    <t>Brandenburg, M; Rebs, T</t>
  </si>
  <si>
    <t>Brandenburg, Marcus; Rebs, Tobias</t>
  </si>
  <si>
    <t>Sustainable supply chain management: a modeling perspective</t>
  </si>
  <si>
    <t>Sustainable supply chain management; Quantitative modeling; Environmental management; Social responsibility; Literature review</t>
  </si>
  <si>
    <t>MULTI CRITERIA APPROACH; LIFE-CYCLE ASSESSMENT; DECISION-MAKING; CONCEPTUAL-FRAMEWORK; GREEN SUPPLIERS; PERFORMANCE; SELECTION; OPERATIONS; LOGISTICS; NETWORK</t>
  </si>
  <si>
    <t>Nowadays, the integration of sustainability into supply chain management (SCM) is a key issue for ensuring corporate competitiveness in face of dynamic ecological and social environments. This paper reviews 185 journal publications of the last 20 years that formalize issues related to sustainable supply chain management (SSCM) in quantitative models. In a content analysis, modeling and SCM characteristics as well as sustainability and SSCM constructs are elaborated. The models are assessed numerically by counting frequencies of occurrence and by clustering the paper sample according to selected characteristics. The findings indicate that SSCM models predominantly focus on deterministic approaches and the integration of environmental aspects of sustainability while neglecting stochastic modeling techniques and the consideration of social factors. By now, comprehensive modeling approaches are most often employed on intra-organizational levels whereas broader application areas are assessed by less complex models. The integration of pressures and incentives of external stakeholders or the formalization of sustainable supplier management and sustainability risks are identified as future research perspectives. Furthermore, the interrelationships between the triple bottom line dimensions are to be scrutinized in greater detail in order to avoid focused optimization of selected sustainability criteria. Seven modeling guidelines are derived from the reviewed literature to facilitate future model-based SSCM research.</t>
  </si>
  <si>
    <t>[Brandenburg, Marcus; Rebs, Tobias] Tech Univ Berlin, Dept Prod Management, D-10623 Berlin, Germany; [Brandenburg, Marcus] Univ Kassel, Fac Business &amp; Econ, Chair Supply Chain Management, D-34117 Kassel, Germany</t>
  </si>
  <si>
    <t>Technical University of Berlin; Universitat Kassel</t>
  </si>
  <si>
    <t>Brandenburg, M (corresponding author), Tech Univ Berlin, Dept Prod Management, Sekr ST 1-1,Steinpl 2, D-10623 Berlin, Germany.</t>
  </si>
  <si>
    <t>brandenburg@uni-kassel.de; tobias.rebs@tu-berlin.de</t>
  </si>
  <si>
    <t>Brandenburg, Marcus/L-1483-2019</t>
  </si>
  <si>
    <t>Brandenburg, Marcus/0000-0001-8997-3949; Rebs, Tobias/0000-0003-4023-7275</t>
  </si>
  <si>
    <t>10.1007/s10479-015-1853-1</t>
  </si>
  <si>
    <t>CH9WQ</t>
  </si>
  <si>
    <t>WOS:000354387600009</t>
  </si>
  <si>
    <t>Jestratijevic, I; Maystorovich, I; Vrabic-Brodnjak, U</t>
  </si>
  <si>
    <t>Jestratijevic, Iva; Maystorovich, Irina; Vrabic-Brodnjak, Urska</t>
  </si>
  <si>
    <t>The 7 Rs sustainable packaging framework: Systematic review of sustainable packaging solutions in the apparel and footwear industry</t>
  </si>
  <si>
    <t>SUSTAINABLE PRODUCTION AND CONSUMPTION</t>
  </si>
  <si>
    <t>Retail; Rethink; Refuse; Rot; Recycle; Reduce; Reuse; Repurpose; Packaging</t>
  </si>
  <si>
    <t>The apparel and footwear industry creates large amounts of packaging waste that filter through the entire value chain. Although retailers are making effort s to reduce packaging waste, there is a lack of understanding of the sustainable packaging solutions already available. To address this knowledge gap, this research provides a framework that highlights new theoretical and practical advances in sustainable packaging. The study follows the principles of systematic review research methodology. A data-mining approach was utilized to execute the website search. Thematic content clustering was applied for iterative data analysis. The sample included 478 international retail brands advertising sustainable packaging solutions. The key findings of the study indicate that the 7R's approach might be considered a gradual pathway towards sustainable packaging where the proposed framework includes mutually inclusive and complementary approaches. Such a holistic framework can aid retailers in establishing new or revised criteria to advance sustainable packaging solutions.(c) 2021 Institution of Chemical Engineers. Published by Elsevier B.V. All rights reserved.</t>
  </si>
  <si>
    <t>[Jestratijevic, Iva] Univ North Texas, Merchandising &amp; Digital Retailing, Denton, TX 76203 USA; [Maystorovich, Irina] Univ North Texas, Dept Sci Artificial Intelligence Machine Learning, Denton, TX 76203 USA; [Vrabic-Brodnjak, Urska] Univ Ljubljana, Fac Nat Sci &amp; Engn, Ljubljana, Slovenia</t>
  </si>
  <si>
    <t>University of North Texas System; University of North Texas Denton; University of North Texas System; University of North Texas Denton; University of Ljubljana</t>
  </si>
  <si>
    <t>Jestratijevic, I (corresponding author), Univ North Texas, Merchandising &amp; Digital Retailing, Denton, TX 76203 USA.</t>
  </si>
  <si>
    <t>Jestratijevic, Iva/AAJ-3902-2020</t>
  </si>
  <si>
    <t>Jestratijevic, Iva/0000-0002-1776-335X</t>
  </si>
  <si>
    <t>2352-5509</t>
  </si>
  <si>
    <t>SUSTAIN PROD CONSUMP</t>
  </si>
  <si>
    <t>Sustain. Prod. Consump.</t>
  </si>
  <si>
    <t>10.1016/j.spc.2021.12.013</t>
  </si>
  <si>
    <t>Green &amp; Sustainable Science &amp; Technology; Environmental Studies</t>
  </si>
  <si>
    <t>0X0JI</t>
  </si>
  <si>
    <t>WOS:000789402300020</t>
  </si>
  <si>
    <t>Owsinski, JW; Kacprzyk, J; Shyrai, S; Szmidt, E; Viattchenin, DA; Hormazabal, JH</t>
  </si>
  <si>
    <t>Owsinski, Jan W.; Kacprzyk, Janusz; Shyrai, Stanislau; Szmidt, Eulalia; Viattchenin, Dmitri A.; Hernandez Hormazabal, Jorge</t>
  </si>
  <si>
    <t>A Heuristic Algorithm of Possibilistic Clustering with Partial Supervision for Classification of the Intuitionistic Fuzzy Data</t>
  </si>
  <si>
    <t>JOURNAL OF MULTIPLE-VALUED LOGIC AND SOFT COMPUTING</t>
  </si>
  <si>
    <t>Intuitionistic fuzzy set; intuitionistic fuzzy tolerance; clustering; allotment among intuitionistic fuzzy clusters; membership degree; non-membership degree; labeled object; partial supervision; agricultural value chan</t>
  </si>
  <si>
    <t>The paper deals with the problem of clustering of intuitionistic fuzzy data. A modification of a heuristic algorithm of possibilistic clustering for intuitionistic fuzzy data that account for the information coming from the labeled objects is proposed. The paper describes the basic ideas of the method and gives the plan of the partially supervised version of a direct possibilistic clustering algorithm. Illustrative examples of application of the method to two intuitionistic fuzzy data sets are provided. Preliminary conclusions are formulated and some perspectives outlined, notably for the analysis of agricultural value chain.</t>
  </si>
  <si>
    <t>[Owsinski, Jan W.; Kacprzyk, Janusz; Szmidt, Eulalia] Polish Acad Sci, Syst Res Inst, 6 Newelska St, PL-01447 Warsaw, Poland; [Shyrai, Stanislau] Belarusian State Univ Informat &amp; Radioelect, 6 P Brovka St, Minsk 220013, BELARUS; [Viattchenin, Dmitri A.] Natl Acad Sci Belarus, United Inst Informat Problems, 6 Surganov St, Minsk 220012, BELARUS; [Hernandez Hormazabal, Jorge] Univ Liverpool, Management Sch, Chatham Bldg,Chatham St, Liverpool L69 7ZH, Merseyside, England; [Hernandez Hormazabal, Jorge] Univ La Frontera, Ave Francisco Salazar, Temuco 01145, Chile</t>
  </si>
  <si>
    <t>Polish Academy of Sciences; Systems Research Institute of the Polish Academy of Sciences; Belarusian State University of Informatics &amp; Radioelectronics; National Academy of Sciences of Belarus (NASB); United Institute of Informatics Problems of the National Academy of Sciences of Belarus; University of Liverpool; Universidad de La Frontera</t>
  </si>
  <si>
    <t>Owsinski, JW (corresponding author), Polish Acad Sci, Syst Res Inst, 6 Newelska St, PL-01447 Warsaw, Poland.</t>
  </si>
  <si>
    <t>jan.owsinski@ibspan.waw.pl; Janusz.Kacprzyk@ibspan.waw.pl; ashaman410@gmail.com; szmidt@ibspan.waw.pl; viattchenin@mail.ru; J.E.Hernandez@Liverpool.ac.uk</t>
  </si>
  <si>
    <t>Szmidt, Eulalia/AAS-6624-2020; Kacprzyk, Janusz/AAX-3998-2020; Kacprzyk, Janusz A./M-9574-2014</t>
  </si>
  <si>
    <t>Szmidt, Eulalia/0000-0003-2192-6905; Kacprzyk, Janusz/0000-0003-4187-5877; Kacprzyk, Janusz A./0000-0003-4187-5877</t>
  </si>
  <si>
    <t>RUC-APS: Enhancing and implementing Knowledge based ICT solutions within high Risk and Uncertain Conditions for Agriculture Production Systems - EU under H2020-MSCA-RISE-2015 [691249]</t>
  </si>
  <si>
    <t>RUC-APS: Enhancing and implementing Knowledge based ICT solutions within high Risk and Uncertain Conditions for Agriculture Production Systems - EU under H2020-MSCA-RISE-2015</t>
  </si>
  <si>
    <t>This work has been partially supported by Project 691249, RUC-APS: Enhancing and implementing Knowledge based ICT solutions within high Risk and Uncertain Conditions for Agriculture Production Systems (www.ruc-aps.eu), funded by the EU under H2020-MSCA-RISE-2015.</t>
  </si>
  <si>
    <t>OLD CITY PUBLISHING INC</t>
  </si>
  <si>
    <t>628 NORTH 2ND ST, PHILADELPHIA, PA 19123 USA</t>
  </si>
  <si>
    <t>1542-3980</t>
  </si>
  <si>
    <t>1542-3999</t>
  </si>
  <si>
    <t>J MULT-VALUED LOG S</t>
  </si>
  <si>
    <t>J. Mult.-Valued Log. Soft Comput.</t>
  </si>
  <si>
    <t>Computer Science, Artificial Intelligence; Computer Science, Theory &amp; Methods; Logic</t>
  </si>
  <si>
    <t>Computer Science; Science &amp; Technology - Other Topics</t>
  </si>
  <si>
    <t>HH7CB</t>
  </si>
  <si>
    <t>WOS:000455887000005</t>
  </si>
  <si>
    <t>Maine, EM; Shapiro, DM; Vining, AR</t>
  </si>
  <si>
    <t>Maine, Elicia M.; Shapiro, Daniel M.; Vining, Aidan R.</t>
  </si>
  <si>
    <t>The role of clustering in the growth of new technology-based firms</t>
  </si>
  <si>
    <t>SMALL BUSINESS ECONOMICS</t>
  </si>
  <si>
    <t>Clusters; Small firm growth; New technology-based firms; Gibrat's Law; Economic geography</t>
  </si>
  <si>
    <t>FOREIGN DIRECT-INVESTMENT; RESEARCH-AND-DEVELOPMENT; BIOTECH SMES; GIBRATS-LAW; KNOWLEDGE; SPILLOVERS; HETEROGENEITY; INNOVATION; LOCATION; US</t>
  </si>
  <si>
    <t>This study analyses the relationship between clusters and the growth performance of new U.S. technology-based firms. It is argued that firms benefit because clustering provides access to specialized resources that cannot be developed internally. The empirical results indicate that distance from a cluster is negatively related to growth, but clustering has a greater positive impact on biotech firms. Proximity to a cluster within a diverse metropolitan area is associated with superior growth performance only for firms that rely heavily on broad, downstream supply chain effects (that is, for information and communications technology firms).</t>
  </si>
  <si>
    <t>[Maine, Elicia M.; Shapiro, Daniel M.; Vining, Aidan R.] Simon Fraser Univ, Segal Grad Sch Business, Vancouver, BC V6B 5K3, Canada</t>
  </si>
  <si>
    <t>Simon Fraser University</t>
  </si>
  <si>
    <t>Shapiro, DM (corresponding author), Simon Fraser Univ, Segal Grad Sch Business, Vancouver, BC V6B 5K3, Canada.</t>
  </si>
  <si>
    <t>dshapiro@sfu.ca</t>
  </si>
  <si>
    <t>Maine, Elicia M/B-2458-2012</t>
  </si>
  <si>
    <t>Maine, Elicia/0000-0003-1887-5756</t>
  </si>
  <si>
    <t>0921-898X</t>
  </si>
  <si>
    <t>1573-0913</t>
  </si>
  <si>
    <t>SMALL BUS ECON</t>
  </si>
  <si>
    <t>Small Bus. Econ. Group</t>
  </si>
  <si>
    <t>10.1007/s11187-008-9104-3</t>
  </si>
  <si>
    <t>544RR</t>
  </si>
  <si>
    <t>WOS:000273677300002</t>
  </si>
  <si>
    <t>Yadav, AK; Samuel, C</t>
  </si>
  <si>
    <t>Yadav, Ajeet Kumar; Samuel, Cherian</t>
  </si>
  <si>
    <t>Modeling resilient factors of the supply chain</t>
  </si>
  <si>
    <t>Resilient supply chain; 3R; Factors; Structural modeling; TISM; MICMAC; Strategy; Modeling; Supply chain management</t>
  </si>
  <si>
    <t>MANAGEMENT; RISK; DEMATEL; IMPLEMENTATION; PERFORMANCE; FIRMS; READINESS; BARRIERS; NETWORK; IMPACT</t>
  </si>
  <si>
    <t>Purpose This paper aims to study the concept, characteristics and factors of the resilient supply chain (RSC) and develop a hierarchical structural model and classify the factors based on their interrelationships. Design/methodology/approach This paper has used a mixed-approach of literature review and expert opinion to identify the factors of RSC. For the development of the structural model and clustering of the factors, this paper has used the total interpretive structural modeling approach with Matrice d'Impacts Croises-Multiplication Applique and Classment and decision-making trial and evaluation laboratory analysis. Findings In total, this study has identified 17 factors that enable the 3R capability of the RSC. The result shows that the factors have a close dependence relationship with supply chain (SC) risk management culture as the most influencing factor. Further, this study classifies the factors into enablers and strategies. Research limitations/implications This research work is the theoretical contribution to the RSC concept and helps the experts to develop and improve the resilient ability in the SC. This research is based entirely on subjective expert feedback; thus, the results are sensitive to the expert's judgment. Practical implications This research will help the decision-makers in allocating the resources and policies to develop or improve the SC capabilities. Originality/value This research work is the first kind of research in the field of the RSC that considers the 3R concept to identify and model the resilient factors of the SC. Along with the theoretical concept, this research provides empirical evidence for the importance ranking of the factors.</t>
  </si>
  <si>
    <t>[Yadav, Ajeet Kumar; Samuel, Cherian] Indian Inst Technol BHU, Varanasi, Uttar Pradesh, India</t>
  </si>
  <si>
    <t>Indian Institute of Technology System (IIT System); Indian Institute of Technology BHU Varanasi (IIT BHU Varanasi)</t>
  </si>
  <si>
    <t>Yadav, AK (corresponding author), Indian Inst Technol BHU, Varanasi, Uttar Pradesh, India.</t>
  </si>
  <si>
    <t>ajeetkryadav.rs.mec17@itbhu.ac.in; csamuel.mec@itbhu.ac.in</t>
  </si>
  <si>
    <t>Yadav, Ajeet Kumar/AAB-2722-2021; samuel, cherian/AAD-8927-2022</t>
  </si>
  <si>
    <t>Yadav, Ajeet Kumar/0000-0002-4125-1178;</t>
  </si>
  <si>
    <t>10.1108/JM2-07-2020-0196</t>
  </si>
  <si>
    <t>WOS:000672672500001</t>
  </si>
  <si>
    <t>Rangarajan, N; Patnaik, S; Knechtel, J; Karri, R; Sinanoglu, O; Rakheja, S</t>
  </si>
  <si>
    <t>Rangarajan, Nikhil; Patnaik, Satwik; Knechtel, Johann; Karri, Ramesh; Sinanoglu, Ozgur; Rakheja, Shaloo</t>
  </si>
  <si>
    <t>Opening the Doors to Dynamic Camouflaging: Harnessing the Power of Polymorphic Devices</t>
  </si>
  <si>
    <t>IEEE TRANSACTIONS ON EMERGING TOPICS IN COMPUTING</t>
  </si>
  <si>
    <t>Foundries; Logic gates; Integrated circuits; Supply chains; Security; Layout; IP networks; Hardware security; IP protection; layout camouflaging; dynamic camouflaging; post-fabrication reconfigurability; dynamic morphing; functional polymorphism; spin devices</t>
  </si>
  <si>
    <t>ATTACK</t>
  </si>
  <si>
    <t>The era of widespread globalization has led to the emergence of hardware-centric security threats throughout the IC supply chain. Prior defenses like logic locking, layout camouflaging, and split manufacturing have been researched extensively to protect against intellectual property (IP) piracy at different stages. In this work, we present dynamic camouflaging as a new technique to thwart IP reverse engineering at all stages in the supply chain, viz., the foundry, the test facility, and the end-user. Toward this end, we exploit the multi-functionality, post-fabrication reconfigurability, and run-time polymorphism of spin-based devices, specifically the magneto-electric spin-orbit (MESO) device. Leveraging these unique properties, dynamic camouflaging is shown to be resilient against state-of-the-art analytical SAT-based attacks and test-data mining attacks. Such dynamic reconfigurability is not afforded in CMOS owing to fundamental differences in operation. For such MESO-based camouflaging, we also anticipate massive savings in power, performance, and area over other spin-based camouflaging schemes, due to the energy-efficient electric-field driven reversal of the MESO device. Based on thorough experimentation, we outline the promises of dynamic camouflaging in securing the supply chain end-to-end along with a case study, demonstrating the efficacy of dynamic camouflaging in securing error-tolerant image processing IP.</t>
  </si>
  <si>
    <t>[Rangarajan, Nikhil; Knechtel, Johann; Sinanoglu, Ozgur] New York Univ Abu Dhabi NYU Ad, Div Engn, Abu Dhabi 129188, U Arab Emirates; [Patnaik, Satwik; Karri, Ramesh] NYU, Tandon Sch Engn, Dept Elect &amp; Comp Engn, Brooklyn, NY 11201 USA; [Rakheja, Shaloo] Univ Illinois Urbana Champaign UIUC, Holonyak Micro &amp; Nanotechnol Lab, Urbana, IL 61801 USA</t>
  </si>
  <si>
    <t>New York University; New York University Tandon School of Engineering; University of Illinois System; University of Illinois Urbana-Champaign</t>
  </si>
  <si>
    <t>Patnaik, S (corresponding author), NYU, Tandon Sch Engn, Dept Elect &amp; Comp Engn, Brooklyn, NY 11201 USA.</t>
  </si>
  <si>
    <t>sp4012@nyu.edu</t>
  </si>
  <si>
    <t>Patnaik, Satwik/AFE-5861-2022; Patnaik, Satwik/JEP-5209-2023</t>
  </si>
  <si>
    <t>Patnaik, Satwik/0000-0002-8975-2414; Patnaik, Satwik/0000-0002-8975-2414; Knechtel, Johann/0000-0001-5093-2939; Sinanoglu, Ozgur/0000-0003-0782-0397; Rakheja, Shaloo/0000-0001-7501-275X</t>
  </si>
  <si>
    <t>Global Ph.D. Fellowship at NYU/NYU AD; Semiconductor Research Corporation (SRC); US National Science Foundation (NSF) [ECCS 1740136]</t>
  </si>
  <si>
    <t>Global Ph.D. Fellowship at NYU/NYU AD; Semiconductor Research Corporation (SRC); US National Science Foundation (NSF)(National Science Foundation (NSF))</t>
  </si>
  <si>
    <t>The work of Satwik Patnaik was supported by the Global Ph.D. Fellowship at NYU/NYU AD. Besides, this work was carried out in part on the HPC facility at NYU AD. This work was supported in part by the Semiconductor Research Corporation (SRC) and the US National Science Foundation (NSF) through ECCS 1740136. (Nikhil Rangarajan and Satwik Patnaik contributed equally to this work.)</t>
  </si>
  <si>
    <t>2168-6750</t>
  </si>
  <si>
    <t>IEEE T EMERG TOP COM</t>
  </si>
  <si>
    <t>IEEE Trans. Emerg. Top. Comput.</t>
  </si>
  <si>
    <t>JAN 1</t>
  </si>
  <si>
    <t>10.1109/TETC.2020.2991134</t>
  </si>
  <si>
    <t>ZN1US</t>
  </si>
  <si>
    <t>WOS:000764828500017</t>
  </si>
  <si>
    <t>Visconti, RM; Morea, D</t>
  </si>
  <si>
    <t>Visconti, Roberto Moro; Morea, Donato</t>
  </si>
  <si>
    <t>Big Data for the Sustainability of Healthcare Project Financing</t>
  </si>
  <si>
    <t>healthcare informatics; networks; internet of health; public-private partnership; value chain; business model innovation; data mining; predictive analytics; interoperability; healthcare management</t>
  </si>
  <si>
    <t>IMPROVING HEALTH; ANALYTICS; IMPACT; PRIVATE; RECORDS; RISK</t>
  </si>
  <si>
    <t>This study aims to detect if and how big data can improve the quality and timeliness of information in infrastructural healthcare Project Finance (PF) investments, making them more sustainable, and increasing their overall efficiency. Interactions with telemedicine or disease management and prediction are promising but are still underexploited. However, given rising health expenditure and shrinking budgets, data-driven cost-cutting is inevitably required. An interdisciplinary approach combines complementary aspects concerning big data, healthcare information technology, and PF investments. The methodology is based on a business plan of a standard healthcare Public-Private Partnership (PPP) investment, compared with a big data-driven business model that incorporates predictive analytics in different scenarios. When Public and Private Partners interact through networking big data and interoperable databases, they boost value co-creation, improving Value for Money and reducing risk. Big data can also help by shortening supply chain steps, expanding economic marginality and easing the sustainable planning of smart healthcare investments. Flexibility, driven by timely big data feedbacks, contributes to reducing the intrinsic rigidity of long-termed PF healthcare investments. Healthcare is a highly networked and systemic industry, that can benefit from interacting with big data that provide timely feedbacks for continuous business model re-engineering, reducing the distance between forecasts and actual occurrences. Risk shrinks and sustainability is fostered, together with the bankability of the infrastructural investment.</t>
  </si>
  <si>
    <t>[Visconti, Roberto Moro] Univ Cattolica Sacro Cuore, Dept Business Management, Via Ludov Necchi 7, I-20123 Milan, Italy; [Morea, Donato] Univ Mercatorum, Fac Econ, Piazza Mattei 10, I-00186 Rome, Italy</t>
  </si>
  <si>
    <t>Catholic University of the Sacred Heart; Universita Telematica Mercatorum</t>
  </si>
  <si>
    <t>Morea, D (corresponding author), Univ Mercatorum, Fac Econ, Piazza Mattei 10, I-00186 Rome, Italy.</t>
  </si>
  <si>
    <t>donato.morea@unimercatorum.it</t>
  </si>
  <si>
    <t>Visconti, Roberto Moro/AAH-5997-2019; Nasarian, Elham/ISB-6863-2023; Ak, Ilayda/AAN-1228-2020; Morea, Donato/S-9544-2019</t>
  </si>
  <si>
    <t>Visconti, Roberto Moro/0000-0002-3458-5161; Morea, Donato/0000-0003-0995-6685</t>
  </si>
  <si>
    <t>10.3390/su11133748</t>
  </si>
  <si>
    <t>IL1IB</t>
  </si>
  <si>
    <t>Green Published, gold, Green Submitted</t>
  </si>
  <si>
    <t>WOS:000477051900238</t>
  </si>
  <si>
    <t>Ho, GTS; Lau, HCW; Kwok, SK; Lee, CKM; Ho, W</t>
  </si>
  <si>
    <t>Ho, G. T. S.; Lau, H. C. W.; Kwok, S. K.; Lee, C. K. M.; Ho, W.</t>
  </si>
  <si>
    <t>Development of a co-operative distributed process mining system for quality assurance</t>
  </si>
  <si>
    <t>Co-operative distributed process mining; Quality assurance; Online analytical processing</t>
  </si>
  <si>
    <t>In this paper, a co-operative distributed process mining system (CDPMS) is developed to streamline the workflow along the supply chain in order to offer shorter delivery times, more flexibility and higher customer satisfaction with learning ability. The proposed system is equipped with the 'distributed process mining' feature which is used to discover the hidden relationships among each working decision in distributed manner. This method incorporates the concept of data mining and knowledge refinement into decision making process for ensuring 'doing the right things' within the workflow. An example of implementation is given, based on the case of slider manufacturer.</t>
  </si>
  <si>
    <t>[Ho, G. T. S.; Lau, H. C. W.; Kwok, S. K.] Hong Kong Polytech Univ, Dept Ind &amp; Syst Engn, Kowloon, Hong Kong, Peoples R China; [Lee, C. K. M.] Nanyang Technol Univ, Sch Mech &amp; Aerosp &amp; Engn, Syst &amp; Engn Management Div, Singapore 2263, Singapore; [Ho, W.] Aston Univ, Aston Business Sch, Operat &amp; Informat Management Grp, Birmingham B4 7ET, W Midlands, England</t>
  </si>
  <si>
    <t>Hong Kong Polytechnic University; Nanyang Technological University &amp; National Institute of Education (NIE) Singapore; Nanyang Technological University; Aston University</t>
  </si>
  <si>
    <t>Lau, HCW (corresponding author), Hong Kong Polytech Univ, Dept Ind &amp; Syst Engn, Kowloon, Hong Kong, Peoples R China.</t>
  </si>
  <si>
    <t>mfhenry@inet.polyu.edu.hk</t>
  </si>
  <si>
    <t>Lee, Carman/G-5618-2010; Ho, William/G-7157-2015</t>
  </si>
  <si>
    <t>Ho, William/0000-0002-4509-478X; Ho, G.T.S./0000-0002-8550-4974; Lee, Carman/0000-0001-8577-4547</t>
  </si>
  <si>
    <t>Research Office of the Hong Kong Polytechnic University</t>
  </si>
  <si>
    <t>Research Office of the Hong Kong Polytechnic University(Hong Kong Polytechnic University)</t>
  </si>
  <si>
    <t>The authors wish to thank the Research Office of the Hong Kong Polytechnic University for the support of this research project.</t>
  </si>
  <si>
    <t>PII 788226694</t>
  </si>
  <si>
    <t>10.1080/00207540701441939</t>
  </si>
  <si>
    <t>376OE</t>
  </si>
  <si>
    <t>WOS:000261192100002</t>
  </si>
  <si>
    <t>Hong, GH; Ha, SH</t>
  </si>
  <si>
    <t>Hong, Gye-hang; Ha, Sung Ho</t>
  </si>
  <si>
    <t>Evaluating supply partner's capability for seasonal products using machine learning techniques</t>
  </si>
  <si>
    <t>supply chain management; supply capability; seasonal products; data mining; multi-criteria decision making</t>
  </si>
  <si>
    <t>RELATIONSHIP MANAGEMENT-SYSTEM; VENDOR SELECTION; CHAIN; PERFORMANCE; BUSINESS; DESIGN</t>
  </si>
  <si>
    <t>We develop a dynamic partner assessment system (DPAS) in order to assess change in a supply partner's capability over a period of time. The system embeds a multi-criteria decision model and machine learning methods, and is designed to evaluate a partner's supply capability that can change over time and to maximize revenue with different procurement conditions across time periods. We apply the system to the procurement and management of the agricultural industry. The results are compared with real-world auction markets. (C) 2007 Elsevier Ltd. All rights reserved.</t>
  </si>
  <si>
    <t>[Ha, Sung Ho] Kyungpook Natl Univ, Sch Business Adm, Taegu 702701, South Korea; [Hong, Gye-hang] Dongbu Financial Ctr, Dongbu CNI, Seoul 135523, South Korea</t>
  </si>
  <si>
    <t>Kyungpook National University</t>
  </si>
  <si>
    <t>Ha, SH (corresponding author), Kyungpook Natl Univ, Sch Business Adm, 1370 Sangyeokdong, Taegu 702701, South Korea.</t>
  </si>
  <si>
    <t>kaistduck@dongbu.com; hsh@mail.knu.ac.kr</t>
  </si>
  <si>
    <t>10.1016/j.cie.2007.10.009</t>
  </si>
  <si>
    <t>296IZ</t>
  </si>
  <si>
    <t>WOS:000255538000002</t>
  </si>
  <si>
    <t>Rahimi, A; Alemtabriz, A</t>
  </si>
  <si>
    <t>Rahimi, Akbar; Alemtabriz, Akbar</t>
  </si>
  <si>
    <t>Providing a model of LeAgile hybrid paradigm practices and its impact on supply chain performance</t>
  </si>
  <si>
    <t>INTERNATIONAL JOURNAL OF LEAN SIX SIGMA</t>
  </si>
  <si>
    <t>Lean and agility paradigms; Supply chain; Interpretative structural modeling</t>
  </si>
  <si>
    <t>FUZZY APPROACH; AGILE; RESILIENCE; LEANNESS; DESIGN; BENCHMARKING; SELECTION; STRATEGY; SCALE; INDEX</t>
  </si>
  <si>
    <t>Purpose Given the need to simultaneously implement lean and agile (LeAgile) paradigms in supply chain, managers do not know which of these paradigms practices should be given priority. Not knowing this, not only will they fail to apply these paradigms properly, but they will also waste significant financial resources. The purpose of this paper is to investigate the relationship between the practices of LeAgile paradigms and their effects on the supply chain performance. Design/methodology/approach Because the military products play a key role in national security enhancement, this research is done in the military product supply chain. Research methodology is an exploratory, mixed and descriptive one. In terms of its purpose, it is an applied research based on identifying and searching for practices and the use of interpretive equations. First, the authors identify the most important and implementable LeAgile practices in the form of importance feasibility analysis matrices. Then, using fuzzy interpretative structural modeling, a model is presented to show the logical relationships and hierarchy between paradigms, practices and their impact on supply chain performance. The research tool in both main stages of the research was the questionnaire completed by industrial and academic experts. The selection of experts was done purposefully. Findings The results show that of total 100 practices introduced in the previous research for LeAgile supply chain, 21 practices in the lean and agility of the supply chain of military industries are important and implementable. The final model of this study illustrates the hierarchical relationships between 21 practices and its effect on supply chain performance key measures. This model shows that LeAgile paradigms are intertwined and their simultaneous implementation leads to improved supply chain performance. In this model, supplier-related practices play a driving and fundamental role and become a top priority for implementation. Research limitations/implications Military products variation in land, air and sea areas and the large number of industries in each sectors, forced us to select the only land area. Although the results of this research can be used in the air and sea areas, one cannot say that Implementation of this study by its presented model will fully lead to the military industries supply chain (SC) lean and agility in air and sea sectors. Originality/value To the best of the authors' knowledge, this is the first research on the SC legality in Iran's military industry which tries to apply these two paradigms simultaneously in the SC and bridge the gap between theory and practice. Clustering LeAgile practices, based on two measures of importance and feasibility, and defining four strategies for implementing these measures, is a new approach to focus on deploying practices that are currently more feasible. Identifying a significant number of SC LeAgile practices (100 practices) and demonstrating the interactions between important and feasible practices in the military products SC are another innovation in this research.</t>
  </si>
  <si>
    <t>[Rahimi, Akbar] Malek Ashtar Univ Technol, Fac Management &amp; Ind Engn, Tehran, Iran; [Alemtabriz, Akbar] Shahid Beheshti Univ, Fac Management &amp; Accounting, Tehran, Iran</t>
  </si>
  <si>
    <t>Malek Ashtar University of Technology; Shahid Beheshti University</t>
  </si>
  <si>
    <t>Rahimi, A (corresponding author), Malek Ashtar Univ Technol, Fac Management &amp; Ind Engn, Tehran, Iran.</t>
  </si>
  <si>
    <t>rahimi_akr@yahoo.com</t>
  </si>
  <si>
    <t>2040-4166</t>
  </si>
  <si>
    <t>2040-4174</t>
  </si>
  <si>
    <t>INT J LEAN SIX SIG</t>
  </si>
  <si>
    <t>Int. J. Lean Six Sigma</t>
  </si>
  <si>
    <t>10.1108/IJLSS-04-2021-0073</t>
  </si>
  <si>
    <t>5L7KN</t>
  </si>
  <si>
    <t>WOS:000773962700001</t>
  </si>
  <si>
    <t>Giang, NT; Liaw, SY</t>
  </si>
  <si>
    <t>Nguyen Thi Giang; Liaw, Shu-Yi</t>
  </si>
  <si>
    <t>An application of data mining algorithms for predicting factors affecting Big Data Analysis adoption readiness in SMEs</t>
  </si>
  <si>
    <t>MATHEMATICAL BIOSCIENCES AND ENGINEERING</t>
  </si>
  <si>
    <t>Bayesian networks; big data analysis; CHAID; C5.0; data mining; neural network; SMEs</t>
  </si>
  <si>
    <t>SUPPLY CHAIN MANAGEMENT; CLOUD COMPUTING ADOPTION; DATA ANALYTICS; TECHNOLOGY READINESS; DECISION; PERFORMANCE; PERSPECTIVE; CHALLENGES; SERVICE; MODEL</t>
  </si>
  <si>
    <t>The adoption of Big Data Analysis (BDA) has become popular among firms since it creates evidence for decision-making by managers. However, the adoption of BDA continues to be poor among small and medium enterprises (SMEs). Therefore, this study adopted the TechnologyOrganization-Environment (TOE) framework to identify the drivers of readiness to adopt BDA among SMEs. Chi-square automatic interaction detection (CHAD), Bayesian network, neural network, and C5.0 algorithms of data mining were utilized to analyze data collected from 240 Vietnamese managers of SMEs. The evaluation model identified the C5.0 algorithm as the best model, with accurate results for the prediction of factors influencing the readiness to adopt BDA among SMEs. The findings revealed management support, data quality, firm size, data security and cost to be the fundamental factors influencing BDA adoption readiness. Moreover, the results identified the service sector as having a higher level of readiness toward the adoption of BDA compared to the manufacturing sector. The findings are imperative for the enhancement of the decision-making process and advancement of comprehension of the determinants of BDA adoption among SMEs by researchers, managers, providers and policymakers.</t>
  </si>
  <si>
    <t>[Nguyen Thi Giang] Natl Pingtung Univ Sci &amp; Technol, Dept Trop Agr &amp; Int Cooperat, Pingtung, Taiwan; [Nguyen Thi Giang] Thai Nguyen Univ Agr &amp; Forestry, Fac Econ &amp; Rural Dev, Thai Nguyen, Vietnam; [Liaw, Shu-Yi] Natl Pingtung Univ Sci &amp; Technol, Comp Ctr, Dept Business Adm, Pingtung, Taiwan</t>
  </si>
  <si>
    <t>National Pingtung University Science &amp; Technology; Thai Nguyen University; National Pingtung University Science &amp; Technology</t>
  </si>
  <si>
    <t>Liaw, SY (corresponding author), Natl Pingtung Univ Sci &amp; Technol, Comp Ctr, Dept Business Adm, Pingtung, Taiwan.</t>
  </si>
  <si>
    <t>syliaw@mail.npust.edu.tw</t>
  </si>
  <si>
    <t>Liaw, Shu-Yi/GXV-5286-2022</t>
  </si>
  <si>
    <t>1547-1063</t>
  </si>
  <si>
    <t>1551-0018</t>
  </si>
  <si>
    <t>MATH BIOSCI ENG</t>
  </si>
  <si>
    <t>Math. Biosci. Eng.</t>
  </si>
  <si>
    <t>10.3934/mbe.2022400</t>
  </si>
  <si>
    <t>3H3PK</t>
  </si>
  <si>
    <t>WOS:000831950600007</t>
  </si>
  <si>
    <t>Yurtay, Y; Ayanoglu, M</t>
  </si>
  <si>
    <t>Yurtay, Yuksel; Ayanoglu, Murat</t>
  </si>
  <si>
    <t>Dashboard application model in supplier evaluation by using artificial immune system and data mining methods</t>
  </si>
  <si>
    <t>PAMUKKALE UNIVERSITY JOURNAL OF ENGINEERING SCIENCES-PAMUKKALE UNIVERSITESI MUHENDISLIK BILIMLERI DERGISI</t>
  </si>
  <si>
    <t>Dashboard; Supply chain management; Data mining; Artificial immune system</t>
  </si>
  <si>
    <t>PERFORMANCE; ANALYTICS</t>
  </si>
  <si>
    <t>Globalization and rapid developments in science and technology lead to an increase in competition and diffraction in the objectives in the production methods. In order to meet the rapidly changing and differentiated needs, manufacturing businesses are left against technological renewal. Especially usage of the data that is collected in electronic media and the ease of access to information forces businesses to review computer systems on point of production management. Visualization of the data analyzed in the databases is a suitable solution in the decision-making processes of the manufacturing companies. In this context, the dashboard is seen as a good support tool especially for the manufacturing businesses, at a fast and accurate decision-making point. This article represents a new model approach to accumulated analysis and its sharing for the manufacturing businesses by using the artificial immune system and data mining techniques under the title of the dashboard. In the model, data is increased and handled with clonal selection algorithm. In the analysis stage, the data is clustered with kmeans algorithm. The data are visualized by calculating the weighted average and the performance indicators. The visuals that have been obtained will be shared with an app which supports the decision makers with the dashboard rules. Our approach provides a new approaching model to unite, analyze and visualize the collections of data.</t>
  </si>
  <si>
    <t>[Yurtay, Yuksel] Sakarya Univ, Fac Comp &amp; Informat Sci, Comp Engn Dept, Sakarya, Turkey; [Ayanoglu, Murat] Sakarya Univ, Sakarya Business Sch, Prod Management &amp; Mkt Dept, Sakarya, Turkey</t>
  </si>
  <si>
    <t>Sakarya University; Sakarya University</t>
  </si>
  <si>
    <t>Yurtay, Y (corresponding author), Sakarya Univ, Fac Comp &amp; Informat Sci, Comp Engn Dept, Sakarya, Turkey.</t>
  </si>
  <si>
    <t>yyurtay@sakarya.edu.tr; ayan@sakarya.edu.tr</t>
  </si>
  <si>
    <t>YURTAY, Yüksel/Y-9565-2018; Ayanoğlu, Murat/IXW-5216-2023</t>
  </si>
  <si>
    <t>YURTAY, Yüksel/0000-0003-1814-3432; Ayanoğlu, Murat/0000-0002-3796-2102</t>
  </si>
  <si>
    <t>Kurumsal Yazilim ve Danismanlik company team</t>
  </si>
  <si>
    <t>We would like to thank the Kurumsal Yazilim ve Danismanlik company team for their support during the research and implementation phases.</t>
  </si>
  <si>
    <t>PAMUKKALE UNIV</t>
  </si>
  <si>
    <t>DENIZLI</t>
  </si>
  <si>
    <t>CAMPUS INCILIPINAR, DENIZLI, 20020, TURKEY</t>
  </si>
  <si>
    <t>1300-7009</t>
  </si>
  <si>
    <t>2147-5881</t>
  </si>
  <si>
    <t>PAMUKKALE U J ENG SC</t>
  </si>
  <si>
    <t>Pamukkale Univ. J. Eng. Sci.</t>
  </si>
  <si>
    <t>10.5505/pajes.2020.54522</t>
  </si>
  <si>
    <t>RI9AT</t>
  </si>
  <si>
    <t>WOS:000637198500007</t>
  </si>
  <si>
    <t>Sun, RJ; Liu, YT; Wang, L</t>
  </si>
  <si>
    <t>Sun, Runjia; Liu, Yutian; Wang, Liang</t>
  </si>
  <si>
    <t>An Online Generator Start-Up Algorithm for Transmission System Self-Healing Based on MCTS and Sparse Autoencoder</t>
  </si>
  <si>
    <t>IEEE TRANSACTIONS ON POWER SYSTEMS</t>
  </si>
  <si>
    <t>Deep learning; Monte Carlo tree search; power system restoration; self-healing</t>
  </si>
  <si>
    <t>POWER; RESTORATION; ALLOCATION; CAPABILITY; NETWORKS; STRATEGY</t>
  </si>
  <si>
    <t>Generator start-up is a pivotal step of transmission system self-healing after large-scale blackouts. Considering the uncertainty of initial power system situation after blackouts and line restoration during power system restoration, an online generator start-up algorithm based on Monte Carlo tree search (MCTS) and sparse autoencoder (SAE) is proposed for real-time decision making. First, an online decision support system and a generator start-up efficiency indicator involving the total generation capability and number of restored lines are proposed. Then, the SAE is deployed to learn the data relevant to generator start-up offline to establish a value network, which is used to rapidly estimate the optimal generator start-up efficiency indicator. Next, MCTS used for the online generator start-up is improved by the modified upper confidence bound apply to tree algorithm, move pruning technique, and value network. It is used to search the next line to be restored based on real-time situation. Finally, root parallelization computation is adopted and a decision-makingmethod is proposed to improve the reliability of decision making. Simulation results of the New England 10-unit 39-bus power system and Western Shandong Power Grid of China demonstrate that the proposed algorithm can accomplish generator start-up step by step reliably.</t>
  </si>
  <si>
    <t>[Sun, Runjia; Liu, Yutian] Shandong Univ, Key Lab Power Syst Intelligent Dispatch &amp; Control, Minist Educ, Jinan 250100, Shandong, Peoples R China; [Wang, Liang] Shandong Elect Power Dispatching &amp; Control Ctr, Jinan 250001, Shandong, Peoples R China</t>
  </si>
  <si>
    <t>Shandong University</t>
  </si>
  <si>
    <t>Liu, YT (corresponding author), Shandong Univ, Key Lab Power Syst Intelligent Dispatch &amp; Control, Minist Educ, Jinan 250100, Shandong, Peoples R China.</t>
  </si>
  <si>
    <t>sunrunjia@mail.sdu.edu.cn; liuyt@sdu.edu.cn; sapwl@hotmail.com</t>
  </si>
  <si>
    <t>Liu, Yutian/0000-0001-6932-5207</t>
  </si>
  <si>
    <t>National Key RAMP;D Program of China [2017YFB0902600]; Science and Technology Foundation of SGCC (Research on Key Substation Control Technology for Rapid Recovery of AC/DC Hybrid Power Grid)</t>
  </si>
  <si>
    <t>National Key RAMP;D Program of China; Science and Technology Foundation of SGCC (Research on Key Substation Control Technology for Rapid Recovery of AC/DC Hybrid Power Grid)</t>
  </si>
  <si>
    <t>This work was supported by the National Key R&amp;D Program of China under Grant 2017YFB0902600, and the Science and Technology Foundation of SGCC (Research on Key Substation Control Technology for Rapid Recovery of AC/DC Hybrid Power Grid). Paper no. TPWRS-00593-2018.</t>
  </si>
  <si>
    <t>0885-8950</t>
  </si>
  <si>
    <t>1558-0679</t>
  </si>
  <si>
    <t>IEEE T POWER SYST</t>
  </si>
  <si>
    <t>IEEE Trans. Power Syst.</t>
  </si>
  <si>
    <t>10.1109/TPWRS.2018.2890006</t>
  </si>
  <si>
    <t>HV5YY</t>
  </si>
  <si>
    <t>WOS:000466062200035</t>
  </si>
  <si>
    <t>Berger, ML; Doban, V</t>
  </si>
  <si>
    <t>Berger, Marc L.; Doban, Vitalii</t>
  </si>
  <si>
    <t>Big data, advanced analytics and the future of comparative effectiveness research</t>
  </si>
  <si>
    <t>JOURNAL OF COMPARATIVE EFFECTIVENESS RESEARCH</t>
  </si>
  <si>
    <t>advanced analytics; big data; data mining; electronic health records; machine learning</t>
  </si>
  <si>
    <t>The intense competition that accompanied the growth of internet-based companies ushered in the era of big data' characterized by major innovations in processing of very large amounts of data and the application of advanced analytics including data mining and machine learning. Healthcare is on the cusp of its own era of big data, catalyzed by the changing regulatory and competitive environments, fueled by growing adoption of electronic health records, as well as efforts to integrate medical claims, electronic health records and other novel data sources. Applying the lessons from big data pioneers will require healthcare and life science organizations to make investments in new hardware and software, as well as in individuals with different skills. For life science companies, this will impact the entire pharmaceutical value chain from early research to postcommercialization support. More generally, this will revolutionize comparative effectiveness research.</t>
  </si>
  <si>
    <t>[Berger, Marc L.; Doban, Vitalii] Pfizer Inc, Real World Data &amp; Analyt, New York, NY 10017 USA</t>
  </si>
  <si>
    <t>Pfizer</t>
  </si>
  <si>
    <t>Berger, ML (corresponding author), Pfizer Inc, Real World Data &amp; Analyt, 235 East 42nd St, New York, NY 10017 USA.</t>
  </si>
  <si>
    <t>marc.berger@pfizer.com</t>
  </si>
  <si>
    <t>FUTURE MEDICINE LTD</t>
  </si>
  <si>
    <t>UNITEC HOUSE, 3RD FLOOR, 2 ALBERT PLACE, FINCHLEY CENTRAL, LONDON, N3 1QB, ENGLAND</t>
  </si>
  <si>
    <t>2042-6305</t>
  </si>
  <si>
    <t>2042-6313</t>
  </si>
  <si>
    <t>J COMP EFFECT RES</t>
  </si>
  <si>
    <t>J. Comp. Eff. Res.</t>
  </si>
  <si>
    <t>10.2217/CER.14.2</t>
  </si>
  <si>
    <t>Health Care Sciences &amp; Services</t>
  </si>
  <si>
    <t>AD2CC</t>
  </si>
  <si>
    <t>WOS:000333039500014</t>
  </si>
  <si>
    <t>Hosseini, S; Ivanov, D</t>
  </si>
  <si>
    <t>Hosseini, Seyedmohsen; Ivanov, Dmitry</t>
  </si>
  <si>
    <t>Bayesian networks for supply chain risk, resilience and ripple effect analysis: A literature review</t>
  </si>
  <si>
    <t>Supply chain management; Supply chain resilience; Bayesian network; Machine learning; Ripple effect</t>
  </si>
  <si>
    <t>EXPERT KNOWLEDGE; DECISION-SUPPORT; BELIEF NETWORK; MANAGEMENT; FRAMEWORK; DISRUPTION; SELECTION; MODEL; FLEXIBILITY; INTEGRATION</t>
  </si>
  <si>
    <t>In the broad sense, the Bayesian networks (BN) are probabilistic graphical models that possess unique methodical features to model dependencies in complex networks, such as forward and backward propagation (inference) of disruptions. BNs have transitioned from an emerging topic to a growing research area in supply chain (SC) resilience and risk analysis. As a result, there is an acute need to review existing literature to ascertain recent developments and uncover future areas of research. Despite the increasing number of publications on BNs in the domain of SC uncertainty, an extensive review on their application to SC risk and resilience is lacking. To address this gap, we analyzed research articles published in peer-reviewed academic journals from 2007 to 2019 using network analysis, visualization-based scientometric analysis, and clustering analysis. Through this study, we contribute to literature by discussing the challenges of current research, and, more importantly, identifying and proposing future research directions. The results of our survey show that further debate on the theory and application of BNs to SC resilience and risk management is a significant area of interest for both academics and practitioners. The applications of BNs, and their conjunction with machine learning algorithms to solve big data SC problems relating to uncertainty and risk, are also discussed. (c) 2020 Elsevier Ltd. All rights reserved.</t>
  </si>
  <si>
    <t>[Hosseini, Seyedmohsen] Univ Southern Mississippi, Ind Engn Technol, Long Beach, MS 39560 USA; [Ivanov, Dmitry] Berlin Sch Econ &amp; Law, Supply Chain Management, Berlin, Germany</t>
  </si>
  <si>
    <t>University of Southern Mississippi; Berlin School of Economics &amp; Law</t>
  </si>
  <si>
    <t>Hosseini, S (corresponding author), Univ Southern Mississippi, Ind Engn Technol, Long Beach, MS 39560 USA.</t>
  </si>
  <si>
    <t>mohsen.hosseini@usm.edu; dmitry.ivanov@hwr-berlin.de</t>
  </si>
  <si>
    <t>10.1016/j.eswa.2020.113649</t>
  </si>
  <si>
    <t>NZ0LD</t>
  </si>
  <si>
    <t>WOS:000576782300001</t>
  </si>
  <si>
    <t>Uk, ZC; Basfirinci, C; Mitra, A</t>
  </si>
  <si>
    <t>Uk, Zuhal Cilingir; Basfirinci, Cigdem; Mitra, Amit</t>
  </si>
  <si>
    <t>Weighted Interpretive Structural Modeling for Supply Chain Risk Management: An Application to Logistics Service Providers in Turkey</t>
  </si>
  <si>
    <t>weighted interpretive structural modeling (WISM); supply chain risk management; logistics service providers; driving power; dependence power; Turkey</t>
  </si>
  <si>
    <t>PRIORITIZATION; PERFORMANCE; AHP; PERSPECTIVES; INTEGRATION; MITIGATION; NETWORKS</t>
  </si>
  <si>
    <t>Background: The aim of this paper is to introduce weighted interpretive structural modeling approach to supply chain risk management efforts by presenting an application to identify micro risks of logistics service providers at the industry level in Turkey. Methods: In this research, eighteen risk factors in the logistics sector have been identified through both literature review and recommendations from a group of academicians and experts in the sector. A survey was conducted to rank these risks. They were further analyzed through a weighted interpretive structural modeling (WISM) approach in order to demonstrate mutual relationships among these risks. Results: Finally, using a WISM approach, an analysis was conducted to identify the driving and dependence power of the risk factors. This study covers a variety of micro-risk factors of logistics service providers and demonstrates the relationships among them and clusters them based on their driving and dependence power. Conclusions: Such a clustering of the risk factors helps us identify those that affect the others and are of paramount importance in risk management and mitigation.</t>
  </si>
  <si>
    <t>[Uk, Zuhal Cilingir] Ondokuz Mayis Univ, Dept Tourism Management, TR-55440 Samsun, Turkey; [Basfirinci, Cigdem] Trabzon Univ, Dept Advertising &amp; Publ Relat, TR-61335 Trabzon, Turkey; [Mitra, Amit] Auburn Univ, Dept Syst &amp; Technol, Auburn, AL 36849 USA</t>
  </si>
  <si>
    <t>Ondokuz Mayis University; Trabzon University; Auburn University System; Auburn University</t>
  </si>
  <si>
    <t>Uk, ZC (corresponding author), Ondokuz Mayis Univ, Dept Tourism Management, TR-55440 Samsun, Turkey.</t>
  </si>
  <si>
    <t>zuhal.cilingir@omu.edu.tr</t>
  </si>
  <si>
    <t>Çilingir Ük, Zuhal/GWU-5362-2022</t>
  </si>
  <si>
    <t>Çilingir Ük, Zuhal/0000-0002-3271-7765</t>
  </si>
  <si>
    <t>10.3390/logistics6030057</t>
  </si>
  <si>
    <t>4U4TB</t>
  </si>
  <si>
    <t>WOS:000858787000001</t>
  </si>
  <si>
    <t>Kumar, A; Naz, F; Luthra, S; Vashistha, R; Kumar, V; Garza-Reyes, JA; Chhabra, D</t>
  </si>
  <si>
    <t>Kumar, Anil; Naz, Farheen; Luthra, Sunil; Vashistha, Rajat; Kumar, Vikas; Garza-Reyes, Jose Arturo; Chhabra, Deepak</t>
  </si>
  <si>
    <t>Digging DEEP: Futuristic building blocks of omni-channel healthcare supply chains resiliency using machine learning approach</t>
  </si>
  <si>
    <t>Healthcare supply chains; Omni -channel; Resilience; Omni -channel healthcare supply chains; resiliency; Machine learning</t>
  </si>
  <si>
    <t>DIGITAL TRANSFORMATION; PREDICTIVE ANALYTICS; BIG DATA; MANAGEMENT; LOGISTICS; INTEGRATION; TECHNOLOGY; PERFORMANCE; OPERATIONS; SYSTEMS</t>
  </si>
  <si>
    <t>There is a lack of studies which have explored the factors of omni-channel healthcare supply chain resiliency (OHSCR). Thus, the current study explores the resiliency factors of healthcare supply chains (HSCs) and the development of futuristic blocks of OHSCR. In the first phase of the study, the resiliency factors of HSCs were identified through an extensive literature review and expert interviews. In the second phase, a machine learning approach, i.e., K-means clustering, was used to develop the futuristic blocks of OHSCR. Lastly, in the third phase, implications and future research propositions were discussed. The findings of this study suggest that the healthcare sector evaluating OHSCR should focus on six key building blocks: data-driven management and transformative technological adoption, flexible and transparent organisational management system, robust and diversified supply chain system, responsible and customer-centric supply chain, information sharing and knowledge management, and strategic alignment and network ecosystem. A conceptual research framework is also proposed to support future research.</t>
  </si>
  <si>
    <t>[Kumar, Anil] London Metropolitan Univ, Guildhall Sch Business &amp; Law, London, England; [Naz, Farheen] Univ Stavanger, Business Sch, Stavanger, Norway; [Luthra, Sunil] All India Council Tech Educ AICTE, Training &amp; Learning Bur, New Delhi, India; [Vashistha, Rajat] Univ Queensland, ARC Training Ctr Innovat Biomed Imaging Technol, Brisbane, Australia; [Kumar, Vikas] Birmingham City Univ, Fac Business Law &amp; Social Sci, Birmingham, England; [Garza-Reyes, Jose Arturo] Univ Derby, Ctr Supply Chain Improvement, Kedleston Rd Campus, Derby, England; [Chhabra, Deepak] Maharshi Dayanand Univ, Dept Mech Engn, Rohtak, Haryana, India</t>
  </si>
  <si>
    <t>London Metropolitan University; Universitetet i Stavanger; University of Queensland; Birmingham City University; University of Derby; Maharshi Dayanand University</t>
  </si>
  <si>
    <t>Garza-Reyes, JA (corresponding author), Univ Derby, Ctr Supply Chain Improvement, Kedleston Rd Campus, Derby, England.</t>
  </si>
  <si>
    <t>a.kumar@londonmet.ac.uk; farheen.naz@uis.no; sunilluthra1977@gmail.com; rajat.mae@gmail.com; Vikas.Kumar@bcu.ac.uk; J.Reyes@derby.ac.uk; deepak.chhabra@mdurohtak.ac.in</t>
  </si>
  <si>
    <t>Garza-Reyes, Jose Arturo/ABD-5164-2021; Luthra, Sunil/D-4135-2014; Chhabra, Deepak/AAG-3845-2019</t>
  </si>
  <si>
    <t>Garza-Reyes, Jose Arturo/0000-0002-5493-877X; Luthra, Sunil/0000-0001-7571-1331; Chhabra, Deepak/0000-0002-3738-0153</t>
  </si>
  <si>
    <t>10.1016/j.jbusres.2023.113903</t>
  </si>
  <si>
    <t>Q0HR0</t>
  </si>
  <si>
    <t>WOS:001054410500001</t>
  </si>
  <si>
    <t>Rodger, JA</t>
  </si>
  <si>
    <t>Rodger, James A.</t>
  </si>
  <si>
    <t>Application of a Fuzzy Feasibility Bayesian Probabilistic Estimation of supply chain backorder aging, unfilled backorders, and customer wait time using stochastic simulation with Markov blankets</t>
  </si>
  <si>
    <t>Supply chain; Decision support system; Bayesian network; Backorder; Fuzzy logic; Markov blanket</t>
  </si>
  <si>
    <t>MANAGEMENT; NETWORKS; TECHNOLOGY; METRICS; SYSTEM; MODEL; RULE</t>
  </si>
  <si>
    <t>Because supply chains are complex systems prone to uncertainty, statistical analysis is a useful tool for capturing their dynamics. Using data on acquisition history and data from case study reports, we used regression analysis to predict backorder aging using National Item Identification Numbers (NIINs) as unique identifiers. More than 56,000 NIINs were identified and used in the analysis. Bayesian analysis was then used to further investigate the NIIN component variables. The results indicated that it is statistically feasible to predict whether an individual NIIN has the propensity to become a backordered item. This paper describes the structure of a Bayesian network from a real-world supply chain data set and then determines a posterior probability distribution for backorders using a stochastic simulation based on Markov blankets. Fuzzy clustering was used to produce a funnel diagram that demonstrates that the Acquisition Advice Code, Acquisition Method Suffix Code, Acquisition Method Code, and Controlled Inventory Item Code backorder performance metric of a trigger group dimension may change dramatically with variations in administrative lead time, production lead time, unit price, quantity ordered, and stock. Triggers must be updated regularly and smoothly to keep up with the changing state of the supply chain backorder trigger clusters of market sensitiveness, collaborative process integration, information drivers, and flexibility. (C) 2014 Elsevier Ltd. All rights reserved.</t>
  </si>
  <si>
    <t>Indiana Univ Penn, MIS &amp; Decis Sci, Eberly Coll Business &amp; Informat Technol, Indiana, PA 15705 USA</t>
  </si>
  <si>
    <t>Pennsylvania State System of Higher Education (PASSHE); Indiana University of Pennsylvania</t>
  </si>
  <si>
    <t>Rodger, JA (corresponding author), Indiana Univ Penn, MIS &amp; Decis Sci, Eberly Coll Business &amp; Informat Technol, Indiana, PA 15705 USA.</t>
  </si>
  <si>
    <t>jrodger@iup.edu</t>
  </si>
  <si>
    <t>Rodger, James A./C-8313-2019</t>
  </si>
  <si>
    <t>Rodger, James A./0000-0002-4580-3902</t>
  </si>
  <si>
    <t>NOV 15</t>
  </si>
  <si>
    <t>10.1016/j.eswa.2014.05.012</t>
  </si>
  <si>
    <t>AN6FG</t>
  </si>
  <si>
    <t>WOS:000340689700004</t>
  </si>
  <si>
    <t>Kumar, A; Anis, M</t>
  </si>
  <si>
    <t>Kumar, Akhilesh; Anis, Mohab</t>
  </si>
  <si>
    <t>IR-Drop Aware Clustering Technique for Robust Power Grid in FPGAs</t>
  </si>
  <si>
    <t>IEEE TRANSACTIONS ON VERY LARGE SCALE INTEGRATION (VLSI) SYSTEMS</t>
  </si>
  <si>
    <t>Computer-aided design (CAD); field-programmable gate array (FPGA); power grid; reliability; voltage drop</t>
  </si>
  <si>
    <t>OPTIMIZATION</t>
  </si>
  <si>
    <t>IR-drop management in the power supply network of a chip is one of the critical design challenges in nanometer VLSI circuits. Techniques developed for application-specific integrated circuits cannot be directly applied for IR drop management in field-programmable gate arrays (FPGAs) because of the programmable nature of FPGAs. This paper proposes a novel clustering technique for improving the supply voltage profile in power grid of FPGAs. The proposed clustering technique not only improves the minimum voltage at any node in the circuit, but also reduces the variance in supply voltage across the nodes in the power grid. Results indicate that a reduction of up to 36% in IR-drop and 27% in spatial V-dd variation can be achieved using the proposed clustering technique.</t>
  </si>
  <si>
    <t>[Kumar, Akhilesh; Anis, Mohab] Univ Waterloo, Dept Elect &amp; Comp Engn, Waterloo, ON N2L 3G1, Canada</t>
  </si>
  <si>
    <t>University of Waterloo</t>
  </si>
  <si>
    <t>Kumar, A (corresponding author), Univ Waterloo, Dept Elect &amp; Comp Engn, Waterloo, ON N2L 3G1, Canada.</t>
  </si>
  <si>
    <t>a5kumar@vlsi.uwaterloo.ca; manis@vlsi.uwaterloo.ca</t>
  </si>
  <si>
    <t>1063-8210</t>
  </si>
  <si>
    <t>1557-9999</t>
  </si>
  <si>
    <t>IEEE T VLSI SYST</t>
  </si>
  <si>
    <t>IEEE Trans. Very Large Scale Integr. (VLSI) Syst.</t>
  </si>
  <si>
    <t>10.1109/TVLSI.2010.2047123</t>
  </si>
  <si>
    <t>Computer Science, Hardware &amp; Architecture; Engineering, Electrical &amp; Electronic</t>
  </si>
  <si>
    <t>783QI</t>
  </si>
  <si>
    <t>WOS:000292098600006</t>
  </si>
  <si>
    <t>Barrera, F; Segura, M; Maroto, C</t>
  </si>
  <si>
    <t>Barrera, Felipe; Segura, Marina; Maroto, Concepcion</t>
  </si>
  <si>
    <t>Multicriteria sorting method based on global and local search for supplier segmentation</t>
  </si>
  <si>
    <t>supplier segmentation; multicriteria sorting; global search; local search; PROMETHEE; supply chain management</t>
  </si>
  <si>
    <t>DATA ENVELOPMENT ANALYSIS; DECISION-ANALYSIS; SELECTION; CLASSIFICATION; FUZZY; SUPPORT; RISK; MANAGEMENT; AHPSORT; SYSTEM</t>
  </si>
  <si>
    <t>The aim of this research is to develop a robust multicriteria method to classify suppliers into ordered categories and its validation in real contexts. The proposed technique is based on a property of net flows of the PROMETHEE method and uses global and local search concepts, which are common in the optimisation field. The results obtained are compared to those from the most cited sorting algorithm, and an empirical validation and sensitivity analysis is performed using real supplier evaluation data. Furthermore, it does not require additional information from decision-makers as other sorting algorithms do for assigning incomparable or indifferent alternatives to groups. An extension of the silhouette concept from data mining is also contributed to measure the quality of ordered classes. Both contributions are easy to apply and integrate into decision support systems for automated decisions in the supply chain management. Finally, this practical approach is also useful to classify customers and any type of alternatives or actions into ordered categories, which have an increasing number of real applications.</t>
  </si>
  <si>
    <t>[Barrera, Felipe; Maroto, Concepcion] Univ Politecn Valencia, Dept Appl Stat &amp; Operat Res &amp; Qual, Camino Vera S-N, Valencia 46022, Spain; [Segura, Marina] Univ Complutense Madrid, Dept Financial &amp; Actuarial Econ &amp; Stat, Campus Somosaguas, Madrid 28223, Spain</t>
  </si>
  <si>
    <t>Universitat Politecnica de Valencia; Complutense University of Madrid</t>
  </si>
  <si>
    <t>Segura, M (corresponding author), Univ Complutense Madrid, Dept Financial &amp; Actuarial Econ &amp; Stat, Campus Somosaguas, Madrid 28223, Spain.</t>
  </si>
  <si>
    <t>ivbarji@posgrado.upv.es; marina.segura@ucm.es; cmaroto@eio.upv.es</t>
  </si>
  <si>
    <t>BARRERA JIMENEZ, IVAN FELIPE/IVH-8801-2023; Segura, Marina/M-2581-2019</t>
  </si>
  <si>
    <t>BARRERA JIMENEZ, IVAN FELIPE/0000-0003-3236-6966; Segura, Marina/0000-0002-6068-960X</t>
  </si>
  <si>
    <t>2023 MAR 25</t>
  </si>
  <si>
    <t>10.1111/itor.13288</t>
  </si>
  <si>
    <t>A0QR3</t>
  </si>
  <si>
    <t>WOS:000952267100001</t>
  </si>
  <si>
    <t>Siche, R; Siche, N</t>
  </si>
  <si>
    <t>Siche, Raul; Siche, Nikol</t>
  </si>
  <si>
    <t>The language model based on sensitive artificial intelligence-ChatGPT: Bibliometric analysis and possible uses in agriculture and livestock</t>
  </si>
  <si>
    <t>SCIENTIA AGROPECUARIA</t>
  </si>
  <si>
    <t>autoregressive language model; deep learning; text production; text mining; data mining; artificial intelligence; chatbot</t>
  </si>
  <si>
    <t>ChatGPT adds to the list of artificial intelligence-based systems designed to perform specific tasks and answer questions by interacting with ChatGPT works using OpenAI's GPT (Generative Pretrained Transformer) language model and is capable of learning from users' preferences scientific writing, communication, cell biology, and biotechnology, where there is already evidence. The aim of this work was to analyze the question: What are the main applications in which ChatGTP will revolutionize agriculture (or livestock) in the world? ChatGPT responded: (a) in the agricultural field: improvement of agricultural decision-making, optimization of agricultural production, detection and prevention of plant diseases, climate management, and supply chain management; and (b) in the livestock field: improvement of animal health and welfare, optimization of animal production, supply chain management, detection and prevention of zoonotic diseases, and climate is enough scientific evidence to conclude, in this case, that its answers were correct. While ChatGPT does not necessarily scientifically substantiate its answers, users should. There is a lack of studies on the use of Artificial Intelligence and its relationship with ethics.</t>
  </si>
  <si>
    <t>[Siche, Raul; Siche, Nikol] Univ Nacl Trujillo, Escuela Ingn Agroind, Fac Ciencias Agr, Trujillo, Peru; Univ Nacl Trujillo, Escuela Ingn Zootecnia, Fac Ciencias Agr, Trujillo, Peru</t>
  </si>
  <si>
    <t>Universidad Nacional de Trujillo; Universidad Nacional de Trujillo</t>
  </si>
  <si>
    <t>Siche, R (corresponding author), Univ Nacl Trujillo, Escuela Ingn Agroind, Fac Ciencias Agr, Trujillo, Peru.</t>
  </si>
  <si>
    <t>rsiche@unitru.edu.pe</t>
  </si>
  <si>
    <t>UNIV NACL TRUJILLO, FAC CIENCIAS AGROPECUARIAS</t>
  </si>
  <si>
    <t>TRUJILLO</t>
  </si>
  <si>
    <t>AV JUAN PABLO II S-N, TRUJILLO, 00000, PERU</t>
  </si>
  <si>
    <t>2077-9917</t>
  </si>
  <si>
    <t>2306-6741</t>
  </si>
  <si>
    <t>SCI AGROPEC</t>
  </si>
  <si>
    <t>Sci. Agropecu.</t>
  </si>
  <si>
    <t>10.17268/sci.agropecu.2023.010</t>
  </si>
  <si>
    <t>Agriculture, Dairy &amp; Animal Science</t>
  </si>
  <si>
    <t>E5HW5</t>
  </si>
  <si>
    <t>WOS:000975859700010</t>
  </si>
  <si>
    <t>Caballero-Morales, SO</t>
  </si>
  <si>
    <t>Caballero-Morales, Santiago-Omar</t>
  </si>
  <si>
    <t>Solution strategy based on Gaussian mixture models and dispersion reduction for the capacitated centered clustering problem</t>
  </si>
  <si>
    <t>Capacitated centered clustering problem; Gaussian mixture models; Dispersion reduction; Expectation-maximization</t>
  </si>
  <si>
    <t>ALGORITHM; LAYOUT; METHODOLOGY</t>
  </si>
  <si>
    <t>The Capacitated Centered Clustering Problem (CCCP)-a multi-facility location model-is very important within the logistics and supply chain management fields due to its impact on industrial transportation and distribution. However, solving the CCCP is a challenging task due to its computational complexity. In this work, a strategy based on Gaussian mixture models (GMMs) and dispersion reduction is presented to obtain the most likely locations of facilities for sets of client points considering their distribution patterns. Experiments performed on large CCCP instances, and considering updated best-known solutions, led to estimate the performance of the GMMs approach, termed as Dispersion Reduction GMMs, with a mean error gap smaller than 2.6%. This result is more competitive when compared to Variable Neighborhood Search, Simulated Annealing, Genetic Algorithm and CKMeans and faster to achieve when compared to the best-known solutions obtained by Tabu-Search and Clustering Search.</t>
  </si>
  <si>
    <t>[Caballero-Morales, Santiago-Omar] Univ Popular Autonoma Estado Puebla, Postgrad Dept Logist &amp; Supply Chain Management, Puebla, Mexico</t>
  </si>
  <si>
    <t>Universidad Popular Autonoma del Estado de Puebla</t>
  </si>
  <si>
    <t>Caballero-Morales, SO (corresponding author), Univ Popular Autonoma Estado Puebla, Postgrad Dept Logist &amp; Supply Chain Management, Puebla, Mexico.</t>
  </si>
  <si>
    <t>santiagoomar.caballero@upaep.mx</t>
  </si>
  <si>
    <t>FEB 3</t>
  </si>
  <si>
    <t>e332</t>
  </si>
  <si>
    <t>10.7717/peerj-cs.332</t>
  </si>
  <si>
    <t>QE3LM</t>
  </si>
  <si>
    <t>WOS:000616110700001</t>
  </si>
  <si>
    <t>Wang, KS</t>
  </si>
  <si>
    <t>Wang, Ke-Sheng</t>
  </si>
  <si>
    <t>Intelligent and integrated RFID (II-RFID) system for improving traceability in manufacturing</t>
  </si>
  <si>
    <t>Radio frequency identification (RFID); Intelligent manufacturing; Traceability; Visibility; System integration; Intelligent decision support systems</t>
  </si>
  <si>
    <t>SUPPLY CHAIN</t>
  </si>
  <si>
    <t>In the wake of globalization, many modern manufacturing companies in Norway have come under intense pressure caused by increased competition, stricter government regulation, and customer demand for higher value at low cost in a short time. Manufacturing companies need traceability, which means a real-time view into their production processes and operations. Radio frequency identification (RFID) technology enables manufacturing companies to gain instant traceability and visibility because it handles manufactured goods, materials and processes transparently. RFID has become an important driver in manufacturing and supply chain activities. However, there is still a challenge in effectively deploying RFID in manufacturing. This paper describes the importance for Norwegian manufacturing companies to implement RFID technology, and shows how the intelligent and integrated RFID (II-RFID) system, which has been developed in the Knowledge Discovery Laboratory of Norwegian University of Science and Technology, provides instant traceability and visibility into manufacturing processes. It supports the Norwegian manufacturing industries survive and thrive in global competition. The future research work will focus on the field of RFID data mining to support decision-making process in manufacturing.</t>
  </si>
  <si>
    <t>[Wang, Ke-Sheng] Shanghai Univ, Shanghai Key Lab Intelligent Mfg &amp; Robot, Shanghai 200072, Peoples R China; [Wang, Ke-Sheng] Norwegian Univ Sci &amp; Technol, Knowledge Discovery Lab, Dept Prod &amp; Qual Engn, N-7491 Trondheim, Norway</t>
  </si>
  <si>
    <t>Shanghai University; Norwegian University of Science &amp; Technology (NTNU)</t>
  </si>
  <si>
    <t>Wang, KS (corresponding author), Shanghai Univ, Shanghai Key Lab Intelligent Mfg &amp; Robot, Shanghai 200072, Peoples R China.</t>
  </si>
  <si>
    <t>kesheng.wang@ntnu.no</t>
  </si>
  <si>
    <t>10.1007/s40436-014-0053-6</t>
  </si>
  <si>
    <t>V82HL</t>
  </si>
  <si>
    <t>WOS:000212308800003</t>
  </si>
  <si>
    <t>Jha, RK; Sahay, BS; Chattopadhyay, M; Gajpal, Y</t>
  </si>
  <si>
    <t>Jha, R. K.; Sahay, B. S.; Chattopadhyay, Manojit; Gajpal, Yuvraj</t>
  </si>
  <si>
    <t>A visual approach to enhance coordination among diagnostic units using self-organizing map</t>
  </si>
  <si>
    <t>DECISION</t>
  </si>
  <si>
    <t>Self-organizing map; Visual clustering; Patient-diagnostic cluster unit; Grouping efficiency; Group technology efficiency</t>
  </si>
  <si>
    <t>GROUP-TECHNOLOGY; CELL-FORMATION; PATIENT-CARE; SUPPLY CHAIN; MODEL</t>
  </si>
  <si>
    <t>The paper presents a modified visual clustering method for patients visiting diagnostic units (DUs) using self-organizing map approach. The clustering of patients in homogenous groups helps healthcare managers in efficient scheduling of patients in each homogenous group such that their waiting time can be minimized. The grouping of patients would also help in enhancing coordination among diagnostic units (DUs). Modified Kohonen's self-organizing map (SOM) was used to solve the visual clustering problem. Two distinct cases for patients visiting diagnostic units of clustering problems were solved in this paper. In the first case, patients are allowed to visit DU's in any order of sequence. In the second case, patients are allowed to visit DUs based on a predefined sequence. Numerical experiments were conducted using randomly generated data sets. Finally, performance of modified visual SOM approach was measured using grouping efficiency for the first case and group technology efficiency for the second case.</t>
  </si>
  <si>
    <t>[Jha, R. K.; Sahay, B. S.; Chattopadhyay, Manojit] Indian Inst Management Raipur, GEC Campus, Raipur 492015, Madhya Pradesh, India; [Gajpal, Yuvraj] Univ Manitoba, Asper Sch Business, Winnipeg, MB R3T 5V4, Canada</t>
  </si>
  <si>
    <t>Indian Institute of Management (IIM System); Indian Institute of Management Raipur; University of Manitoba</t>
  </si>
  <si>
    <t>Jha, RK (corresponding author), Indian Inst Management Raipur, GEC Campus, Raipur 492015, Madhya Pradesh, India.</t>
  </si>
  <si>
    <t>rohan.fpm2013@iimraipur.ac.in; bssahay@iimraipur.ac.in; mchattopadhyay@iimraipur.ac.in; gajpaly@gmail.com</t>
  </si>
  <si>
    <t>Gajpal, Yuvraj/AAN-3471-2020</t>
  </si>
  <si>
    <t>Gajpal, Yuvraj/0000-0002-7105-8926</t>
  </si>
  <si>
    <t>0304-0941</t>
  </si>
  <si>
    <t>2197-1722</t>
  </si>
  <si>
    <t>Decision</t>
  </si>
  <si>
    <t>10.1007/s40622-017-0170-8</t>
  </si>
  <si>
    <t>FZ9BD</t>
  </si>
  <si>
    <t>WOS:000427903700003</t>
  </si>
  <si>
    <t>Sherif, SU; Sasikumar, P; Asokan, P; Jerald, J</t>
  </si>
  <si>
    <t>Sherif, S. Umar; Sasikumar, P.; Asokan, P.; Jerald, J.</t>
  </si>
  <si>
    <t>An eco-friendly closed loop supply chain network with multi-facility allocated centralized depots for bidirectional flow in a battery manufacturing industry</t>
  </si>
  <si>
    <t>JOURNAL OF ADVANCES IN MANAGEMENT RESEARCH</t>
  </si>
  <si>
    <t>CO2 emission; Battery industry; Bidirectional flow; Closed loop supply chain network; Clustering algorithm</t>
  </si>
  <si>
    <t>CARBON FOOTPRINT; DESIGN; OPTIMIZATION; MODEL; SYSTEM; SELECTION; COSTS</t>
  </si>
  <si>
    <t>Purpose Due to the economic benefits and environmental awareness, most of the battery manufacturing industries in India are interested to redesign their existing supply chain network or to incorporate the effective closed loop supply chain network (CLSCN). The purpose of this paper is to develop CLSCN model with eco-friendly distribution network and also enhance recycling to utilize recycled lead for new battery production. The existing CLSCN model of a battery manufacturing industry considered for case study is customized for attaining economic benefit and environmental safety. Hence, single objective, multi-echelon, multi-period and multi-product CLSCN model with centralized depots (CD) is developed in this work to maximize the profit and reduce the emission of CO2 in transportation. Design/methodology/approach The proposed CD has the facility to store new batteries (NB), scrap batteries (SB) and lead ingot. The objective of the proposed research work is to identify potential location of CD using K-means clustering algorithm, to allocate facilities with CD using multi-facility allocation (MFA) algorithm and to minimize overall travel distance by allowing bidirectional flow of materials and products between facilities. The proposed eco-friendly CLSCN-CD model is solved using GAMS 23.5 for optimal solutions. Findings The performance of the proposed model is validated by comparing with existing model. The evaluation reveals that the proposed model is better than the existing model. The sensitivity analysis is demonstrated with different rate of return of SB, different proportion of recycled lead and different type of vehicles, which will help the management to take appropriate decision in the context of cost savings. Originality/value This research work has proposed single objective, multi echelon, multi period and multi product CLSCN-CD model in the battery manufacturing industry to maximize the profit and reduce the CO2 emission in transportation, by enhancing the bidirectional flow of materials/products between facilities of entire model.</t>
  </si>
  <si>
    <t>[Sherif, S. Umar; Asokan, P.; Jerald, J.] Natl Inst Technol, Dept Prod Engn, Tiruchirappalli, Tamil Nadu, India; [Sasikumar, P.] Higher Coll Technol, Dept Ind Engn Technol, Abu Dhabi Womens Campus, Abu Dhabi, U Arab Emirates</t>
  </si>
  <si>
    <t>National Institute of Technology (NIT System); National Institute of Technology Tiruchirappalli; Higher Colleges of Technology - United Arab Emirates</t>
  </si>
  <si>
    <t>Sherif, SU (corresponding author), Natl Inst Technol, Dept Prod Engn, Tiruchirappalli, Tamil Nadu, India.</t>
  </si>
  <si>
    <t>sherif.umar@gmail.com</t>
  </si>
  <si>
    <t>Jayaraj, Jerald/AAY-4442-2021; Perumal, Sasikumar/F-7434-2017</t>
  </si>
  <si>
    <t>Perumal, Sasikumar/0000-0002-1149-8313</t>
  </si>
  <si>
    <t>0972-7981</t>
  </si>
  <si>
    <t>2049-3207</t>
  </si>
  <si>
    <t>J ADV MANAG RES</t>
  </si>
  <si>
    <t>J. Adv. Manag. Res.</t>
  </si>
  <si>
    <t>10.1108/JAMR-04-2019-0053</t>
  </si>
  <si>
    <t>KC1MG</t>
  </si>
  <si>
    <t>WOS:000506950100001</t>
  </si>
  <si>
    <t>Raza, SA</t>
  </si>
  <si>
    <t>Raza, Syed Asif</t>
  </si>
  <si>
    <t>A systematic literature review of RFID in supply chain management</t>
  </si>
  <si>
    <t>RFID; Supply chain; Bibliometric analysis; Systematic literature review; Network analysis; Cocitation analysis; Multivariate analysis; Clustering; Factor analysis</t>
  </si>
  <si>
    <t>RADIO-FREQUENCY IDENTIFICATION; INVENTORY RECORD INACCURACY; RETAIL STORES; DYNAMIC CAPABILITIES; BUSINESS VALUE; EPC NETWORK; TECHNOLOGY; IMPACT; INFORMATION; IMPLEMENTATION</t>
  </si>
  <si>
    <t>Purpose The findings of this paper throw light on the focal research areas within RFID in the supply chain, which serves as an effective guideline for future research in this area. This research, therefore, contributes to filling the gap by carrying out an SLR of contemporary research studies in the area of RFID applications in supply chains. To date, SLR augmented with BA has not been used to study the developments in RFID applications in supply chains. Design/methodology/approach We analyze 556 articles from years 2001 to date using Systematic Literature Review (SLR). Contemporary bibliometric analysis (BA) tools are utilized. First, an exploratory analysis is carried, out revealing influential authors, sources, regions, among other key aspects. Second, a co-citation work analysis is utilized to understand the conceptual structure of the literature, followed by a dynamic co-citation network to reveal the evolution of the field. This is followed by a multivariate analysis is performed on top-100 cited papers, and k-means clustering is carried out to find optimal groups and identify research themes. The influential themes are then pointed out using factor analysis. Findings An exploratory analysis is carried out using BA tools to provide insights into factors such as influential authors, production countries, top-cited papers and frequent keywords. Visualization of bibliographical data using co-citation network analysis and keyword co-occurrence analysis assisted in understanding the groups (communities) of research themes. We employed k-means clustering and factor analysis methods to further develop these insights. A historiographical direct citation analysis also unveils potential research directions. We observe that RFID applications in the supply chain are likely to benefit from the Internet of Things and blockchain Technology along with the other machine learning and visualization approaches. Originality/value Although several researchers have researched RFID literature in relation to supply chains, these reviews are often conducted in the traditional manner where the author(s) select paper based on their area of expertise, interest and experience. Limitation of such reviews includes authors' selection bias of studies to be included and limited or no use of advanced BA tools for analysis. This study fills this research gap by conducting an SLR of RFID in supply chains to identify important research trends in this field through the use of advanced BA tools.</t>
  </si>
  <si>
    <t>[Raza, Syed Asif] Sultan Qaboos Univ, Dept Operat Management &amp; Business Stat, Muscat, Oman</t>
  </si>
  <si>
    <t>Sultan Qaboos University</t>
  </si>
  <si>
    <t>Raza, SA (corresponding author), Sultan Qaboos Univ, Dept Operat Management &amp; Business Stat, Muscat, Oman.</t>
  </si>
  <si>
    <t>syed@squ.edu.om</t>
  </si>
  <si>
    <t>Raza, Syed Asif/M-9467-2019</t>
  </si>
  <si>
    <t>Raza, Syed Asif/0000-0003-2992-0671</t>
  </si>
  <si>
    <t>MAR 8</t>
  </si>
  <si>
    <t>10.1108/JEIM-08-2020-0322</t>
  </si>
  <si>
    <t>ZQ1YV</t>
  </si>
  <si>
    <t>WOS:000660361800001</t>
  </si>
  <si>
    <t>Ye, Y; Ge, YQ</t>
  </si>
  <si>
    <t>Ye, Yong; Ge, Yuanqin</t>
  </si>
  <si>
    <t>A bibliometric analysis of inventory management research based on knowledge mapping</t>
  </si>
  <si>
    <t>ELECTRONIC LIBRARY</t>
  </si>
  <si>
    <t>Inventory management; Bibliometric analysis; Co-citation analysis; Knowledge mapping</t>
  </si>
  <si>
    <t>SUPPLY CHAIN; MODEL; PRICE; POLICY; DISCOUNT; QUANTITY; SYSTEM; TIME; DISTRIBUTIONS; OPTIMIZATION</t>
  </si>
  <si>
    <t>Purpose The research mainly aims at the hotspot of inventory management by knowledge mapping and provides a visualization reference in this research field. Design/methodology/approach First, inventory management journals during 1986 to 2017 were selected as the research object and text formatting in the Web of Science (WOS) database is exported. Then inventory management knowledge mapping is done and clustering keywords are extracted by using CiteSpace and VOSviewer software. Based on co-word analysis, the three special clusters are exported: inventory optimization strategy, inventory pricing and inventory technology. Besides, the clustering structure and time evolution are analysed. Finally, bibliographic item co-occurrence matrix builder (BICOMB) was used to extract the journal and researchers keywords in the inventory management research fields. Setting three parameters such as the cited half-life, centrality, frequency and keywords for data mining, it can infer the trend keywords of future research. Findings Results showed that inventory management research has been abundant in literature over the past 30 years and has experienced a change from focusing on inventory optimization strategy to inventory pricing and inventory technology in process. It shows that inventory management research focused on the classic topics and includes economic order quantity, dynamic pricing, design and technology, and the new topics include channel coordination, hierarchical price and simulation. Research limitations/implications Based on knowledge mapping, this study is still relatively macro and cannot cover all areas of inventory management. This study only investigated the state of correlational research in WOS and Google Trends and not additional databases. Originality/value The current research mainly builds on knowledge mapping for the research hotspot of inventory management and provides visual references for future research in this field.</t>
  </si>
  <si>
    <t>[Ye, Yong] Anhui Agr Univ, Dept Logist Engn, Hefei, Anhui, Peoples R China; [Ge, Yuanqin] Panyapiwat Inst Management, Chinese Grad Sch, Ctr Chinese Grad Students, Nonthaburi, Thailand</t>
  </si>
  <si>
    <t>Anhui Agricultural University</t>
  </si>
  <si>
    <t>Ge, YQ (corresponding author), Panyapiwat Inst Management, Chinese Grad Sch, Ctr Chinese Grad Students, Nonthaburi, Thailand.</t>
  </si>
  <si>
    <t>114656863@qq.com; gyqyanjiusheng@163.com</t>
  </si>
  <si>
    <t>Ge, Yuanqin/0000-0003-2266-6164</t>
  </si>
  <si>
    <t>Anhui Provincial High School Provincial Quality Engineering Project [2016jyxm0308]; National Natural Science Foundation of China [31371533, 31771679, 71771003]; Natural Science Foundation of Anhui Province, China [1808085MG215]</t>
  </si>
  <si>
    <t>Anhui Provincial High School Provincial Quality Engineering Project; National Natural Science Foundation of China(National Natural Science Foundation of China (NSFC)); Natural Science Foundation of Anhui Province, China(Natural Science Foundation of Anhui Province)</t>
  </si>
  <si>
    <t>This work was supported by Anhui Provincial High School Provincial Quality Engineering Project (2016jyxm0308), the National Natural Science Foundation of China (No. 31371533, No. 31771679, No. 71771003) and the Natural Science Foundation of Anhui Province, China (No. 1808085MG215).</t>
  </si>
  <si>
    <t>0264-0473</t>
  </si>
  <si>
    <t>1758-616X</t>
  </si>
  <si>
    <t>ELECTRON LIBR</t>
  </si>
  <si>
    <t>Electron. Libr.</t>
  </si>
  <si>
    <t>10.1108/EL-11-2017-0241</t>
  </si>
  <si>
    <t>HZ7QL</t>
  </si>
  <si>
    <t>WOS:000469048300009</t>
  </si>
  <si>
    <t>Ali, MM; Hashim, N; Abd Aziz, S; Lasekan, O</t>
  </si>
  <si>
    <t>Mohd Ali, Maimunah; Hashim, Norhashila; Abd Aziz, Samsuzana; Lasekan, Ola</t>
  </si>
  <si>
    <t>Utilisation of Deep Learning with Multimodal Data Fusion for Determination of Pineapple Quality Using Thermal Imaging</t>
  </si>
  <si>
    <t>deep learning; thermal imaging; fruit quality; convolutional neural network; multimodal data fusion</t>
  </si>
  <si>
    <t>Fruit quality is an important aspect in determining the consumer preference in the supply chain. Thermal imaging was used to determine different pineapple varieties according to the physicochemical changes of the fruit by means of the deep learning method. Deep learning has gained attention in fruit classification and recognition in unimodal processing. This paper proposes a multimodal data fusion framework for the determination of pineapple quality using deep learning methods based on the feature extraction acquired from thermal imaging. Feature extraction was selected from the thermal images that provided a correlation with the quality attributes of the fruit in developing the deep learning models. Three different types of deep learning architectures, including ResNet, VGG16, and InceptionV3, were built to develop the multimodal data fusion framework for the classification of pineapple varieties based on the concatenation of multiple features extracted by the robust networks. The multimodal data fusion coupled with powerful convolutional neural network architectures can remarkably distinguish different pineapple varieties. The proposed multimodal data fusion framework provides a reliable determination of fruit quality that can improve the recognition accuracy and the model performance up to 0.9687. The effectiveness of multimodal deep learning data fusion and thermal imaging has huge potential in monitoring the real-time determination of physicochemical changes of fruit.</t>
  </si>
  <si>
    <t>[Mohd Ali, Maimunah; Hashim, Norhashila; Abd Aziz, Samsuzana] Univ Putra Malaysia, Fac Engn, Dept Biol &amp; Agr Engn, Serdang 43400, Selangor, Malaysia; [Hashim, Norhashila; Abd Aziz, Samsuzana] Univ Putra Malaysia, Fac Engn, SMART Farming Technol Res Ctr, Serdang 43400, Selangor, Malaysia; [Lasekan, Ola] Univ Putra Malaysia, Fac Food Sci &amp; Technol, Dept Food Technol, Serdang 43400, Selangor, Malaysia</t>
  </si>
  <si>
    <t>Universiti Putra Malaysia; Universiti Putra Malaysia; Universiti Putra Malaysia</t>
  </si>
  <si>
    <t>Hashim, N (corresponding author), Univ Putra Malaysia, Fac Engn, Dept Biol &amp; Agr Engn, Serdang 43400, Selangor, Malaysia.;Hashim, N (corresponding author), Univ Putra Malaysia, Fac Engn, SMART Farming Technol Res Ctr, Serdang 43400, Selangor, Malaysia.</t>
  </si>
  <si>
    <t>norhashila@upm.edu.my</t>
  </si>
  <si>
    <t>Hashim, Norhashila/J-2104-2016; MOHD ALI, MAIMUNAH/T-6781-2019</t>
  </si>
  <si>
    <t>Hashim, Norhashila/0000-0002-9063-5960; MOHD ALI, MAIMUNAH/0000-0002-4465-9769; Lasekan, ola/0000-0001-7204-5302</t>
  </si>
  <si>
    <t>10.3390/agronomy13020401</t>
  </si>
  <si>
    <t>9G3MS</t>
  </si>
  <si>
    <t>WOS:000938061400001</t>
  </si>
  <si>
    <t>Li, G; Quan, W</t>
  </si>
  <si>
    <t>Feng, L; Wang, G; Zeng, C; Huang, R</t>
  </si>
  <si>
    <t>Li, Gang; Quan, Wei</t>
  </si>
  <si>
    <t>Aggregated framework of enterprise information system based on synergic theory</t>
  </si>
  <si>
    <t>WEB INFORMATION SYSTEMS - WISE 2006 WORKSHOPS, PROCEEDINGS</t>
  </si>
  <si>
    <t>7th International Conference on Web Information Systems Engineering</t>
  </si>
  <si>
    <t>OCT 23-26, 2006</t>
  </si>
  <si>
    <t>Wuhan Univ, Wuhan, PEOPLES R CHINA</t>
  </si>
  <si>
    <t>Wuhan Univ</t>
  </si>
  <si>
    <t>aggregation of information system synergic theory EIP; E-Commerce</t>
  </si>
  <si>
    <t>Based on synergic theory and integrated method, this paper aims to find out the proper solution for the aggregated information systems in manufacture enterprises. It puts forward the integration framework of information system according to synergic theory, which is based on the technology of Data Mining and Web Services. And it includes 2 parts: the inner synergic framework such as EIP, and the outer one such as E-Commerce platform. The whole framework enhances the efficiency of communication and information transfer in (an) enterprise. Meanwhile, it also ensures that enterprise will be value-added by means of improving the performance of information collection and transference in the sectors of supply chain.</t>
  </si>
  <si>
    <t>Wuhan Univ, Informat Management Sch, Wuhan 430072, Peoples R China</t>
  </si>
  <si>
    <t>Wuhan University</t>
  </si>
  <si>
    <t>Li, G (corresponding author), Wuhan Univ, Informat Management Sch, Wuhan 430072, Peoples R China.</t>
  </si>
  <si>
    <t>imiswhu@yahoo.com.cn</t>
  </si>
  <si>
    <t>3-540-47663-6</t>
  </si>
  <si>
    <t>BFF82</t>
  </si>
  <si>
    <t>WOS:000241624300021</t>
  </si>
  <si>
    <t>Shou, YY; Che, W; Dai, J; Jia, F</t>
  </si>
  <si>
    <t>Shou, Yongyi; Che, Wen; Dai, Jing; Jia, Fu</t>
  </si>
  <si>
    <t>Inter-organizational fit and environmental innovation in supply chains: A configuration approach</t>
  </si>
  <si>
    <t>Supply chain management; Configuration; Complementarity; Compatibility; Environmental innovation; Inter-organizational fit</t>
  </si>
  <si>
    <t>GREEN INNOVATION; ABSORPTIVE-CAPACITY; MANAGEMENT-PRACTICES; KNOWLEDGE TRANSFER; EMPIRICAL-EVIDENCE; ECO-INNOVATION; PERFORMANCE; SUSTAINABILITY; COLLABORATION; COMPLEMENTARITY</t>
  </si>
  <si>
    <t>Purpose Through examining the two constructs of inter-organizational complementarity and inter-organizational compatibility in supply chains, the purpose of this paper is to develop a taxonomy of focal firms' inter-organizational fit (IOF) configurations with their suppliers and customers, and examine the relationship between these configurations and environmental innovation (EI) in order to answer the question of with whom to collaborate for EI development. Design/methodology/approach A survey instrument was elaborated and data from a sample of 171 US firms were collected. The authors adopted cluster analysis to identify the IOF taxonomy. Canonical discriminant analysis was employed to uncover underlying dimensions between clustering variables and cluster membership. Then, ANOVA tests were conducted to investigate relationships between IOF configurations in the context of EI in supply chains. Findings Three configurations were identified based on the complementarity and compatibility between focal firms and their supply chain partners. It is observed that the overall IOF level is positively related to firms' EI outcomes. Moreover, inter-organizational complementarity facilitates incremental EI while inter-organizational compatibility plays a more crucial role in radical EI. Both are required to achieve the best innovation outcome. Originality/value This research develops the first taxonomy for depicting IOF in a supply chain innovation context and also clarifies different rationale behind the development of incremental and radical EI through examining distinctive effects of the complementarity and compatibility with supply chain partners.</t>
  </si>
  <si>
    <t>[Shou, Yongyi; Che, Wen] Zhejiang Univ, Sch Management, Hangzhou, Zhejiang, Peoples R China; [Dai, Jing] Univ Nottingham China, Nottingham Univ, Sch Business, Ningbo, Zhejiang, Peoples R China; [Jia, Fu] Univ Bristol, Dept Management, Bristol, Avon, England</t>
  </si>
  <si>
    <t>Zhejiang University; University of Bristol</t>
  </si>
  <si>
    <t>Dai, J (corresponding author), Univ Nottingham China, Nottingham Univ, Sch Business, Ningbo, Zhejiang, Peoples R China.</t>
  </si>
  <si>
    <t>yshou@zju.edu.cn; chewen@zju.edu.cn; jing.dai@nottingham.edu.cn; fu.jia@bristol.ac.uk</t>
  </si>
  <si>
    <t>Shou, Yongyi/AAD-7528-2020</t>
  </si>
  <si>
    <t>Shou, Yongyi/0000-0002-8152-8936; Dai, Jing/0000-0003-1715-2409</t>
  </si>
  <si>
    <t>National Natural Science Foundation of China [71602096, 71472166]</t>
  </si>
  <si>
    <t>This research is supported by the National Natural Science Foundation of China under Grant Nos 71602096 and 71472166.</t>
  </si>
  <si>
    <t>10.1108/IJOPM-08-2017-0470</t>
  </si>
  <si>
    <t>GL6NI</t>
  </si>
  <si>
    <t>WOS:000437303600004</t>
  </si>
  <si>
    <t>Song, J; Huo, H; Li, T; Chu, LY</t>
  </si>
  <si>
    <t>Song, Jun; Huo, Hong; Li, Teng; Chu, Lingyun</t>
  </si>
  <si>
    <t>A Dynamic Source Tracing Method for Food Supply Chain Quality and Safety Based on Big Data</t>
  </si>
  <si>
    <t>PRODUCT TRACEABILITY; SYSTEM</t>
  </si>
  <si>
    <t>The data of food quality tracing information have a few features, such as wide coverage range, many circulation links, complex data sources, low authenticity, and difficult information sharing. The continuous development of big data technology provides infinite possibilities for the construction of food quality source tracing systems. Currently, there are many studies on the application of food quality source tracing systems; however, most of them are in the field of food quality databases, and few have concerned about its application in the field of big data. Therefore, to fill in this research gap, this paper aimed to study a dynamic source tracing method for food supply chain quality and safety based on big data. At first, this paper summarized the variables of food supply chain quality and safety, constructed a Petri net model and a Bayesian network model for food quality prediction and source tracing, and realized the prediction of food quality features. Then, this paper applied two data analysis and processing methods-the density-based clustering algorithm and the cosine similarity algorithm-to preliminarily process the collected quality tracing information of each link in the food supply chain and analyzed the influencing factors of food quality. Finally, experimental results proved the effectiveness of the constructed model. Relying on the real-timeliness and authenticity of big data, this paper guarantees the credibility of the traceable information in the tracking process and improves the accuracy through real-time stream processing of the updated data, providing unlimited possibilities for the comprehensive tracking of food sources.</t>
  </si>
  <si>
    <t>[Song, Jun; Huo, Hong; Li, Teng] Harbin Univ Commerce, Sch Management, Harbin 150028, Peoples R China; [Chu, Lingyun] Harbin Univ Commerce, Sch Foreign Languages, Harbin 150028, Peoples R China</t>
  </si>
  <si>
    <t>Harbin University of Commerce; Harbin University of Commerce</t>
  </si>
  <si>
    <t>Huo, H (corresponding author), Harbin Univ Commerce, Sch Management, Harbin 150028, Peoples R China.</t>
  </si>
  <si>
    <t>songj@hrbcu.edu.cn; 102184@hrbcu.edu.cn; 102717@hrbcu.edu.cn; 102695@hrbcu.edu.cn</t>
  </si>
  <si>
    <t>Project of Philosophy and Social Science Research in Heilongjiang Province [19JYE268]</t>
  </si>
  <si>
    <t>Project of Philosophy and Social Science Research in Heilongjiang Province</t>
  </si>
  <si>
    <t>AcknowledgmentsThis research was supported by the Project of Philosophy and Social Science Research in Heilongjiang Province (Grant no. 19JYE268).</t>
  </si>
  <si>
    <t>MAY 23</t>
  </si>
  <si>
    <t>10.1155/2022/6385201</t>
  </si>
  <si>
    <t>1X9XS</t>
  </si>
  <si>
    <t>WOS:000807802000002</t>
  </si>
  <si>
    <t>Rizwan, A; Karras, DA; Kumar, J; Sanchez-Chero, M; Taboada, MMM; Altamirano, GC</t>
  </si>
  <si>
    <t>Rizwan, Ali; Karras, Dimitrios A.; Kumar, Jitendra; Sanchez-Chero, Manuel; Taboada, Marlon Martin Mogollon; Altamirano, Gilder Cieza</t>
  </si>
  <si>
    <t>An Internet of Things (IoT) Based Block Chain Technology to Enhance the Quality of Supply Chain Management (SCM)</t>
  </si>
  <si>
    <t>FOOD</t>
  </si>
  <si>
    <t>Recent technological developments indicate possible advancements in supply chain management (SCM). These innovations have attracted a lot of interest from industries including logistics, manufacturing, packaging, and transportation. The conventional systems, however, use centralised servers to control all operations, including the exchange of raw materials, making orders, dealing with buyers and sellers, and updating orders. The network's supply chain may thus be insecure as a result of every activity being routed via centralised servers. The danger is additionally increased by a number of difficulties, including scalability, data integrity, security, and availability. Block chain technology may be used in these circumstances to decentralise transaction processing and eliminate the need for a centralised controller. In this approach, the performance of the resource-constrained supply chain network is improved by the effective use of edge computing and priority data access. The Intelligent K-Means (IKM) clustering algorithm is suggested across the edge nodes in the current research to categorise the priority level of each piece of data. This classifier determines if the edge node has received data that is high priority or low priority. Low priority data is recorded in the log files for future data analysis. Then, to allow safe data flow in the open block chain while excluding outside parties, the High Priority Access based Smart Contract (HPASC) technique is deployed. The whole experiment was conducted in a Python environment, and variables including scalability, reaction time, throughput, and accuracy were studied. Current systems' constrained block sizes and fork creation lengthen the time transactions must wait before being processed. The suggested methodology is quicker and uses less storage space than current block chain systems. The results show that the suggested approach works better than current blockchain technology to raise the standard of supply chain management.</t>
  </si>
  <si>
    <t>[Rizwan, Ali] King Abdulaziz Univ, Fac Engn, Dept Ind Engn, Jeddah 21589, Saudi Arabia; [Karras, Dimitrios A.] Univ Athens NKUA, Sch Sci Natl &amp; Kapodistrian, 34400 Athens, Greece; [Kumar, Jitendra] GLA Univ, Dept Elect &amp; Commun Engn, Mathura, Utter Pradesh, India; [Sanchez-Chero, Manuel] Univ Nacl Frontera, Fac Ingn Ind Alimentarias &amp; Biotecnol, Sullana, Peru; [Taboada, Marlon Martin Mogollon] Univ Nacl Frontera, Fac Ciencias Empresariales &amp; Ambientales, Sullana, Peru; [Altamirano, Gilder Cieza] Univ Nacl Autonoma Chota, Cajamarca, Peru</t>
  </si>
  <si>
    <t>King Abdulaziz University; GLA University</t>
  </si>
  <si>
    <t>Rizwan, A (corresponding author), King Abdulaziz Univ, Fac Engn, Dept Ind Engn, Jeddah 21589, Saudi Arabia.</t>
  </si>
  <si>
    <t>arkhan71@kau.edu.sa; dakarras@uoa.gr; jitendra.kumar@gla.ac.in; msanchezch@unf.edu.pe; mmogollon@unf.edu.pe; gciezaa@unach.edu.pe</t>
  </si>
  <si>
    <t>Chero, Manuel Jesús Sánchez/H-1660-2017; Karras, Dimitrios Alexios/AAD-7229-2019</t>
  </si>
  <si>
    <t>Chero, Manuel Jesús Sánchez/0000-0003-1646-3037; Karras, Dimitrios Alexios/0000-0002-2759-8482; Rizwan, Ali/0000-0002-2348-8577; CIEZA ALTAMIRANO, GILDER/0000-0002-7936-1495</t>
  </si>
  <si>
    <t>JUL 21</t>
  </si>
  <si>
    <t>10.1155/2022/9679050</t>
  </si>
  <si>
    <t>3L9JA</t>
  </si>
  <si>
    <t>WOS:000835075400006</t>
  </si>
  <si>
    <t>Zhu, QY; Sun, YY; Mangla, SK; Arisian, S; Song, ML</t>
  </si>
  <si>
    <t>Zhu, Qingyuan; Sun, Yaoyao; Mangla, Sachin Kumar; Arisian, Sobhan; Song, Malin</t>
  </si>
  <si>
    <t>On the Value of Smart Contract and Blockchain in Designing Fresh Product Supply Chains</t>
  </si>
  <si>
    <t>Blockchain; fresh product supply chain design; location-routing optimization; resource sharing; smart contract</t>
  </si>
  <si>
    <t>PERISHABLE PRODUCTS; ROUTING PROBLEM; NETWORK DESIGN; LOGISTICS; MANAGEMENT; OPTIMIZATION; TECHNOLOGY; STRATEGIES; ALGORITHM; MODEL</t>
  </si>
  <si>
    <t>The growing demand for fresh products presents a formidable challenge for managers to design a supply chain that is both cost-effective and efficient while maintaining the freshness of the products. This article examines the use of blockchain technology as a solution for enhancing resource sharing and improving the efficiency and sustainability of fresh product supply chains. In particular, we propose a smart contract that deals with the intricacies of the facility location-routing optimization problem, taking into account both resource sharing and product freshness requirements. To tackle this problem, we propose a hybrid solution approach that integrates a greedy clustering algorithm and the YALMIP toolbox. Our computational experiments validate the effectiveness of the proposed model and the feasibility of the presented solution method. Our research findings reveal the potential of blockchain technology in the fresh product industry, underscoring its significance in the development of sustainable and efficient supply chains. Furthermore, the proposed model and adopted solution method contribute to the advancement of the fresh product supply chain and provide practical suggestions for managers and policymakers.</t>
  </si>
  <si>
    <t>[Zhu, Qingyuan; Sun, Yaoyao] Nanjing Univ Aeronaut &amp; Astronaut, Coll Econ &amp; Management, Res Ctr Soft Energy Sci, Nanjing 211106, Peoples R China; [Mangla, Sachin Kumar] O P Jindal Global Univ, Indal Global Business Sch, Sonipat 131001, India; [Arisian, Sobhan] La Trobe Univ, Trobe Business Sch, Melbourne, Vic 3000, Australia; [Song, Malin] Anhui Univ Finance &amp; Econ, Sch Stat &amp; Appl Math, Bengbu 233030, Peoples R China</t>
  </si>
  <si>
    <t>Nanjing University of Aeronautics &amp; Astronautics; O.P. Jindal Global University; La Trobe University; Anhui University of Finance &amp; Economics</t>
  </si>
  <si>
    <t>Song, ML (corresponding author), Anhui Univ Finance &amp; Econ, Sch Stat &amp; Appl Math, Bengbu 233030, Peoples R China.</t>
  </si>
  <si>
    <t>zqyustc@mail.ustc.edu.cn; sunyaoyao199@163.com; sachinmangl@gmail.com; s.asian@latrobe.edu.au; songmartin@163.com</t>
  </si>
  <si>
    <t>, Malin/0000-0001-6640-4225</t>
  </si>
  <si>
    <t>National Natural Science Foundation of China [71904084, 72271121, 71934001]; Postdoctoral Science Foundation of China [2020TQ0145]; Innovation and Entrepreneurship Foundation for Doctor of Jiangsu Province, China</t>
  </si>
  <si>
    <t>National Natural Science Foundation of China(National Natural Science Foundation of China (NSFC)); Postdoctoral Science Foundation of China(China Postdoctoral Science Foundation); Innovation and Entrepreneurship Foundation for Doctor of Jiangsu Province, China</t>
  </si>
  <si>
    <t>This work was supported in part by the National Natural Science Foundation of China under Grant 71904084, Grant 72271121, and Grant 71934001, in part by the Postdoctoral Science Foundation of China under Grant 2020TQ0145, and in part by the Innovation and Entrepreneurship Foundation for Doctor of Jiangsu Province, China.</t>
  </si>
  <si>
    <t>2023 JUN 29</t>
  </si>
  <si>
    <t>10.1109/TEM.2023.3286883</t>
  </si>
  <si>
    <t>L8EI2</t>
  </si>
  <si>
    <t>WOS:001025533000001</t>
  </si>
  <si>
    <t>Xue, H; Yuan, Y; Jiang, C; Cai, BY</t>
  </si>
  <si>
    <t>Xue, Hong; Yuan, Yi; Jiang, Chi; Cai, Bo-Yu</t>
  </si>
  <si>
    <t>Difference Measure Method of Risk Probability Distribution Based on Moment Generating Function and Fuzzy Data Stream Clustering</t>
  </si>
  <si>
    <t>JOURNAL OF INFORMATION SCIENCE AND ENGINEERING</t>
  </si>
  <si>
    <t>difference moment measure method; risk probability distribution; moment generating function; fuzzy data stream clustering algorithm; unconventional emergency</t>
  </si>
  <si>
    <t>UNCERTAINTY; MODEL; WEIGHT</t>
  </si>
  <si>
    <t>The research of the difference measure method for risk probability distribution plays a key role in the early warning decision-making management of retail supply chain unconventional emergency. However, the common difference measure indices are established by the specific density function or distribution law of the risk probability distribution. In Knight uncertain environment, only the moments of the risk probability distribution can be obtained. This study proposes the difference moment measure method of risk probability distribution based on moment generating function and fuzzy data stream clustering for the retail supply chain unconventional emergency. The big data statistical analysis is performed on the risk assessment indices to obtain the moments of the risk probability distribution for unconventional emergency. The difference of moment generating functions for unconventional emergency risk is measured by the distance function in the real vector space of infinite dimensional moments and then the difference between the real distribution and the reference distribution of the risk probability for unconventional emergency is further measured by the moments. The main contribution of this study is that we propose a new difference measure method of risk probability distribution for unconventional emergency based on cloud model method, moment generating function theory, functional function and big data fuzzy statistics technology in Knight uncertain and big date environments, which can overcome the drawbacks of the existing difference measure methods for probability distributions.</t>
  </si>
  <si>
    <t>[Xue, Hong; Yuan, Yi; Jiang, Chi; Cai, Bo-Yu] Beijing Technol &amp; Business Univ, Sch Comp &amp; Informat Engn, Beijing 100048, Peoples R China</t>
  </si>
  <si>
    <t>xneh@th.btbu.edu.cn; 1071898650@qq.com; 574412417@qq.com; 13520384742@163.com</t>
  </si>
  <si>
    <t>Beijing Social Science Foundation [18GLB036]; National Natural Science Foundation of China [71573009]; Beijing Natural Science Foundation [9162002, 9102005]; Humanities and Social Sciences Foundation Project of Ministry of Education of China [09YJA630003]</t>
  </si>
  <si>
    <t>Beijing Social Science Foundation; National Natural Science Foundation of China(National Natural Science Foundation of China (NSFC)); Beijing Natural Science Foundation(Beijing Natural Science Foundation); Humanities and Social Sciences Foundation Project of Ministry of Education of China</t>
  </si>
  <si>
    <t>This work is supported by Beijing Social Science Foundation (No. 18GLB036), National Natural Science Foundation of China (No. 71573009), Beijing Natural Science Foundation (No. 9162002, 9102005), and the Humanities and Social Sciences Foundation Project of Ministry of Education of China (No. 09YJA630003).</t>
  </si>
  <si>
    <t>INST INFORMATION SCIENCE</t>
  </si>
  <si>
    <t>TAIPEI</t>
  </si>
  <si>
    <t>ACADEMIA SINICA, TAIPEI 115, TAIWAN</t>
  </si>
  <si>
    <t>1016-2364</t>
  </si>
  <si>
    <t>J INF SCI ENG</t>
  </si>
  <si>
    <t>J. Inf. Sci. Eng.</t>
  </si>
  <si>
    <t>10.6688/JISE.201911_35(6).0014</t>
  </si>
  <si>
    <t>JK6WX</t>
  </si>
  <si>
    <t>WOS:000494984000013</t>
  </si>
  <si>
    <t>Long, J; Jiang, SY; He, RC; Zhao, L</t>
  </si>
  <si>
    <t>Long, Jian; Jiang, Siyi; He, Renchu; Zhao, Liang</t>
  </si>
  <si>
    <t>Diesel blending under property uncertainty: A data-driven robust optimization approach</t>
  </si>
  <si>
    <t>FUEL</t>
  </si>
  <si>
    <t>Diesel blending; Data driven robust optimization; Robust kernel density estimation; Principal component analysis; Uncertainty set</t>
  </si>
  <si>
    <t>BIG DATA; PROGRAMMING APPROACH; NETWORK DESIGN; SUPPLY CHAIN; PRICE; PARAMETERS; EFFICIENT; MODEL</t>
  </si>
  <si>
    <t>With the increasing demand for diesel fuel and the strict diesel standards, diesel blending has become an essential technology in response to clean energy. However, in the traditional blending process, the operator does not consider the uncertainty of component oil properties during the recipe optimization, resulting in a sub-optimal or even infeasible solution. This paper proposes a data-driven robust optimization framework to address this issue. First, a hybrid machine learning method combining principal component analysis and robust kernel density estimation is used to construct uncertainty sets to capture uncertain properties. Then, a data-driven diesel blending model is formulated using the derived uncertainty set through the dual operation. Last, an actual case study is implemented to show the effectiveness of the proposed method in handling uncertainties and obtaining a good balance between robustness and optimality of the recipe optimization for diesel blending. Moreover, the parameters of the uncertainty sets are analyzed in detail for providing reasonable parameters to guide the actual diesel blending.</t>
  </si>
  <si>
    <t>[Long, Jian; Jiang, Siyi; He, Renchu; Zhao, Liang] East China Univ Sci &amp; Technol, Key Lab Smart Mfg Energy Chem Proc, Minist Educ, Shanghai 200237, Peoples R China</t>
  </si>
  <si>
    <t>East China University of Science &amp; Technology</t>
  </si>
  <si>
    <t>He, RC; Zhao, L (corresponding author), East China Univ Sci &amp; Technol, Key Lab Smart Mfg Energy Chem Proc, Minist Educ, Shanghai 200237, Peoples R China.</t>
  </si>
  <si>
    <t>renchuhe@ecust.edu.cn; lzhao@ecust.edu.cn</t>
  </si>
  <si>
    <t>National Natural Science Foundation of China [61973124, 62073142, 61873092, 61988101]; International (Regional) Cooperation and Exchange Project [61720106008]</t>
  </si>
  <si>
    <t>National Natural Science Foundation of China(National Natural Science Foundation of China (NSFC)); International (Regional) Cooperation and Exchange Project</t>
  </si>
  <si>
    <t>The work is supported by the National Natural Science Foundation of China (Basic Science Center Program: 61988101) , National Natural Science Foundation of China (61973124, 62073142, 61873092) , International (Regional) Cooperation and Exchange Project (61720106008) .</t>
  </si>
  <si>
    <t>0016-2361</t>
  </si>
  <si>
    <t>1873-7153</t>
  </si>
  <si>
    <t>Fuel</t>
  </si>
  <si>
    <t>10.1016/j.fuel.2021.121647</t>
  </si>
  <si>
    <t>WA3WG</t>
  </si>
  <si>
    <t>WOS:000702818600003</t>
  </si>
  <si>
    <t>Gu, T; Song, LJ; Wang, H; Jin, MZ</t>
  </si>
  <si>
    <t>Gu, Tao; Song, Lijun; Wang, Hua; Jin, Maozhu</t>
  </si>
  <si>
    <t>Key analysis of smart tourism project setting and tourists' satisfaction degree based on data mining</t>
  </si>
  <si>
    <t>A* algorithm; cooperative behavior patterns; identification of important nodes; network efficiency; supply chain</t>
  </si>
  <si>
    <t>By improving the mining efficiency and enhancing the scalability of the algorithm, it solves the problem that the traditional recommendation algorithm has a long response time and low recommendation efficiency in the recommendation of tourist spots, and cannot adapt to the needs of big data mining. An in-depth analysis of the existing collaborative filtering recommendation algorithm was conducted, and the Slope One algorithm and the Item-based algorithm recommended for the tourist attractions were selected. Combine these two algorithms efficiently, parallelize the algorithm based on MapReduce programming on the Hadoop cloud platform, and verify the validity of the algorithm by collecting the tourism evaluation network real tourist attraction scoring data. By testing the real tourist attraction score data, it shows that the algorithm not only improves the accuracy of the recommendation but also has higher running speed than the traditional collaborative filtering algorithm. The experimental results show that the algorithm has higher mining performance and scalability and can be better adapted to the characteristics of large tourist sites, sparse data matrix, and meet the high hit rate and personalized requirements of tourist attractions.</t>
  </si>
  <si>
    <t>[Gu, Tao; Wang, Hua; Jin, Maozhu] Sichuan Univ, Business Sch, Chengdu 610065, Sichuan, Peoples R China; [Song, Lijun] Chengdu Univ Informat Technol, Coll Commun Engn, Chengdu 610065, Sichuan, Peoples R China</t>
  </si>
  <si>
    <t>Sichuan University; Chengdu University of Information Technology</t>
  </si>
  <si>
    <t>Jin, MZ (corresponding author), Sichuan Univ, Business Sch, Chengdu 610065, Sichuan, Peoples R China.</t>
  </si>
  <si>
    <t>jinmaozhu@scu.edu.cn</t>
  </si>
  <si>
    <t>song, lijun/ABB-7049-2021</t>
  </si>
  <si>
    <t>Sichuan Science and Technology Program [2018GZ0273]</t>
  </si>
  <si>
    <t>Sichuan Science and Technology Program</t>
  </si>
  <si>
    <t>Sichuan Science and Technology Program, Grant/Award Number: 2018GZ0273</t>
  </si>
  <si>
    <t>MAY 25</t>
  </si>
  <si>
    <t>e4755</t>
  </si>
  <si>
    <t>10.1002/cpe.4755</t>
  </si>
  <si>
    <t>HZ1GG</t>
  </si>
  <si>
    <t>WOS:000468594300026</t>
  </si>
  <si>
    <t>Liu, TY; Cheng, YL; Ni, ZH</t>
  </si>
  <si>
    <t>Liu, Tingyu; Cheng, Yalong; Ni, Zhonghua</t>
  </si>
  <si>
    <t>Mining event logs to support workflow resource allocation</t>
  </si>
  <si>
    <t>KNOWLEDGE-BASED SYSTEMS</t>
  </si>
  <si>
    <t>Workflow; Resource allocation; Data mining; Process mining; Association rules</t>
  </si>
  <si>
    <t>STAFF ASSIGNMENT; SUPPLY CHAIN; MANAGEMENT; PATTERNS; SYSTEMS</t>
  </si>
  <si>
    <t>Currently, workflow technology is widely used to facilitate the business process in enterprise information systems (EIS), and it has the potential to reduce design time, enhance product quality and decrease product cost. However, significant limitations still exist: as an important task in the context of workflow, many present resource allocation (also known as staff assignment) operations are still performed manually, which are time-consuming. This paper presents a data mining approach to address the resource allocation problem (RAP) and improve the productivity of workflow resource management. Specifically, an Apriori-like algorithm is used to find the frequent patterns from the event log, and association rules are generated according to predefined resource allocation constraints. Subsequently, a correlation measure named lift is utilized to annotate the negatively correlated resource allocation rules for resource reservation. Finally, the rules are ranked using the confidence measures as resource allocation rules. Comparative experiments are performed using C4.5, SVM, ID3, Naive Bayes and the presented approach, and the results show that the presented approach is effective in both accuracy and candidate resource recommendations. (C) 2012 Elsevier B.V. All rights reserved.</t>
  </si>
  <si>
    <t>[Ni, Zhonghua] Southeast Univ, Sch Mech Engn, Nanjing 210096, Jiangsu, Peoples R China; Southeast Univ, Jiangsu Key Lab Design &amp; Manufacture Micronano Bi, Nanjing 210096, Jiangsu, Peoples R China</t>
  </si>
  <si>
    <t>Southeast University - China; Southeast University - China</t>
  </si>
  <si>
    <t>Ni, ZH (corresponding author), Southeast Univ, Sch Mech Engn, Nanjing 210096, Jiangsu, Peoples R China.</t>
  </si>
  <si>
    <t>tyliu@live.com; chengyalong.seu@gmail.com; nzh2003@seu.edu.cn</t>
  </si>
  <si>
    <t>Liu, Tingyu/AAI-7945-2020; Liu, Tingyu/HZI-0677-2023; Liu, Tingyu/M-5767-2019</t>
  </si>
  <si>
    <t>Liu, Tingyu/0000-0001-8934-6611; Liu, Tingyu/0000-0001-8934-6611; Cheng, Yalong/0000-0003-1548-0003; Liu, Ting-Yu/0000-0003-2309-6167</t>
  </si>
  <si>
    <t>Certain Ministry of China [51318010103, 9140A18010111JW0602, 51318010211, 51318010404]</t>
  </si>
  <si>
    <t>Certain Ministry of China</t>
  </si>
  <si>
    <t>This work is funded by Certain Ministry of China under Grant Nos. 51318010103, 9140A18010111JW0602, 51318010211, and 51318010404. We are very grateful to anonymous referees for their valuable comments.</t>
  </si>
  <si>
    <t>0950-7051</t>
  </si>
  <si>
    <t>1872-7409</t>
  </si>
  <si>
    <t>KNOWL-BASED SYST</t>
  </si>
  <si>
    <t>Knowledge-Based Syst.</t>
  </si>
  <si>
    <t>10.1016/j.knosys.2012.05.010</t>
  </si>
  <si>
    <t>036HG</t>
  </si>
  <si>
    <t>WOS:000311016400031</t>
  </si>
  <si>
    <t>Won, JY; Park, MJ</t>
  </si>
  <si>
    <t>Won, Jeong Yeon; Park, Min Jae</t>
  </si>
  <si>
    <t>Information system use and SME characteristics in value chain activities: evidence from the manufacturing industry in Korea</t>
  </si>
  <si>
    <t>value chain; cluster; ANOVA; information system; SMEs; manufacture</t>
  </si>
  <si>
    <t>CLOUD COMPUTING ADOPTION; FIRM PERFORMANCE; TECHNOLOGY; DETERMINANTS; INTERNET; IMPLEMENTATION; PERSPECTIVE; DIFFUSION; STRATEGY; MODEL</t>
  </si>
  <si>
    <t>This study clustered the use of information systems (ISs) of firms based on the value chain and analysed the characteristics of each cluster. The empirical analysis utilised major ISs and sample of 2,012 SMEs in the manufacturing industry. Five types of ISs use were classified as a result of clustering based on nine activities suggested in Porter's theory of competitive advantage. For these cluster types, ANOVA showed differences for all the company factors derived from the TOE framework. In particular, it revealed distinct differences in technical factors and in organisational factors. However, environmental factors did not indicate as much of difference. This study was meaningful as it analysed the main characteristics of the company in the value chain rather than just individual IS activities. It also suggests significant implications for alternative policies, such as the operation of industrial complexes and the activities they focus on under the constraints of SMEs.</t>
  </si>
  <si>
    <t>[Won, Jeong Yeon] Seoul Sch Integrated Sci &amp; Technol aSSIST, Dept Business Adm, 46,Ewhayeodae 2 Gil, Seoul, South Korea; [Park, Min Jae] Ajou Univ, Dept E Business, 206 Worldcup Ro, Suwon, South Korea</t>
  </si>
  <si>
    <t>Ajou University</t>
  </si>
  <si>
    <t>Park, MJ (corresponding author), Ajou Univ, Dept E Business, 206 Worldcup Ro, Suwon, South Korea.</t>
  </si>
  <si>
    <t>alexjywon@gmail.com; geglove@ajou.ac.kr</t>
  </si>
  <si>
    <t>Won, Jeong Yeon/AAD-6638-2022</t>
  </si>
  <si>
    <t>Won, Jeong Yeon/0000-0001-8252-9829</t>
  </si>
  <si>
    <t>10.1504/IJVCM.2020.109239</t>
  </si>
  <si>
    <t>NP3GI</t>
  </si>
  <si>
    <t>WOS:000570067200004</t>
  </si>
  <si>
    <t>Lee, CKH; Choy, KL; Ho, GTS; Lam, CHY</t>
  </si>
  <si>
    <t>Lee, C. K. H.; Choy, K. L.; Ho, G. T. S.; Lam, C. H. Y.</t>
  </si>
  <si>
    <t>A slippery genetic algorithm-based process mining system for achieving better quality assurance in the garment industry</t>
  </si>
  <si>
    <t>Genetic algorithm; Fuzzy association rule mining; Biological slippage; Quality assurance; Garment industry</t>
  </si>
  <si>
    <t>SHOP SCHEDULING PROBLEM; SIMPLE SEQUENCE REPEATS; SUPPLY CHAIN NETWORK; FUZZY RULE SETS; MEMBERSHIP FUNCTIONS; ASSOCIATION RULES; MANAGEMENT-SYSTEM; NEURAL-NETWORK; OPTIMIZATION; EVOLUTION</t>
  </si>
  <si>
    <t>Due to the error-prone nature of garment manufacturing operations, it is challenging to guarantee the quality of garments. Previous research has been done to apply fuzzy association rule mining to determine process settings for improving the garment quality. The relationship between process parameters and the finished quality is represented in terms of rules. This paper enhances the application by encoding the rules into variable-length chromosomes for optimization with the use of a novel genetic algorithm (GA), namely the slippery genetic algorithm (sGA). Inspired by the biological slippage phenomenon in DNA replication, sGA allows changes to the chromosome lengths by insertion and deletion. During rule optimization, different parameters can be inserted to or removed from a rule, increasing the diversity of the solutions. In this paper, a slippery genetic algorithm-based process mining system (sGAPMS) is developed to optimize fuzzy rules with the aim of facilitating a comprehensive quality assurance scheme in the garment industry. The significance of this paper includes the development of a novel variable-length GA mechanism and the hybridization of fuzzy association rule mining and variable-length GAs. Though the capability of conventional GA in rule optimization has been proven, the diversity in the population is inherently limited by the fixed chromosome length. Motivated by this phenomenon, the sGA suggested in this paper allows various parameters to be considered in a rule, improving the diversity of the solutions. A case study is conducted in a garment manufacturing company to evaluate the sGAPMS. The results illustrate that better quality assurance can be achieved after rule optimization. (C) 2015 Elsevier Ltd. All rights reserved.</t>
  </si>
  <si>
    <t>[Lee, C. K. H.] Univ Hong Kong, Dept Ind &amp; Mfg Syst Engn, Pokfulam, Hong Kong, Peoples R China; [Choy, K. L.; Ho, G. T. S.; Lam, C. H. Y.] Hong Kong Polytech Univ, Dept Ind &amp; Syst Engn, Hunghom, Hong Kong, Peoples R China</t>
  </si>
  <si>
    <t>University of Hong Kong; Hong Kong Polytechnic University</t>
  </si>
  <si>
    <t>Choy, KL (corresponding author), Hong Kong Polytech Univ, Dept Ind &amp; Syst Engn, Hunghom, Hong Kong, Peoples R China.</t>
  </si>
  <si>
    <t>leeckh@hku.hk; kl.choy@polyu.edu.hk; george.ho@polyu.edu.hk; Cathy.Lam@connect.polyu.hk</t>
  </si>
  <si>
    <t>Lam, H.Y./AAA-2616-2019</t>
  </si>
  <si>
    <t>Lam, H.Y./0000-0002-5858-1894; CHOY, King Lun Tommy/0000-0001-9252-1476; Ho, G.T.S./0000-0002-8550-4974; Choy, K.L./0000-0001-9365-1205</t>
  </si>
  <si>
    <t>Research Office of the Hong Kong Polytechnic University [G-UA4H]</t>
  </si>
  <si>
    <t>The authors would like to thank the Research Office of the Hong Kong Polytechnic University for supporting the project (Project Code: G-UA4H).</t>
  </si>
  <si>
    <t>10.1016/j.eswa.2015.10.035</t>
  </si>
  <si>
    <t>CZ4ZR</t>
  </si>
  <si>
    <t>WOS:000367112400019</t>
  </si>
  <si>
    <t>Pushpamali, NNC; Agdas, D; Rose, TM</t>
  </si>
  <si>
    <t>Pushpamali, N. N. C.; Agdas, Duzgun; Rose, Timothy M.</t>
  </si>
  <si>
    <t>A Review of Reverse Logistics: An Upstream Construction Supply Chain Perspective</t>
  </si>
  <si>
    <t>upstream construction supply chain; reverse logistics; waste management</t>
  </si>
  <si>
    <t>DEMOLITION WASTE; DECISION-MAKING; MANAGEMENT; IMPLEMENTATION; BARRIERS; INDUSTRY; ENERGY; SITE; GENERATION; EFFICIENCY</t>
  </si>
  <si>
    <t>Construction industry activities, from material extraction to the end of the structure life, affect the environment negatively. For a sustainable construction process, economically, environmentally, and socially friendly practices are essential, and reverse logistics is one solution that can provide such an approach. In reverse logistics, obsolete products are reused in a new production, while reducing negative effects to the environment. In this study, we assess the current state of research on reverse logistics practices in the construction industry. The study presents a comparative data mining analysis, followed by a content analysis. The results show that the construction industry literature ignores the impact of reverse logistics practices on upstream construction activities. We argue that industry practitioners must take reverse logistics decisions in the early phases of the construction process by considering both upstream and end-of-life construction activities, and we recommend a reverse logistics decision framework for successful reverse logistics implementation. The findings of this research are significant for decision-makers in the industry. We urge that sustainable practices be employed in the industry. Furthermore, a quantitative analysis is suggested to strengthen the arguments made in this article.</t>
  </si>
  <si>
    <t>[Pushpamali, N. N. C.; Agdas, Duzgun; Rose, Timothy M.] Queensland Univ Technol, Sch Civil Engn &amp; Built Environm, Sci &amp; Engn Fac, 2 George St, Brisbane, Qld 4000, Australia</t>
  </si>
  <si>
    <t>Queensland University of Technology (QUT)</t>
  </si>
  <si>
    <t>Pushpamali, NNC (corresponding author), Queensland Univ Technol, Sch Civil Engn &amp; Built Environm, Sci &amp; Engn Fac, 2 George St, Brisbane, Qld 4000, Australia.</t>
  </si>
  <si>
    <t>chamari.naidelage@hdr.qut.edu.au</t>
  </si>
  <si>
    <t>Agdas, Duzgun/E-2209-2014</t>
  </si>
  <si>
    <t>Agdas, Duzgun/0000-0002-3703-914X; Rose, Timothy/0000-0003-2368-6714</t>
  </si>
  <si>
    <t>Civil Engineering &amp; Built Environment (CEBE) Bridging Scholarship - Queensland University of Technology, Australia</t>
  </si>
  <si>
    <t>We acknowledge the financial support of the Civil Engineering &amp; Built Environment (CEBE) Bridging Scholarship which was awarded by the Queensland University of Technology, Australia.</t>
  </si>
  <si>
    <t>10.3390/su11154143</t>
  </si>
  <si>
    <t>IW8FS</t>
  </si>
  <si>
    <t>WOS:000485230200148</t>
  </si>
  <si>
    <t>Kumar, N; Tyagi, M; Sachdeva, A</t>
  </si>
  <si>
    <t>Kumar, Neeraj; Tyagi, Mohit; Sachdeva, Anish</t>
  </si>
  <si>
    <t>Visualization and analysis of key performance indicators for agricultural cold supply chain in Indian context using fuzzy DEMATEL approach</t>
  </si>
  <si>
    <t>JOURNAL OF AGRIBUSINESS IN DEVELOPING AND EMERGING ECONOMIES</t>
  </si>
  <si>
    <t>Cold supply chain; Agricultural cold supply chain; KPI; f-DEMATEL; Cold storage facility</t>
  </si>
  <si>
    <t>POSTHARVEST LOSSES; CAUSAL FACTORS; FRUIT; OPTIMIZATION; TECHNOLOGIES; QUALITY; SYSTEM</t>
  </si>
  <si>
    <t>PurposeThis study aims to discover the key performance indicators (KPIs) of the agricultural cold supply chain (ACSC) and analyze their consequences on the performance of ACSC within the bounds of Indian topography.Design/methodology/approachThe KPIs have been explored based on the literature review both in global and Indian context and domain expert's opinions. The interdependency characteristics and cause-effect relationship among the KPIs have been analyzed using a fuzzy decision-making trial and evaluation laboratory (f-DEMATEL) approach.FindingsThe findings extracted from the empirical assessment of the problem find strong compliance with the notions of theoretical model assessment. The results highlight that the cost of product waste and operating and performance costs are the two most important performance indicators of an Indian ACSC. Furthermore, governmental policies and regulations and the effectiveness of cold chain (CC) equipment also have a high degree of influencing characteristics on ACSC performance.Research limitations/implicationsTo connect the study with practicalities, the assessment of the KPIs is allied with real-time practices by clustering the beliefs of Indian professionals. Therefore, the decision-making behavior of the experts might be influenced by geographical constraints. However, the key findings provide advantages to the ACSC players, a bright hope for future food security and a significant profit for farmers.Originality/valueThe presented paper encompasses various aspects of the ACSC, including theoretical and empirical perspectives exercised to contemplate the system dynamics, which inculcates the essence of the associated practicalities. Thus, this study has various practical contributions relevant to managerial and societal perspectives.</t>
  </si>
  <si>
    <t>[Kumar, Neeraj; Sachdeva, Anish] Dr BR Ambedkar Natl Inst Technol, Dept Ind &amp; Prod Engn, Jalandhar, India; [Tyagi, Mohit] Dr BR Ambedkar Natl Inst Technol, Jalandhar, India</t>
  </si>
  <si>
    <t>National Institute of Technology (NIT System); Dr B R Ambedkar National Institute of Technology Jalandhar; National Institute of Technology (NIT System); Dr B R Ambedkar National Institute of Technology Jalandhar</t>
  </si>
  <si>
    <t>Tyagi, M (corresponding author), Dr BR Ambedkar Natl Inst Technol, Jalandhar, India.</t>
  </si>
  <si>
    <t>neeraj.verma058@gmail.com; mohitmied@gmail.com; asachdeva@nitj.ac.in</t>
  </si>
  <si>
    <t>Kumar, Neeraj/0000-0001-6381-4093</t>
  </si>
  <si>
    <t>2044-0839</t>
  </si>
  <si>
    <t>2044-0847</t>
  </si>
  <si>
    <t>J AGRIBUS DEV EMERG</t>
  </si>
  <si>
    <t>J. Agribus. Dev. Emerg. Econ.</t>
  </si>
  <si>
    <t>2023 JUL 21</t>
  </si>
  <si>
    <t>10.1108/JADEE-10-2022-0223</t>
  </si>
  <si>
    <t>Agricultural Economics &amp; Policy; Economics</t>
  </si>
  <si>
    <t>Agriculture; Business &amp; Economics</t>
  </si>
  <si>
    <t>M7RP4</t>
  </si>
  <si>
    <t>WOS:001032155700001</t>
  </si>
  <si>
    <t>Chen, HY; Das, A; Ivanov, D</t>
  </si>
  <si>
    <t>Chen, Hsi Yueh; Das, Ajay; Ivanov, Dmitry</t>
  </si>
  <si>
    <t>Building resilience and managing post-disruption supply chain recovery: Lessons from the information and communication technology industry</t>
  </si>
  <si>
    <t>Supply chain; Resilience; Disruption management; Risks; Recovery; Case-study; ICT</t>
  </si>
  <si>
    <t>BIG DATA; DECISION-MAKING; BUSINESS CONTINUITY; FRAMEWORK; SYSTEMS; MANAGEMENT; NETWORK; DESIGN; SIMULATION; CHALLENGES</t>
  </si>
  <si>
    <t>In recent years, major local and global disruptions have had significant adverse effects on corporate performance, particularly for businesses with long, global supply chains. Managing disruption and its effects has therefore become a key focus for firms. While the process of disruption management has attracted considerable research attention, much of it has been directed at the pre-disruption stage. This study investigates the post-disruption stage, and its management. The unpredictability of disruption magnitude and nature suggests that the post-disruption management process may be as important, if not more so, than pre-determined pre-disruption strategies. An effective post-disruption management process would directly affect actual ability to recover from sudden and serious disruptions. This study analyzes six companies, variously positioned upstream and downstream in the supply chain of the information and communications technology (ICT) industry in Taiwan. Specific factors and strategies relating to the post-disruption management process were collected by conducing in-depth interviews with the managers and executives of the firms. The information was categorized into distinct disruption management process stages: discovery, recovery, and supply chain redesign. The study findings are interesting and at times, new and counter-intuitive, including the surprising positive effects of clustering in disruptions, and the role of back-up supplier and material verification in disruption recovery. The study emerges with an integrated framework that can be utilized to establish an effective post-disruption management process. The framework is used to develop research propositions for future research.</t>
  </si>
  <si>
    <t>[Chen, Hsi Yueh; Ivanov, Dmitry] Berlin Sch Econ &amp; Law, Dept Business &amp; Econ, D-10825 Berlin, Germany; [Das, Ajay] CUNY Baruch, Narendra Paul Loomba Dept Management, Zicklin Sch Business, One Bernard Baruch Way, New York, NY 10010 USA</t>
  </si>
  <si>
    <t>Berlin School of Economics &amp; Law; City University of New York (CUNY) System; Baruch College (CUNY)</t>
  </si>
  <si>
    <t>Ivanov, D (corresponding author), Berlin Sch Econ &amp; Law, Dept Business &amp; Econ, Supply Chain &amp; Operat Management, Badensche Str 50, D-10825 Berlin, Germany.</t>
  </si>
  <si>
    <t>ajay.das@baruch.cuny.edu; divanov@hwr-berlin.de</t>
  </si>
  <si>
    <t>10.1016/j.ijinfomgt.2019.06.002</t>
  </si>
  <si>
    <t>JD0YI</t>
  </si>
  <si>
    <t>WOS:000489702000024</t>
  </si>
  <si>
    <t>Sharma, J; Tyagi, M; Bhardwaj, A</t>
  </si>
  <si>
    <t>Sharma, Janpriy; Tyagi, Mohit; Bhardwaj, Arvind</t>
  </si>
  <si>
    <t>Parametric review of food supply chain performance implications under different aspects</t>
  </si>
  <si>
    <t>Indian food supply chain management (FSCM); Food supply chain and its collaboration; Distribution network; Challenges in FSC; Integrated FSCM and industry 4; 0</t>
  </si>
  <si>
    <t>COLD CHAIN; SUSTAINABLE CONSUMPTION; DECISION-MAKING; OPERATIONS MANAGEMENT; GENERAL FRAMEWORK; STRUCTURAL MODEL; SHELF-LIFE; WASTE; SYSTEM; QUALITY</t>
  </si>
  <si>
    <t>Purpose Presented work gives comparative review of food supply chain (FSC) under various notions related to its conceptualisation, operationality and technological advancements in lieu with Industry 4.0 revolution. In Indian scenario, the impression of FSC seems in a scattered way that cannot be directly useful for an organisation, to overcome this scattering, a framework has been developed to consolidate the previous research works and exploration of new trends in food supply chain management (FSCM) in context to Indian scenario. Design/methodology/approach This article encapsulates the essence of various research articles and reports retrieved from databases of Emerald and Elsevier's Science direct, clustering the various notions related to FSC in Indian context. To visualise the one-sight view of related works, a pictorial representations have also been appended. Findings This article explains the general aspect of FSC and its linkage in context to Indian system. Presented work outlays both empirical and theoretical approaches trending from last 15 years. As research count in context to Indian FSC is lacking, so this work will be a road map for expedition in direction of FSCM, in era of research. Practical implications - Findings and suggestion in this work can expanded in various industries related to food, helping to turn their fortune and enrichment of Indian FSC. Social implications - Food is binding word for all the commodities, and its effective supply chain management is a big boon for economy of country along with large employment generation for people directly/ indirectly associated with this industry. This article covers a generalise approach from ground level framework to a level of advancement which fulfil technological aspects, future needs and upcoming trends in lieu to need of developing nation. Originality/value As limited research is done in Indian FSCM, this work to bridge this gap along with a well-defined framework which going to explore FSC. This work is going to be facilitation for researchers of this area as no major review for Indian context has not been published.</t>
  </si>
  <si>
    <t>[Sharma, Janpriy; Tyagi, Mohit; Bhardwaj, Arvind] Dr BR Ambedkar Natl Inst Technol, Dept Ind &amp; Prod Engn, Jalandhar, Punjab, India</t>
  </si>
  <si>
    <t>National Institute of Technology (NIT System); Dr B R Ambedkar National Institute of Technology Jalandhar</t>
  </si>
  <si>
    <t>Tyagi, M (corresponding author), Dr BR Ambedkar Natl Inst Technol, Dept Ind &amp; Prod Engn, Jalandhar, Punjab, India.</t>
  </si>
  <si>
    <t>mohitmied@gmail.com</t>
  </si>
  <si>
    <t>PAPADOPOULOS, EFSTATHIOS/AFM-9422-2022; SHARMA, JANPRIY/AAI-9878-2021</t>
  </si>
  <si>
    <t>SHARMA, JANPRIY/0000-0002-9826-1203</t>
  </si>
  <si>
    <t>10.1108/JAMR-10-2019-0193</t>
  </si>
  <si>
    <t>ME8TM</t>
  </si>
  <si>
    <t>WOS:000526046700001</t>
  </si>
  <si>
    <t>Susanty, A; Tjahjono, B; Sulistyani, RE</t>
  </si>
  <si>
    <t>Susanty, Aries; Tjahjono, Benny; Sulistyani, Rahayu Eka</t>
  </si>
  <si>
    <t>An investigation into circular economy practices in the traditional wooden furniture industry</t>
  </si>
  <si>
    <t>Traditional wooden furniture; circular economy; supply chain cooperation; environmental performance; economic performance</t>
  </si>
  <si>
    <t>SUPPLY CHAIN MANAGEMENT; REVERSE LOGISTICS; FIRM PERFORMANCE; GREEN; MODEL; COMPETITIVENESS; INNOVATION; BUSINESS; DESIGN; IMPACT</t>
  </si>
  <si>
    <t>Despite the growing awareness about Circular Economy (CE) in production and supply chain management, there is little evidence linking CE practices to environmental and economic performances, especially within the traditional wood furniture industry in Indonesia. As with other management practices, implementation of CE can be supported by various factors. Among these factors are the so-called environmental-oriented supply chain cooperation (ESCC) practices. The study reported in this paper has three purposes. First, to investigate how the different levels of ESCC practices will affect the CE practices across the traditional wooden furniture industry in Central Java, Indonesia; second, to investigate the relationship between varying ESCC practices (which is grouped based on the implementation of CE practices) on the CE-targeted performances; and third, to examine the role of ESCC practices as a moderating variable in the relationship between CE practices and CE-targeted performances. This study uses primary data which were collected through closed questionnaires to 190 valid samples of wooden furniture SMEs across the cities of Jepara, Kudus, Rembang, Semarang, Blora and Surakarta. The data were processed using confirmatory factor analysis (CFA), K-means clustering analysis, Multivariate Analysis of Variance (MANOVA) and regression analysis. The results indicated that, depending on the levels of ESCC practices, the SMEs could be grouped into leaders, followers and laggard, which also determined the extent to which they practised the CE principles. The study also elaborated on the interactions between ESCC and CE practices, and how these might affect the CE-targeted environmental and economic performances.</t>
  </si>
  <si>
    <t>[Susanty, Aries; Sulistyani, Rahayu Eka] Diponegoro Univ, Ind Engn Dept, Campus Tembalang, Semarang 50275, Indonesia; [Tjahjono, Benny] Coventry Univ, Ctr Business Soc, Coventry, W Midlands, England</t>
  </si>
  <si>
    <t>Diponegoro University; Coventry University</t>
  </si>
  <si>
    <t>Susanty, A (corresponding author), Diponegoro Univ, Ind Engn Dept, Campus Tembalang, Semarang 50275, Indonesia.</t>
  </si>
  <si>
    <t>ariessusanty@gmail.com</t>
  </si>
  <si>
    <t>susanty, aries/Q-2267-2015; Tjahjono, Benny/D-5077-2009</t>
  </si>
  <si>
    <t>susanty, aries/0000-0003-0601-5206; Tjahjono, Benny/0000-0001-7503-7500</t>
  </si>
  <si>
    <t>10.1080/09537287.2019.1707322</t>
  </si>
  <si>
    <t>WOS:000505885400001</t>
  </si>
  <si>
    <t>Izadikhah, M; Saen, RF; Ahmadi, K; Shamsi, M</t>
  </si>
  <si>
    <t>Izadikhah, Mohammad; Saen, Reza Farzipoor; Ahmadi, Kourosh; Shamsi, Mohadeseh</t>
  </si>
  <si>
    <t>How to use fuzzy screening system and data envelopment analysis for clustering sustainable suppliers? A case study in Iran</t>
  </si>
  <si>
    <t>Sustainable supply chain management; Data envelopment analysis (DEA); Enhanced Russell model (ERM); Fuzzy screening system; DEA-Based clustering method</t>
  </si>
  <si>
    <t>CHAIN MANAGEMENT; ORDER ALLOCATION; SELECTION MODEL; VOLUME DISCOUNT; DEA MODEL; EFFICIENCY; NETWORK; PERFORMANCE; RANKING; FRAMEWORK</t>
  </si>
  <si>
    <t>Purpose The aim of this paper is to classify suppliers into some clusters based on sustainability factors. However, there might be some unqualified suppliers and we should identify and remove those suppliers before clustering. Design/methodology/approach First, using fuzzy screening system, the authors identify and remove the unqualified suppliers. Then, the authors run their proposed clustering method. This paper proposes a data envelopment analysis (DEA) algorithm to cluster suppliers. Findings This paper presents a two-aspect DEA-based algorithm for clustering suppliers into clusters. The first aspect applied DEA to consider efficient frontiers and the second aspect applied DEA to consider inefficient frontiers. The authors examine their proposed clustering approach by a numerical example. The results confirmed that their method can cluster DMUs into clusters. Originality/value The main contributions of this paper are as follows: This paper develops a new clustering algorithm based on DEA models. This paper presents a new DEA model in inefficiency aspect. For the first time, the authors' proposed algorithm uses fuzzy screening system and DEA to select suppliers. Our proposed method clusters suppliers of MPASR based on sustainability factors.</t>
  </si>
  <si>
    <t>[Izadikhah, Mohammad] Islamic Azad Univ, Coll Sci, Dept Math, Arak Branch, Arak, Iran; [Saen, Reza Farzipoor] Sohar Univ, Fac Business, Sohar, Oman; [Ahmadi, Kourosh] Otto von Guericke Univ, Fac Econ &amp; Management, Magdeburg, Germany; [Shamsi, Mohadeseh] Iran Univ Sci &amp; Technol, Sch Ind Engn, Tehran, Iran</t>
  </si>
  <si>
    <t>Islamic Azad University; Sohar University; Otto von Guericke University; Iran University Science &amp; Technology</t>
  </si>
  <si>
    <t>Saen, RF (corresponding author), Sohar Univ, Fac Business, Sohar, Oman.</t>
  </si>
  <si>
    <t>farzipour@yahoo.com</t>
  </si>
  <si>
    <t>Farzipoor Saen, Reza/L-2958-2013; Izadikhah, Mohammad/A-2986-2012</t>
  </si>
  <si>
    <t>Farzipoor Saen, Reza/0000-0002-0851-6509; Izadikhah, Mohammad/0000-0002-9195-017X</t>
  </si>
  <si>
    <t>JAN 26</t>
  </si>
  <si>
    <t>10.1108/JEIM-09-2019-0262</t>
  </si>
  <si>
    <t>QA8NR</t>
  </si>
  <si>
    <t>WOS:000541724500001</t>
  </si>
  <si>
    <t>Yao, MJ; Lin, JT; Yang, CH</t>
  </si>
  <si>
    <t>Yao, Ming-Jong; Lin, James T.; Yang, Chen-Hao</t>
  </si>
  <si>
    <t>AN INTEGRATED APPROACH FOR THE OPERATIONS OF DISTRIBUTION AND LATERAL TRANSSHIPMENT FOR SEASONAL PRODUCTS - A CASE STUDY IN HOUSEHOLD PRODUCT INDUSTRY</t>
  </si>
  <si>
    <t>JOURNAL OF INDUSTRIAL AND MANAGEMENT OPTIMIZATION</t>
  </si>
  <si>
    <t>Distribution; supply chain; lateral transshipment; seasonal products; mathematical model</t>
  </si>
  <si>
    <t>JOINT REPLENISHMENT PROBLEM; SUPPLY CHAIN; OPTIMAL POLICIES; INVENTORY MODEL; SYSTEMS; ALGORITHM; COORDINATION; OPTIMIZATION; CONSTRAINT; COSTS</t>
  </si>
  <si>
    <t>The household product industry often suffers from problems of high operational costs and/or lost sales from selling seasonal products since managers in different divisions/stages of the supply chain make their decisions independently. We are therefore motivated to propose an approach that integrates the operations in the three stages of a supply chain for the management of seasonal products. The goal of this study is to minimize the total costs incurred for the seasonal products in the whole selling period. In the first stage, we employ a newsvendor model to determine the optimal one-time-only order quantities of the seasonal products. Then, we utilize a clustering analysis in the second stage to categorize seasonal products into groups, and establish an optimal replenishment policy for the products in the same group. Finally, the third stage starts when the warehouse runs out of its inventory. We formulate a mathematical model to determine the optimal transshipment quantities among all of the retailers to minimize the expected total costs incurred for the rest of the selling period. Taking a household product company in Taiwan as our case study, we demonstrate the implementation of the proposed (integrated) approach. Based on the real-world data of 17 seasonal products, we show that our integrated approach significantly outperforms the company's current approach. Therefore, our integrated approach may serve as an effective decision support tool for the distribution and lateral transshipment of seasonal products in the household product industry.</t>
  </si>
  <si>
    <t>[Yao, Ming-Jong] Natl Chiao Tung Univ, Dept Transportat Technol &amp; Management, Hsinchu, Taiwan; [Lin, James T.; Yang, Chen-Hao] Natl Chiao Tung Univ, Dept Ind Engn &amp; Engn Management, Hsinchu, Taiwan</t>
  </si>
  <si>
    <t>National Yang Ming Chiao Tung University; National Yang Ming Chiao Tung University</t>
  </si>
  <si>
    <t>Yao, MJ (corresponding author), Natl Chiao Tung Univ, Dept Transportat Technol &amp; Management, Hsinchu, Taiwan.</t>
  </si>
  <si>
    <t>myaoie@gmail.com; jtlin@ie.nthu.edu.tw; chyangzb@tsmc.com</t>
  </si>
  <si>
    <t>AMER INST MATHEMATICAL SCIENCES</t>
  </si>
  <si>
    <t>PO BOX 2604, SPRINGFIELD, MO 65801-2604 USA</t>
  </si>
  <si>
    <t>1547-5816</t>
  </si>
  <si>
    <t>J IND MANAG OPTIM</t>
  </si>
  <si>
    <t>J. Ind. Manag. Optim.</t>
  </si>
  <si>
    <t>10.3934/jimo.2011.7.401</t>
  </si>
  <si>
    <t>Engineering, Multidisciplinary; Operations Research &amp; Management Science; Mathematics, Interdisciplinary Applications</t>
  </si>
  <si>
    <t>764GF</t>
  </si>
  <si>
    <t>WOS:000290616900007</t>
  </si>
  <si>
    <t>Dalalah, D; Khan, SA; Al-Ashram, Y; Albeetar, S; Abou Ali, Y; Alkhouli, E</t>
  </si>
  <si>
    <t>Dalalah, Doraid; Khan, Sharfuddin Ahmed; Al-Ashram, Yazan; Albeetar, Saeed; Abou Ali, Yahya; Alkhouli, Elias</t>
  </si>
  <si>
    <t>An integrated framework for the assessment of environmental sustainability in wood supply chains</t>
  </si>
  <si>
    <t>ENVIRONMENTAL TECHNOLOGY &amp; INNOVATION</t>
  </si>
  <si>
    <t>Sustainable supply chain; Wood supply chain; Best-worst method; Analytical hierarchy process; Environmental sustainability</t>
  </si>
  <si>
    <t>LIFE-CYCLE ASSESSMENT; PERFORMANCE; MANAGEMENT; DESIGN; CARBON; WASTE; OPTIMIZATION; ALLOCATION; INNOVATION; EMISSIONS</t>
  </si>
  <si>
    <t>Nowadays, sustainability is one of the critical factors for the success of supply chains in organizations and firms that strive to maintain a competitive edge in the market. In wood industry, due to the need for integrating several business units such as forest entrepreneurs, carriers, pulp and paper mills and sawmills, such industries encounter various difficulties in maintaining effective supply chain collaborations. Literature on wood furniture industry seems to be lagging in terms of research on sustainable supply chain operations. To fill this gap, this study aims at identifying the critical factors that stand as a barrier between manufacturing and environmental sustainability in wood furniture industries. To achieve this aim, an integrated framework based on the triplet of Hierarchical Clustering, Analytical Hierarchy Process and Best-Worst Method has been proposed and implemented in a leading furniture manufacturer in UAE. The results show that waste management is the primary concern when an organization wants to pursue manufacturing environmental sustainability. Resources come in the second place where non-renewable resources should be substituted by renewable ones. The results were supported by a sensitivity analysis which confirms that higher attention should be directed to recycling of wood waste. Findings of this study provide recommendations to managers and decision makers on how to improve the manufacturing environmental sustainability in wood furniture industries to achieve the Triple Base Line (TBL) concept of sustainability and integrate sustainably in industry 4.0 context. (c) 2022 The Author(s). Published by Elsevier B.V. This is an open access article under the CC BY-NC-ND license (http://creativecommons.org/licenses/by-nc-nd/4.0/).</t>
  </si>
  <si>
    <t>[Dalalah, Doraid; Khan, Sharfuddin Ahmed; Al-Ashram, Yazan; Albeetar, Saeed; Abou Ali, Yahya; Alkhouli, Elias] Univ Sharjah, Coll Engn, Ind Engn &amp; Engn Management Dept, Sharjah, U Arab Emirates; [Dalalah, Doraid] Jordan Univ Sci &amp; Technol, Ind Engn Dept, Irbid, Jordan; [Khan, Sharfuddin Ahmed] Univ Regina, Fac Engn &amp; Appl Sci, Ind Syst Engn, 3737 Wascana Pkwy, Regina, SK S4S 0A2, Canada</t>
  </si>
  <si>
    <t>University of Sharjah; Jordan University of Science &amp; Technology; University of Regina</t>
  </si>
  <si>
    <t>Dalalah, D (corresponding author), Univ Sharjah, Coll Engn, Ind Engn &amp; Engn Management Dept, Sharjah, U Arab Emirates.</t>
  </si>
  <si>
    <t>ddalalah@sharjah.ac.ae; Sharfuddin.Khan@uregina.ca; U16103064@sharjah.ac.ae; U16106662@sharjah.ac.ae; U16104199@sharjah.ac.ae; U16105459@sharjah.ac.ae</t>
  </si>
  <si>
    <t>2352-1864</t>
  </si>
  <si>
    <t>ENVIRON TECHNOL INNO</t>
  </si>
  <si>
    <t>Environ. Technol. Innov.</t>
  </si>
  <si>
    <t>10.1016/j.eti.2022.102429</t>
  </si>
  <si>
    <t>Biotechnology &amp; Applied Microbiology; Engineering, Environmental; Environmental Sciences</t>
  </si>
  <si>
    <t>Biotechnology &amp; Applied Microbiology; Engineering; Environmental Sciences &amp; Ecology</t>
  </si>
  <si>
    <t>1I9AH</t>
  </si>
  <si>
    <t>WOS:000797517900012</t>
  </si>
  <si>
    <t>Ross, AD; Parker, H; Benavides-Espinosa, MD; Droge, C</t>
  </si>
  <si>
    <t>Ross, Anthony D.; Parker, Hamieda; del Mar Benavides-Espinosa, Maria; Droge, Cornelia</t>
  </si>
  <si>
    <t>Sustainability and supply chain infrastructure development</t>
  </si>
  <si>
    <t>Supply chain management; Logistics infrastructure; Sustainability; Data envelope analysis; Efficiency; Distribution management; Cross-cultural studies</t>
  </si>
  <si>
    <t>DATA ENVELOPMENT ANALYSIS; MEDIUM-SIZED ENTERPRISES; ECO-EFFICIENCY ANALYSIS; ENTREPRENEURSHIP; MANAGEMENT; KNOWLEDGE; FRAMEWORK; BUSINESS; GROWTH; REGION</t>
  </si>
  <si>
    <t>Purpose - This study aims to examine logistics infrastructure, trade differences, and environmental and social equity factors, for a set of 89 countries. Design/methodology/approach -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 The analysis shed light on country-level dimensions of logistics infrastructure and trade performance. It also provided insights regarding environmental (e.g. CO2 emissions) and social equity (e.g. health expenditure) dimensions for different regions. Research limitations/implications -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 The study has important implications for policy makers, since the attractiveness of various resource endowments like those considered here (environmental, social, supply chain logistics) can be seen to be associated with trade performance. Originality/value -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t>
  </si>
  <si>
    <t>[Parker, Hamieda] Univ Cape Town, Grad Sch Business, ZA-7925 Cape Town, South Africa; [Ross, Anthony D.] Michigan State Univ, Eli Broad Coll Business, Dept Supply Chain Management, E Lansing, MI 48824 USA; [del Mar Benavides-Espinosa, Maria] Univ Valencia, Dept Business, Valencia, Spain; [Droge, Cornelia] Michigan State Univ, Eli Broad Coll Business, Dept Mkt, E Lansing, MI 48824 USA</t>
  </si>
  <si>
    <t>University of Cape Town; Michigan State University; University of Valencia; Michigan State University</t>
  </si>
  <si>
    <t>Parker, H (corresponding author), Univ Cape Town, Grad Sch Business, ZA-7925 Cape Town, South Africa.</t>
  </si>
  <si>
    <t>hamiedap@gsb.uct.ac.za</t>
  </si>
  <si>
    <t>Parker, Hamieda/ABD-3640-2020</t>
  </si>
  <si>
    <t>Parker, Hamieda/0000-0002-7238-0431</t>
  </si>
  <si>
    <t>EMERALD GROUP PUBLISHING LIMITED</t>
  </si>
  <si>
    <t>10.1108/00251741211279666</t>
  </si>
  <si>
    <t>046NS</t>
  </si>
  <si>
    <t>WOS:000311772300011</t>
  </si>
  <si>
    <t>Tan, X; Yen, DC; Fang, X</t>
  </si>
  <si>
    <t>Internet integrated customer relationship management - A key success factor for companies in the E-commerce arena</t>
  </si>
  <si>
    <t>Customer Relationship Management (CRM); data mining; data warehouse; electronic commerce (E-commerce); Enterprise Resources Planning (ERP); Supply Chain Management (SCM)</t>
  </si>
  <si>
    <t>The purpose of this paper is to analyze the application of the Customer Relationship Management (CRM) in New Economy, which is characterized by the advancement in the information technology. The impacts of the Internet on CRM are assessed in detail in order to reveal the new opportunities and challenges related to CRM in the business settings. In addition, this paper addresses the relationship between CRM and other E-commerce applications, including ERP, SCM and Data Warehousing. Such addresses indicate the role of CRM in the E-commerce arena. Based on the analysis, CRM's future implications in the Internet era to be discussed.</t>
  </si>
  <si>
    <t>Miami Univ, Oxford, OH 45056 USA</t>
  </si>
  <si>
    <t>University System of Ohio; Miami University</t>
  </si>
  <si>
    <t>Tan, X (corresponding author), Miami Univ, Oxford, OH 45056 USA.</t>
  </si>
  <si>
    <t>Yen, David C./0000-0001-7093-0877</t>
  </si>
  <si>
    <t>INT ASSOC COMPUTER INFO SYSTEM</t>
  </si>
  <si>
    <t>STILLWATER</t>
  </si>
  <si>
    <t>OKLAHOMA ST UNIV COLLEGE OF BUSINESS, STILLWATER, OK 74078 USA</t>
  </si>
  <si>
    <t>SPR</t>
  </si>
  <si>
    <t>548UG</t>
  </si>
  <si>
    <t>WOS:000175407800011</t>
  </si>
  <si>
    <t>Alhameli, F; Elkamel, A; Betancourt-Torcat, A; Almansoori, A</t>
  </si>
  <si>
    <t>Alhameli, Falah; Elkamel, Ali; Betancourt-Torcat, Alberto; Almansoori, Ali</t>
  </si>
  <si>
    <t>A mixed-integer programming approach for clustering demand data for multiscale mathematical programming applications</t>
  </si>
  <si>
    <t>algorithm; clustering; computational performance; modeling; multiscale; process optimization</t>
  </si>
  <si>
    <t>CHAIN NETWORK DESIGN; CAPACITY EXPANSION; UNIT COMMITMENT; ALGORITHM; OPTIMIZATION; MODELS</t>
  </si>
  <si>
    <t>Across all sectors within the energy and process industry, tremendous efforts have been devoted toward the development and operation of agile manufacturing techniques to respond to customer needs and volatile markets while at the same time control costs, improve efficiency, and reduce pollution. This has created a demand for systems to solve complex integrated planning and scheduling problems that bridge the gap between the different functional and strategic decision-making levels. Integration across supply chain decision levels is key to improving investment returns. Different approaches have been proposed to tackle this problem. However, most of them are problem-specific or applicable only to short time horizons. Clustering has the potential to handle such problems by grouping similar input parameters together and considerably reduce the model size while not compromising solution accuracy. This work presents a new class of clustering algorithms to support the integration of planning applications of different time scales. The clustering algorithms were formulated using integer programming with integral absolute error as similarity measure. The algorithms were successfully applied to clustering electricity demand data and applied to the unit commitment problem. The computational performances of the proposed normal and sequence clustering algorithms were compared against a full planning model that does not employ clustering. The results show a clear advantage in terms of solution time compared to the full-scale case while maintaining solution accuracy.</t>
  </si>
  <si>
    <t>[Alhameli, Falah; Elkamel, Ali] Univ Waterloo, Dept Chem Engn, 200 Univ Ave West, Waterloo, ON N2L 3G1, Canada; [Elkamel, Ali; Betancourt-Torcat, Alberto; Almansoori, Ali] Khalifa Univ Sci &amp; Technol, Dept Chem Engn, Abu Dhabi, U Arab Emirates</t>
  </si>
  <si>
    <t>Elkamel, A (corresponding author), Univ Waterloo, Dept Chem Engn, 200 Univ Ave West, Waterloo, ON N2L 3G1, Canada.</t>
  </si>
  <si>
    <t>aelkamel@uwaterloo.ca</t>
  </si>
  <si>
    <t>elkamel, ali/ABC-2963-2020; Betancourt-Torcat, Alberto/ABB-9696-2020</t>
  </si>
  <si>
    <t>Betancourt-Torcat, Alberto/0000-0002-0344-7874; Almansoori, Ali/0000-0002-0789-5105</t>
  </si>
  <si>
    <t>e16578</t>
  </si>
  <si>
    <t>10.1002/aic.16578</t>
  </si>
  <si>
    <t>HX9TY</t>
  </si>
  <si>
    <t>WOS:000467752600024</t>
  </si>
  <si>
    <t>Li, Y; Liu, XD; Chen, Y</t>
  </si>
  <si>
    <t>Li, Ye; Liu, Xiaodong; Chen, Yan</t>
  </si>
  <si>
    <t>Supplier Evaluation and Selection Using Axiomatic Fuzzy Set and DEA Methodology in Supply Chain Management</t>
  </si>
  <si>
    <t>INTERNATIONAL JOURNAL OF FUZZY SYSTEMS</t>
  </si>
  <si>
    <t>Competitive suppliers; Fuzzy Analytic Hierarchy Process; Quantitative and qualitative factors; Data Envelopment Analysis; Axiomatic Fuzzy Set</t>
  </si>
  <si>
    <t>LOGIC OPERATIONS; DECISION-MAKING; REPRESENTATIONS; FRAMEWORK</t>
  </si>
  <si>
    <t>This article outlines a hybrid method, incorporating multiple techniques into an evaluation process, in order to select competitive suppliers in a supply chain. The Fuzzy Analytic Hierarchy Process (FAHP) model is constructed to calculate the weight of various factors, and get comprehensive character value. The Data Envelopment Analysis (DEA) is present to decide the backup suppliers. By performing Axiomatic Fuzzy Set (AFS) clustering method (X. D. Liu et al. IEEE Transaction on Systems, Man, Cybernetics, 2005), the final suppliers are selected and evaluated. In this paper, quantitative and qualitative factors, such as technical capability, product appearance, JIT capability, price, delivery rate and sale service rate are considered to determine suitable suppliers. Numerical example that fifteen suppliers and six criteria are studied and the experimental results show that the proposed evaluation framework is very well suited as supplier selection decisions even with the inter-correlation criteria/attributes.</t>
  </si>
  <si>
    <t>[Li, Ye; Liu, Xiaodong; Chen, Yan] Dalian Maritime Univ, Transportat Management Coll, Dalian, Peoples R China; [Li, Ye] Dalian Univ Technol, Sch Elect &amp; Informat Engn, Dalian, Peoples R China</t>
  </si>
  <si>
    <t>Dalian Maritime University; Dalian University of Technology</t>
  </si>
  <si>
    <t>Li, Y (corresponding author), Dalian Maritime Univ, Transportat Management Coll, Dalian, Peoples R China.</t>
  </si>
  <si>
    <t>liye_dlmu@sohu.com</t>
  </si>
  <si>
    <t>Science and Technology Item of Liaoning Province Education Ministry [2009A089]; China Postdoctoral Science Foundation [20110491531]; Natural Science Foundation of China [61175041]; China Awarding Doctor Degree Discipline [20110041110017]; Fundamental Research Funds for the Central Universities of China [2012QN070, 2012TD019]</t>
  </si>
  <si>
    <t>Science and Technology Item of Liaoning Province Education Ministry; China Postdoctoral Science Foundation(China Postdoctoral Science Foundation); Natural Science Foundation of China(National Natural Science Foundation of China (NSFC)); China Awarding Doctor Degree Discipline; Fundamental Research Funds for the Central Universities of China(Fundamental Research Funds for the Central Universities)</t>
  </si>
  <si>
    <t>This work is supported by the Science and Technology Item of Liaoning Province Education Ministry: 2009A089, and supported by China Postdoctoral Science Foundation under Grant 20110491531, and supported by the Natural Science Foundation of China under Grant 61175041, and supported by China Awarding Doctor Degree Discipline (20110041110017), and supported by the Fundamental Research Funds for the Central Universities of China (2012QN070, 2012TD019).</t>
  </si>
  <si>
    <t>1562-2479</t>
  </si>
  <si>
    <t>2199-3211</t>
  </si>
  <si>
    <t>INT J FUZZY SYST</t>
  </si>
  <si>
    <t>Int. J. Fuzzy Syst.</t>
  </si>
  <si>
    <t>Automation &amp; Control Systems; Computer Science, Artificial Intelligence; Computer Science, Information Systems</t>
  </si>
  <si>
    <t>979MW</t>
  </si>
  <si>
    <t>WOS:000306825100004</t>
  </si>
  <si>
    <t>Sheu, JB</t>
  </si>
  <si>
    <t>Sheu, Jiuh-Biing</t>
  </si>
  <si>
    <t>Dynamic relief-demand management for emergency logistics operations under large-scale disasters</t>
  </si>
  <si>
    <t>Emergency logistics operations; Relief-demand management; Multi-source data fusion; Fuzzy clustering; Entropy; TOPSIS</t>
  </si>
  <si>
    <t>SUPPLY-CHAIN; RESOURCE-ALLOCATION; INFORMATION; OPTIMIZATION; MODEL</t>
  </si>
  <si>
    <t>This paper presents a dynamic relief-demand management model for emergency logistics operations under imperfect information conditions in large-scale natural disasters. The proposed methodology consists of three steps: (1) data fusion to forecast relief demand in multiple areas, (2) fuzzy clustering to classify affected area into groups, and (3) multicriteria decision making to rank the order of priority of groups. The results of tests accounting for different experimental scenarios indicate that the overall forecast errors are lower than 10% inferring the proposed method's capability of dynamic relief-demand forecasting and allocation with imperfect information to facilitate emergency logistics operations. (C) 2009 Elsevier Ltd. All rights reserved.</t>
  </si>
  <si>
    <t>Natl Chiao Tung Univ, Inst Traff &amp; Transportat, Taipei 10012, Taiwan</t>
  </si>
  <si>
    <t>Sheu, JB (corresponding author), Natl Chiao Tung Univ, Inst Traff &amp; Transportat, 4F,114 Sec 1,Chung Hsiao W Rd, Taipei 10012, Taiwan.</t>
  </si>
  <si>
    <t>jbsheu@mail.nctu.edu.tw</t>
  </si>
  <si>
    <t>Sheu, Jiuh-Biing/L-8037-2019</t>
  </si>
  <si>
    <t>Sheu, Jiuh-Biing/0000-0002-8007-619X</t>
  </si>
  <si>
    <t>National Science Council of Taiwan [NSC 97-2410-H-009-042-MY3]</t>
  </si>
  <si>
    <t>National Science Council of Taiwan(Ministry of Science and Technology, Taiwan)</t>
  </si>
  <si>
    <t>This research was supported by grant NSC 97-2410-H-009-042-MY3 from the National Science Council of Taiwan. The author also wishes to thank the referees for their helpful comments. The valuable suggestions of Professor Wayne K. Talley to improve this paper are also gratefully acknowledged. Any errors or omissions remain the sole responsibility of the authors.</t>
  </si>
  <si>
    <t>10.1016/j.tre.2009.07.005</t>
  </si>
  <si>
    <t>514QE</t>
  </si>
  <si>
    <t>WOS:000271409100001</t>
  </si>
  <si>
    <t>Ancin, M; Pindado, E; Sanchez, M</t>
  </si>
  <si>
    <t>Ancin, Maria; Pindado, Emilio; Sanchez, Mercedes</t>
  </si>
  <si>
    <t>New trends in the global digital transformation process of the agri-food sector: An exploratory study based on Twitter</t>
  </si>
  <si>
    <t>AGRICULTURAL SYSTEMS</t>
  </si>
  <si>
    <t>Digital transformation; Agri-food sector; Agriculture 4; 0; Twitter; Data mining</t>
  </si>
  <si>
    <t>SOCIAL MEDIA; BIG DATA; ARTIFICIAL-INTELLIGENCE; DYNAMIC CAPABILITIES; SUPPLY CHAIN; ADOPTION; MANAGEMENT; COVID-19; SYSTEMS; TECHNOLOGIES</t>
  </si>
  <si>
    <t>CONTEXT: The agri-food system is undergoing pervasive changes in business models, facilitated by the use of digital technologies. Although today it is almost inevitable for any business to adopt some level of digital transformation to strengthen their competitiveness, this transition in the agri-food sector could be more complex, given its characteristics.OBJECTIVE: The aim of the study is to analyse worldwide the perceptions of new digital technologies in the agri-food sector expressed within social media platforms, identifying the differences that may exist between them regarding its objectives and social acceptance.METHODS: This paper examines the information regarding digital transformation process in the agri-food sector disseminated worldwide on Twitter. For that purpose, Twitter API is used to gather tweets and descriptive and content analyses, including a sentiment analysis, are performed using R and MAXQDA software.RESULTS AND CONCLUSIONS: We found that the digitalization of the agri-food sector is broadly discussed within Twitter. Different actors participate in these information flows, being companies and digital solution providers the most active users and academics and governmental institutions the most visible. Artificial Intel-ligence was the most mentioned technology, that together with the Internet of Things, Big Data, Machine Learning, and Cloud Computing, was related to improving production efficiencies, crop yield, or cost reduction. In the case of Blockchain Technology, it was closer to food supply chain actors, such as distribution companies and marketers. However, all these technologies are connected to the concept of sustainability. The sentiment analysis showed a generally positive tone, indicating social acceptance regarding the starting phase of the adoption of these technologies. The study also identified differences among countries, pointing to a stronger level of engagement with these technologies in developed regions. Moreover, the COVID-19 pandemic was seen as a chance to boost the digital transformation in the sector all over the world.SIGNIFICANCE: Our results demonstrate that data harvested from Twitter provide useful insight into perceptions of digital transformation and different digital technologies in the agri-food value chain across different countries. Information that could be useful for researchers, but also for agricultural firms and policymakers.</t>
  </si>
  <si>
    <t>[Ancin, Maria; Sanchez, Mercedes] Univ Publ Navarra, Inst Innovat &amp; Sustainable Dev Food Chain ISFOOD, Dept Business Management, Pamplona, Spain; [Pindado, Emilio] Tech Univ Madrid, Dept Agr Econ Stat &amp; Business Management, ETSIAAB, Madrid, Spain</t>
  </si>
  <si>
    <t>Universidad Publica de Navarra; Universidad Politecnica de Madrid</t>
  </si>
  <si>
    <t>Ancin, M (corresponding author), Univ Publ Navarra, Inst Innovat &amp; Sustainable Dev Food Chain ISFOOD, Dept Business Management, Pamplona, Spain.</t>
  </si>
  <si>
    <t>maria.ancin@unavarra.es</t>
  </si>
  <si>
    <t>Pindado, Emilio/E-4957-2018; SÁNCHEZ, MERCEDES/I-1325-2015</t>
  </si>
  <si>
    <t>Pindado, Emilio/0000-0002-4262-3201; SÁNCHEZ, MERCEDES/0000-0002-9959-5643</t>
  </si>
  <si>
    <t>Spanish Ministry of Science and Innovation [AEI/10.13039/501100011033]; FEDER Funds (EU) Una manera de hacer Europa [RTI2018-093791-B-C21]</t>
  </si>
  <si>
    <t>Spanish Ministry of Science and Innovation(Spanish Government); FEDER Funds (EU) Una manera de hacer Europa</t>
  </si>
  <si>
    <t>This work has been supported by the Spanish Ministry of Science and Innovation, AEI/10.13039/501100011033 and the FEDER Funds (EU) Una manera de hacer Europa, through the RTI2018-093791-B-C21 research project.</t>
  </si>
  <si>
    <t>0308-521X</t>
  </si>
  <si>
    <t>1873-2267</t>
  </si>
  <si>
    <t>AGR SYST</t>
  </si>
  <si>
    <t>Agric. Syst.</t>
  </si>
  <si>
    <t>10.1016/j.agsy.2022.103520</t>
  </si>
  <si>
    <t>Agriculture, Multidisciplinary</t>
  </si>
  <si>
    <t>4Z7GW</t>
  </si>
  <si>
    <t>WOS:000862373300004</t>
  </si>
  <si>
    <t>Yasaei, R; Faezi, S; Al Faruque, MA</t>
  </si>
  <si>
    <t>Yasaei, Rozhin; Faezi, Sina; Al Faruque, Mohammad Abdullah</t>
  </si>
  <si>
    <t>Golden Reference-Free Hardware Trojan Localization Using Graph Convolutional Network</t>
  </si>
  <si>
    <t>Hardware; Location awareness; Trojan horses; Codes; Integrated circuits; Feature extraction; Security; Golden reference-free; graph neural network; hardware security; Hardware Trojan (HT) localization; register transfer level (RTL)</t>
  </si>
  <si>
    <t>The globalization of the integrated circuit (IC) supply chain has moved most of the design, fabrication, and testing process from a single trusted entity to various untrusted third-party entities worldwide. The risk of using untrusted third-Party Intellectual Property (3PIP) is the possibility for adversaries to insert malicious modifications known as Hardware Trojans (HTs). These HTs can compromise the integrity, deteriorate the performance, deny the service, and alter the functionality of the design. While numerous HT detection methods have been proposed in the literature, the crucial task of HT localization is overlooked. Moreover, a few existing HT localization methods have several weaknesses: reliance on a golden reference, inability to generalize for all types of HT, lack of scalability, low localization resolution, and manual feature engineering/property definition. To overcome their shortcomings, we propose a novel, golden reference-free HT localization method at the pre-silicon stage by leveraging graph convolutional network (GCN). In this work, we convert the circuit design into its intrinsic data structure, graph, and extract the node attributes. Afterward, the graph convolution performs automatic feature extraction for nodes to classify the nodes as Trojan or benign. Our approach is automated and does not burden the designer with manual code review. It locates the Trojan signals with 99.6% accuracy, 93.1% F1-score, and a false-positive rate below 0.009%.</t>
  </si>
  <si>
    <t>[Yasaei, Rozhin; Faezi, Sina; Al Faruque, Mohammad Abdullah] Univ Calif Irvine, Dept Elect Engn &amp; Comp Sci, Irvine, CA 92697 USA</t>
  </si>
  <si>
    <t>University of California System; University of California Irvine</t>
  </si>
  <si>
    <t>Yasaei, R (corresponding author), Univ Calif Irvine, Dept Elect Engn &amp; Comp Sci, Irvine, CA 92697 USA.</t>
  </si>
  <si>
    <t>ryasaei@uci.edu</t>
  </si>
  <si>
    <t>Yasaei, Rozhin/0000-0001-5761-9865; Al Faruque, Mohammad Abdullah/0000-0002-5390-0497</t>
  </si>
  <si>
    <t>10.1109/TVLSI.2022.3191683</t>
  </si>
  <si>
    <t>4Y3OF</t>
  </si>
  <si>
    <t>WOS:000833047500001</t>
  </si>
  <si>
    <t>Werning, JP; Spinler, S</t>
  </si>
  <si>
    <t>Werning, Jan Philipp; Spinler, Stefan</t>
  </si>
  <si>
    <t>Transition to circular economy on firm level: Barrier identification and prioritization along the value chain</t>
  </si>
  <si>
    <t>Circular economy; Barriers; Organizational change; CE-Matrix; Sets of barriers; Firm-level</t>
  </si>
  <si>
    <t>PRODUCT-SERVICE SYSTEM; BUSINESS MODEL; UNCERTAIN QUALITY; REVERSE LOGISTICS; NETWORK DESIGN; LOOP; MANAGEMENT; OPPORTUNITIES; OPTIMIZATION; EXPERIENCES</t>
  </si>
  <si>
    <t>This research paper is concerned with potential barriers to the transition to a circular economy business model (CEBM) on the firm-level. Using a case study in the electronics manufacturing industry, we identify and analyze barriers in terms of their impact along the value chain (VC) as well as the level of difficulty required to overcome them. This allows us to map barriers to managerial responsibilities, thus improving the organizational transition process. The key findings of this research are: (1) To scale up CEBM on the firm-level, additional changes need to be implemented next to the oft-cited and discussed changes towards a Product-Service-System (PSS) and reverse logistics. Based on literature research and our case study, we put forward an extensive list of 29 potential barriers. (2) As managerial and financial resources are limited, we also suggest a priority ranking for barriers. Specifically, we show that barriers should be prioritized along the dimensions of their organizational resistivity and their impact on the VC. Organizational resistivity refers to the estimated effort along managerial time, financial resources, and cultural resistance for change, while VC impact refers to the ability of the barrier to influence and redirect product, parts, and material flows along the foreword and reverse supply chain. This type of barrier assessment is new to the literature. (3) We argue that the proposed method for barrier prioritization, which we term the Circular Economy Matrix, can be readily transferred to manufacturing firms in other industries. (4) Clustering the barriers along managerial responsibilities (sets of barriers) is shown to lead to a more efficient and effective transition, as gauged by incurred transaction costs. (C) 2019 Elsevier Ltd. All rights reserved.</t>
  </si>
  <si>
    <t>[Werning, Jan Philipp; Spinler, Stefan] Kuhne Inst Logist, Chair Logist Management, Hamburg, Germany</t>
  </si>
  <si>
    <t>Werning, JP (corresponding author), Kuhne Inst Logist, Chair Logist Management, Hamburg, Germany.</t>
  </si>
  <si>
    <t>Jan-Philipp.Werning@whu.edu; Stefan.Spinler@whu.edu</t>
  </si>
  <si>
    <t>FEB 1</t>
  </si>
  <si>
    <t>10.1016/j.jclepro.2019.118609</t>
  </si>
  <si>
    <t>JX4XQ</t>
  </si>
  <si>
    <t>WOS:000503739400116</t>
  </si>
  <si>
    <t>Li, QB; Xiao, R</t>
  </si>
  <si>
    <t>Li, Qiubo; Xiao, Ru</t>
  </si>
  <si>
    <t>The use of data mining technology in agricultural e-commerce under the background of 6G Internet of things communication</t>
  </si>
  <si>
    <t>Data mining; Agricultural e-commerce; Internet of things; Logistics distribution system</t>
  </si>
  <si>
    <t>SUPPLY CHAIN; LOGISTICS; SYSTEM</t>
  </si>
  <si>
    <t>In view of the particularity of agricultural products and the shortcomings of existing agricultural products logistics distribution system, to reduce the cost of agricultural e-commerce logistics distribution and improve customer satisfaction, in this exploration, data mining technology in the field of artificial intelligence is used. Based on the analysis of the distribution efficiency of the current mainstream agricultural products logistics distribution mode, the logistics mode is optimized and improved, and the agricultural e-commerce common delivery mode is proposed. The logistics cost and customer satisfaction under the logistics mode are tested and analyzed through genetic algorithm and MATLAB software. The results show that the timely distribution rate of three modes of self-operated distribution, third-party logistics and common delivery decreases with the increase of orders; the timely distribution rate of common delivery mode fluctuates the most, followed by the third-party logistics mode; the timely distribution rate of self-operated distribution mode is the stablest, but it is relatively low. The calculation of genetic algorithm reveals that the optimized common delivery mode of agricultural products logistics has a significant effect on oil consumption, damage cost and other aspects. By implementing the common delivery mode, the oil consumption cost, the penalty cost, the refrigeration cost, and the damage cost are optimized by 26.7%, 31.7%, 30.3% and 19.6%, respectively. Moreover, 95% of customers are totally satisfied. In this exploration, the data mining technology is used to optimize the agricultural products distribution mode, which makes a beneficial exploration for solving the logistics bottleneck problem in the e-commerce environment, enriches the research of e-commerce logistics distribution system, and provides reference for promoting the development of agricultural products e-commerce logistics system and improving the efficiency of agricultural products logistics distribution.</t>
  </si>
  <si>
    <t>[Li, Qiubo] Fuyang Normal Univ, Business Sch, Fuyang, Peoples R China; [Xiao, Ru] Fuyang Normal Univ, Finan Dept, Fuyang, Peoples R China</t>
  </si>
  <si>
    <t>Fuyang Normal University; Fuyang Normal University</t>
  </si>
  <si>
    <t>Li, QB (corresponding author), Fuyang Normal Univ, Business Sch, Fuyang, Peoples R China.</t>
  </si>
  <si>
    <t>201507014@fynu.edu.cn; 201812002@fynu.edu.cn</t>
  </si>
  <si>
    <t>Humanities and Social Sciences Project of Fuyang Normal University [2017WLGH01ZD]; Anhui Province Philosophy and Social Science Planning Project [AHSKQ2019D019]</t>
  </si>
  <si>
    <t>Humanities and Social Sciences Project of Fuyang Normal University; Anhui Province Philosophy and Social Science Planning Project</t>
  </si>
  <si>
    <t>This research was supported by the following fundings: 1. Humanities and Social Sciences Project of Fuyang Normal University (Grant No. 2017WLGH01ZD); 2. Anhui Province Philosophy and Social Science Planning Project (Grant No. AHSKQ2019D019).</t>
  </si>
  <si>
    <t>10.1007/s13198-021-01108-9</t>
  </si>
  <si>
    <t>TG7HY</t>
  </si>
  <si>
    <t>WOS:000640961100001</t>
  </si>
  <si>
    <t>Liang, C; Lin, HB; Ma, HT</t>
  </si>
  <si>
    <t>Liang, Chao; Lin, Hongbo; Ma, Haitao</t>
  </si>
  <si>
    <t>Reinforcement Learning-Based Denoising Model for Seismic Random Noise Attenuation</t>
  </si>
  <si>
    <t>IEEE TRANSACTIONS ON GEOSCIENCE AND REMOTE SENSING</t>
  </si>
  <si>
    <t>Noise reduction; Data models; Adaptation models; Training data; Noise measurement; Feature extraction; Noise level; Denoising; machine learning; reinforcement learning (RL); seismic exploration; seismic random noise</t>
  </si>
  <si>
    <t>NETWORK; AUTOENCODER; SUPPRESSION; TRANSFORM</t>
  </si>
  <si>
    <t>The random noise attenuation is an essential step in seismic data processing. Due to complex geological conditions and acquisition environment, the intensity of the effective signal and random noise varies in time and space. Additionally, the morphology of seismic events is complex and diverse, such as large dips and fast changes. These complex conditions necessitate that the denoiser adjust the filtering policy dynamically. In this article, we propose a reinforcement learning-based seismic denoising (RLSD) model with the framework of asynchronous advantage actor-critic (A3C). In the A3C framework, the RLSD agent utilizes a policy network to learn a denoising policy for the state that is the sample of seismic data and selects a suitable filter from the preset action space composed of multiple simple and effective seismic filters with different parameters. Moreover, the RLSD agent utilizes a value network and a region-adaptive weighted reward function to accurately evaluate the denoising effect of nonstationary seismic signals. A curriculum learning approach is adopted to achieve convergence of the proposed RLSD model under complex seismic data by training from the stationary training data to nonstationary training data and make the model more suitable to the data to be processed by using a local similarity-based reward function to fine-tune the model. The synthetic and field seismic data applications confirm that the proposed RLSD model achieves a significant performance in preserving nonstationary signals and suppressing noise by adaptively adjusting the denoising policy according to the complex structural features and noise levels.</t>
  </si>
  <si>
    <t>[Liang, Chao; Lin, Hongbo; Ma, Haitao] Jilin Univ, Coll Commun &amp; Engn, Dept Informat, Changchun 130012, Peoples R China</t>
  </si>
  <si>
    <t>Jilin University</t>
  </si>
  <si>
    <t>Lin, HB (corresponding author), Jilin Univ, Coll Commun &amp; Engn, Dept Informat, Changchun 130012, Peoples R China.</t>
  </si>
  <si>
    <t>cliang19@qq.com; hblin@jlu.edu.cn; mahaitao93@gmail.com</t>
  </si>
  <si>
    <t>National Natural Science Foundation of China [41774117]</t>
  </si>
  <si>
    <t>This work was supported by the National Natural Science Foundation of China under Grant 41774117.</t>
  </si>
  <si>
    <t>0196-2892</t>
  </si>
  <si>
    <t>1558-0644</t>
  </si>
  <si>
    <t>IEEE T GEOSCI REMOTE</t>
  </si>
  <si>
    <t>IEEE Trans. Geosci. Remote Sensing</t>
  </si>
  <si>
    <t>10.1109/TGRS.2023.3268718</t>
  </si>
  <si>
    <t>Geochemistry &amp; Geophysics; Engineering, Electrical &amp; Electronic; Remote Sensing; Imaging Science &amp; Photographic Technology</t>
  </si>
  <si>
    <t>Geochemistry &amp; Geophysics; Engineering; Remote Sensing; Imaging Science &amp; Photographic Technology</t>
  </si>
  <si>
    <t>F5AR9</t>
  </si>
  <si>
    <t>WOS:000982478600013</t>
  </si>
  <si>
    <t>Li, XZ; Wang, XJ; Zhang, Y; Miao, X</t>
  </si>
  <si>
    <t>Li, Xiuzhen; Wang, Xiangjin; Zhang, Yun; Miao, Xiao</t>
  </si>
  <si>
    <t>Spatial Differences in Emission Reduction Effect of Servitization of Manufacturing Industry Export in China</t>
  </si>
  <si>
    <t>EMERGING MARKETS FINANCE AND TRADE</t>
  </si>
  <si>
    <t>Manufacturing servitization; carbon emission embodied in export; regional space; global value chain</t>
  </si>
  <si>
    <t>Manufacturing servitization may reduce energy consumption and achieve low-carbonization of global value chain. We calculated and analyzed carbon emissions embodied in export and manufacturing servitization with China as research object, and found that spatial clustering characteristics of export-embodied carbon emissions and spatial differences in emission reduction effect were significant, and reduction effect of manufacturing servitization on export-embodied carbon emissions in eastern and northeastern China has a stronger role than in other regions. So countries should strengthen coordination of cross-regional inter-industry value chains, and reduce manufacturing emissions by improving servitization.</t>
  </si>
  <si>
    <t>[Li, Xiuzhen] Shanghai Lixin Univ Accounting &amp; Finance, Sch Int Econ &amp; Trade, Shanghai, Peoples R China; [Wang, Xiangjin; Zhang, Yun] Shanghai Lixin Univ Accounting &amp; Finance, Sch Finance, Shanghai 201209, Peoples R China; [Miao, Xiao] Shanghai Univ Tradit Chinese Med, Innovat Res Inst Tradit Chinese Med, Shanghai 201203, Peoples R China</t>
  </si>
  <si>
    <t>Shanghai Lixin University of Accounting &amp; Finance; Shanghai Lixin University of Accounting &amp; Finance; Shanghai University of Traditional Chinese Medicine</t>
  </si>
  <si>
    <t>Wang, XJ (corresponding author), Shanghai Lixin Univ Accounting &amp; Finance, Sch Finance, Shanghai 201209, Peoples R China.;Miao, X (corresponding author), Shanghai Univ Tradit Chinese Med, Innovat Res Inst Tradit Chinese Med, Shanghai 201203, Peoples R China.</t>
  </si>
  <si>
    <t>wangxiangjin2009@163.com; 0000002623@shutcm.edu.cn</t>
  </si>
  <si>
    <t>Humanities and social sciences youth research project [17YJC790081]; Ministry of Education of China [18YJA790111]; Shanghai Education Development Foundation; Shanghai Municipal Education Commission [16SG51]; China Postdoctoral Science Foundation [2017M611424]; Shanghai High-level University Development Project</t>
  </si>
  <si>
    <t>Humanities and social sciences youth research project; Ministry of Education of China(Ministry of Education, China); Shanghai Education Development Foundation; Shanghai Municipal Education Commission(Shanghai Municipal Education Commission (SHMEC)); China Postdoctoral Science Foundation(China Postdoctoral Science Foundation); Shanghai High-level University Development Project</t>
  </si>
  <si>
    <t>This study is supported by Humanities and social sciences youth research project (NO. 17YJC790081) and planning research project (NO. 18YJA790111) by Ministry of Education of China, the Shuguang Program supported by the Shanghai Education Development Foundation and Shanghai Municipal Education Commission (No.16SG51), the project funded by the China Postdoctoral Science Foundation (No.2017M611424), and the Shanghai High-level University Development Project.</t>
  </si>
  <si>
    <t>1540-496X</t>
  </si>
  <si>
    <t>1558-0938</t>
  </si>
  <si>
    <t>EMERG MARK FINANC TR</t>
  </si>
  <si>
    <t>Emerg. Mark. Financ. Trade</t>
  </si>
  <si>
    <t>10.1080/1540496X.2020.1799782</t>
  </si>
  <si>
    <t>Business; Economics; International Relations</t>
  </si>
  <si>
    <t>Business &amp; Economics; International Relations</t>
  </si>
  <si>
    <t>SL7UV</t>
  </si>
  <si>
    <t>WOS:000558515500001</t>
  </si>
  <si>
    <t>Shi, ZM; Li, YS; Lu, CX</t>
  </si>
  <si>
    <t>Shi, Zhiming; Li, Yisong; Lu, Changxiang</t>
  </si>
  <si>
    <t>A study on optimization of delayed production mode of iron and steel enterprises based on data mining</t>
  </si>
  <si>
    <t>SUPPLY CHAIN; DECOUPLING POINTS; TO-STOCK; ORDER; POLICIES; COSTS</t>
  </si>
  <si>
    <t>Delayed production mode has been adopted by an increasing number of process production enterprises as a method to realize mass customization of multi-products. This paper used the convolutional neural network-long short-term memory artificial neural network algorithm (C-LSTM) in data mining technology to analyze and determine factors that have an impact on delayed production mode in the internal and external production and operation of enterprises. Combined with the actual production situation of iron and steel enterprises, a quantitative model of the delayed production was constructed. Lastly, data from a large iron and steel enterprise with good operation was used to verify the validity of the proposed model and analyze key influencing factors. According to the research, in scenarios of considering PDP alone, considering CODP alone, considering both PDP and CODP, considering PDP and CODP and using data mining technology to model, the matching degree of these methods with the actual situation of the enterprise is 31.8%, 61.4%, 71.6% and 86.6%, respectively. The numerical analysis results of the model based on data mining technology show that in delayed production, when customer service level improves or the delay penalty coefficient increases, the optimal locations of the product differentiation point (PDP) and customer order decoupling point (CODP) move toward the end of production, and the total cost increases gradually. When the difference in production cost or benefit of early delivery between the candidate locations of PDP and CODP is small, optimal locations of PDP and CODP are close to the beginning of the general and dedicated production processes. With an increase of cost difference or early delivery benefit, the optimal locations of PDP and CODP jumped to the end stage of the general and dedicated production processes, and the total cost begins to decrease.</t>
  </si>
  <si>
    <t>[Shi, Zhiming; Li, Yisong] Beijing Jiaotong Univ, Sch Econ &amp; Management, Beijing, Peoples R China; [Lu, Changxiang] Taizhou Univ, Inst Publ Hlth &amp; Emergency Management, Taizhou, Zhejiang, Peoples R China; [Lu, Changxiang] Taizhou Univ, Business Colleage, Taizhou, Zhejiang, Peoples R China</t>
  </si>
  <si>
    <t>Beijing Jiaotong University; Taizhou University; Taizhou University</t>
  </si>
  <si>
    <t>Shi, ZM (corresponding author), Beijing Jiaotong Univ, Sch Econ &amp; Management, Beijing, Peoples R China.;Lu, CX (corresponding author), Taizhou Univ, Inst Publ Hlth &amp; Emergency Management, Taizhou, Zhejiang, Peoples R China.;Lu, CX (corresponding author), Taizhou Univ, Business Colleage, Taizhou, Zhejiang, Peoples R China.</t>
  </si>
  <si>
    <t>18113047@bjtu.edu.cn; chauncy.lu@qq.com</t>
  </si>
  <si>
    <t>JAN 18</t>
  </si>
  <si>
    <t>e0278750</t>
  </si>
  <si>
    <t>10.1371/journal.pone.0278750</t>
  </si>
  <si>
    <t>9R2WK</t>
  </si>
  <si>
    <t>WOS:000945515100001</t>
  </si>
  <si>
    <t>Gómez-Lagos, JE; González-Araya, MC; Blu, RO; Espejo, LGA</t>
  </si>
  <si>
    <t>Gomez-Lagos, Javier E.; Gonzalez-Araya, Marcela C.; Ortega Blu, Rodrigo; Acosta Espejo, Luis G.</t>
  </si>
  <si>
    <t>A new method based on machine learning to forecast fruit yield using spectrometric data: analysis in a fruit supply chain context</t>
  </si>
  <si>
    <t>PRECISION AGRICULTURE</t>
  </si>
  <si>
    <t>Fruit yield forecast; Normalized Difference Vegetation Index; Machine learning; Artificial neural network; Spatial Fuzzy c-Means algorithm</t>
  </si>
  <si>
    <t>OPTIMIZATION APPROACH; NEURAL-NETWORKS; PREDICTION; LOGISTICS; MULTIPLE; MODEL; SIZE</t>
  </si>
  <si>
    <t>The fruit supply chain (FSC) involves different stages that need to be planned at least two months in advance. Therefore, having a good fruit yield forecast with anticipation allows making timely correct decisions for providing the resources, transport, and cold storage contracts, among others. Therefore, fruit yield over or underestimation could cause important inefficiencies with regards to FSC. Because of its relevance, a method based on machine learning (ML) techniques that uses spectrometric vegetation data is proposed. This method, known as Spectrometry Based Method for Fruit Production Forecast (SBM-Fruit), allows exploring the georeferenced Normalized Difference Vegetation Index (NDVI), collected in different phenological stages, aiming to capture spatial and temporal dependency in the fruit yield forecast. In the first step of SBM-Fruit, several clusters are obtained in a clustering process using the georeferenced NDVI in all phenological stages as input, while, in the second step, two validation functions are used for determining the best clustering. Finally, in the third step, the predictor variables of the best clustering are incorporated into an artificial neural network (ANN) for predicting the fruit yield. The SBM-Fruit was applied to forecast table grape yield of an orchard located in the Valparaiso Region, Chile. The results show fruit yield estimations with mean errors around 0.013 percent for every spatial zone of the orchard, forecasted at least two months in advance. The use of the SBM-Fruit would allow FSC stakeholders to make better decisions, improving the coordination of the FSC stages, and reducing costs and fruit losses.</t>
  </si>
  <si>
    <t>[Gomez-Lagos, Javier E.] Univ Talca, Fac Engn, Sistemas Ingn, Campus Curico,Camino Los Niches,Km 1, Curico, Chile; [Gonzalez-Araya, Marcela C.] Univ Talca, Fac Engn, Dept Ind Engn, Campus Curico,Camino Los Niches Km 1, Curico, Chile; [Ortega Blu, Rodrigo; Acosta Espejo, Luis G.] Univ Tecn Federico Santa Maria, Dept Ingn Comercial, Ave Santa Maria 6400, Santiago, Chile</t>
  </si>
  <si>
    <t>Universidad de Talca; Universidad de Talca; Universidad Tecnica Federico Santa Maria</t>
  </si>
  <si>
    <t>González-Araya, MC (corresponding author), Univ Talca, Fac Engn, Dept Ind Engn, Campus Curico,Camino Los Niches Km 1, Curico, Chile.</t>
  </si>
  <si>
    <t>javier.gomez@utalca.cl; mgonzalez@utalca.cl; rodrigo.ortega@usm.cl; luis.acosta@usm.cl</t>
  </si>
  <si>
    <t>González-Araya, Marcela C./K-4474-2017; Gomez Lagos, Javier/GRZ-0421-2022</t>
  </si>
  <si>
    <t>González-Araya, Marcela C./0000-0002-4969-2939; Gomez-Lagos, Javier/0000-0003-1149-1434; Ortega, Rodrigo/0000-0001-8294-1311; Acosta, Luis/0000-0001-5563-5087</t>
  </si>
  <si>
    <t>FONDECYT [1191764]; CONICYT PFCHA/DOCTORADO BECAS CHILE [2019-21191364]</t>
  </si>
  <si>
    <t>FONDECYT(Comision Nacional de Investigacion Cientifica y Tecnologica (CONICYT)CONICYT FONDECYT); CONICYT PFCHA/DOCTORADO BECAS CHILE</t>
  </si>
  <si>
    <t>DSc. Marcela C. Gonzalez-Araya would like to thank FONDECYT project 1191764 (Chile) for their financial support. MSc. Javier Gomez is grateful for the research funding provided under the CONICYT PFCHA/DOCTORADO BECAS CHILE 2019-21191364 (Chile).</t>
  </si>
  <si>
    <t>1385-2256</t>
  </si>
  <si>
    <t>1573-1618</t>
  </si>
  <si>
    <t>PRECIS AGRIC</t>
  </si>
  <si>
    <t>Precis. Agric.</t>
  </si>
  <si>
    <t>10.1007/s11119-022-09947-7</t>
  </si>
  <si>
    <t>8A1TD</t>
  </si>
  <si>
    <t>WOS:000844914800001</t>
  </si>
  <si>
    <t>Wehrle, M; Lechler, S; von der Gracht, HA; Hartmann, E</t>
  </si>
  <si>
    <t>Wehrle, Manuel; Lechler, Sabrina; von der Gracht, Heiko A.; Hartmann, Evi</t>
  </si>
  <si>
    <t>Digitalization and its Impact on the Future Role of SCM Executives in Talent Management - An International Cross-Industry Delphi Study</t>
  </si>
  <si>
    <t>talent management; digitalization; Delphi method; supply chain</t>
  </si>
  <si>
    <t>SUPPLY CHAIN MANAGEMENT; ACTOR-NETWORK THEORY; REAL-TIME DELPHI; GIG ECONOMY; BIG DATA; LOGISTICS; INFORMATION; ANALYTICS; EDUCATION; CHALLENGES</t>
  </si>
  <si>
    <t>In the field of supply chain management (SCM), attracting and developing appropriate talent is critical for achieving most SCM goals, as extensive skills are necessary to do the job properly. In order to ensure that future-proof talent can continue to emerge in this discipline, the role of SCM executives is extremely important. Although many studies have been conducted in the field of talent management (TM), the future role of SCM executives has been mostly neglected in research. The present empirical study addresses this gap, taking into consideration the fourth industrial revolution, as innovation in technology continues to drive significant changes in the SCM field. Aiming to investigate the extent to which increasing digitalization is influencing the future role of SCM executives, a Delphi study with 103 experts from industry, academics, and politics/associations was carried out. In order to identify meaningful topic clusters from the data, fuzzy c-means clustering was used. From an actor-network theory perspective, our results show that in some areas of TM, digitalization is leading to a strong fusion of SCM executives and digital technologies, as well as to a clear division of roles, in which either SCM leaders or technology will dominate in the future.</t>
  </si>
  <si>
    <t>[Wehrle, Manuel; Lechler, Sabrina; Hartmann, Evi] Friedrich Alexander Univ Erlangen Nuremberg, Nurnberg, Germany; [von der Gracht, Heiko A.] Steinbeis Univ, Sch Int Business &amp; EntrepreneurshipOpen Access Fu, Berlin, Germany</t>
  </si>
  <si>
    <t>Hartmann, E (corresponding author), Friedrich Alexander Univ Erlangen Nuremberg, Chair Supply Chain Management, Lange Gasse 20, D-90403 Nurnberg, Germany.</t>
  </si>
  <si>
    <t>evi.hartmann@fau.de</t>
  </si>
  <si>
    <t>von der Gracht, Heiko/0000-0002-7376-1236; Hartmann, Evi/0000-0002-5055-4074</t>
  </si>
  <si>
    <t>10.1111/jbl.12259</t>
  </si>
  <si>
    <t>PQ2MX</t>
  </si>
  <si>
    <t>WOS:000606384800006</t>
  </si>
  <si>
    <t>Muench, C; Wehrle, M; Kuhn, T; Hartmann, E</t>
  </si>
  <si>
    <t>Muench, Christopher; Wehrle, Manuel; Kuhn, Tobias; Hartmann, Evi</t>
  </si>
  <si>
    <t>The research landscape around the physical internet - a bibliometric analysis</t>
  </si>
  <si>
    <t>Physical internet; logistics; supply chain management; bibliometric analysis; bibliometric coupling</t>
  </si>
  <si>
    <t>SUPPLY CHAIN MANAGEMENT; PRODUCT-SERVICE SYSTEM; BLOCKCHAIN TECHNOLOGY; INDUSTRY 4.0; LOGISTICS; NETWORKS; FIELD; HUB</t>
  </si>
  <si>
    <t>The concept of the Physical Internet (PI) has been introduced as a vision for globally efficient and sustainable logistics. Examining the activities of the PI since its foundation, enormous efforts can be recognised in the political and business spheres. Furthermore, the topic has received considerable attention from logistics and supply chain management scientists. In this context, a wide variety of dimensions of the PI concept has been investigated. In contrast to some existing qualitative literature reviews, this study focuses on a quantitative review methodology to provide a holistic overview of the PI concept and its underlying dimensions and interrelations. Based on bibliometric performance analysis and science mapping, this research maps and connects the extant PI literature landscape. In doing so, the most important journals, researchers, and institutions in the PI field are identified. Furthermore, eight research topics are grouped thematically, including PI benefits and the challenge of its operationalisation, carriers and shippers in the PI network, PI foundations, smart product-service systems and services, hyperconnected city logistics, information and communication technology requirements, modular PI containers, and organisation and control of PI hubs. Based on the clustering of existing research, the study concludes by providing directions for future research.</t>
  </si>
  <si>
    <t>[Muench, Christopher; Wehrle, Manuel; Kuhn, Tobias; Hartmann, Evi] Friedrich Alexander Univ Erlangen Nurnberg, Chair Supply Chain Management, Nurnberg, Germany; [Muench, Christopher] Friedrich Alexander Univ Erlangen Nurnberg, Chair Supply Chain Management, Lange Gasse 20, Nurnberg, Germany</t>
  </si>
  <si>
    <t>Muench, C (corresponding author), Friedrich Alexander Univ Erlangen Nurnberg, Chair Supply Chain Management, Lange Gasse 20, Nurnberg, Germany.</t>
  </si>
  <si>
    <t>christopher.muench@fau.de</t>
  </si>
  <si>
    <t>Muench, Christopher/AAC-2184-2022</t>
  </si>
  <si>
    <t>Munch, Christopher/0000-0001-8829-0820; Hartmann, Evi/0000-0002-5055-4074</t>
  </si>
  <si>
    <t>2023 MAY 4</t>
  </si>
  <si>
    <t>10.1080/00207543.2023.2205969</t>
  </si>
  <si>
    <t>G3AB6</t>
  </si>
  <si>
    <t>WOS:000987914800001</t>
  </si>
  <si>
    <t>Xue, J; Zhang, WJ; Rasool, Z; Zhou, JH</t>
  </si>
  <si>
    <t>Xue, Jian; Zhang, Wenjing; Rasool, Zeeshan; Zhou, Jinhua</t>
  </si>
  <si>
    <t>A review of supply chain coordination management based on bibliometric data</t>
  </si>
  <si>
    <t>ALEXANDRIA ENGINEERING JOURNAL</t>
  </si>
  <si>
    <t>Sustainable development; Bibliometrics; Clustering analysis; Timetone view; SCCM</t>
  </si>
  <si>
    <t>MODEL; LOGISTICS; FRAMEWORK; SINGLE</t>
  </si>
  <si>
    <t>Aotract Supply Chain Coordination Management (SCCM) is an effective tool and has become a hot topic related to the supply chain. In order to clarify the SCCM research framework and its evo-lution, we conducted a literature study, using 5748 papers collected from the Web of Science data-base from 2005 to 2020 as the data source, using bibliometric analysis and visualization methods to document the SCCM research Quantitative analysis and visual analysis. This article first analyzes the time series distribution of papers published in the SCCM field, the core author group, the dis-tribution of research institutions, the distribution of important journals, the author's co-occurrence network, and the keyword cluster analysis, and explains the current research status and research hotspots of SCCM. Secondly, use CiteSpace software to conduct timetone cluster analysis of key-words in the SCCM field, and further explore the frontiers of SCCM research. Finally, 5748 doc-uments are summarized, and the research hotspots of SCCM in various time periods are systematically explained, which can provide theoretical and practical references for the future research. (c) 2022 THE AUTHORS. Published by Elsevier B.V. on behalf of Faculty of Engineering, Alexandria University. This is an open access article under the CC BY-NC-ND license (http://creativecommons.org/ licenses/by-nc-nd/4.0/).</t>
  </si>
  <si>
    <t>[Xue, Jian; Zhang, Wenjing; Rasool, Zeeshan; Zhou, Jinhua] Shaanxi Univ Sci &amp; Technol, Sch Econ &amp; Management, Univ Pk Weiyang Dist, Xian 710021, Peoples R China; [Rasool, Zeeshan] NFC IET, Dept Business Adm, Multan, Pakistan</t>
  </si>
  <si>
    <t>Shaanxi University of Science &amp; Technology</t>
  </si>
  <si>
    <t>Zhang, WJ; Zhou, JH (corresponding author), Shaanxi Univ Sci &amp; Technol, Sch Econ &amp; Management, Univ Pk Weiyang Dist, Xian 710021, Peoples R China.</t>
  </si>
  <si>
    <t>1907017@sust.edu.cn; zhoujinhua@sust.edu.cn</t>
  </si>
  <si>
    <t>Social Science Foundation of Shaanxi Province [2021R005, 2021R001]; Special Research Program of Education Department of Shaanxi Province [21JK0065]; New Style Think Tank of Shaanxi Universities (Research Center for Auxiliary Chemistry and New Materials Development, Shaanxi University of Science and Technology) [ACNM-202202]</t>
  </si>
  <si>
    <t>Social Science Foundation of Shaanxi Province; Special Research Program of Education Department of Shaanxi Province; New Style Think Tank of Shaanxi Universities (Research Center for Auxiliary Chemistry and New Materials Development, Shaanxi University of Science and Technology)</t>
  </si>
  <si>
    <t>This research was funded by the Social Science Foundation of Shaanxi Province (grant numbers 2021R005; 2021R001) ; the Special Research Program of Education Department of Shaanxi Province (grant number 21JK0065) ; the New Style Think Tank of Shaanxi Universities (Research Center for Auxiliary Chemistry and New Materials Development, Shaanxi University of Science and Technology) (grant number ACNM-202202) ;</t>
  </si>
  <si>
    <t>1110-0168</t>
  </si>
  <si>
    <t>2090-2670</t>
  </si>
  <si>
    <t>ALEX ENG J</t>
  </si>
  <si>
    <t>Alex. Eng. J.</t>
  </si>
  <si>
    <t>10.1016/j.aej.2022.04.013</t>
  </si>
  <si>
    <t>1L9PD</t>
  </si>
  <si>
    <t>WOS:000799611500012</t>
  </si>
  <si>
    <t>Sanguri, K; Bhuyan, A; Patra, S</t>
  </si>
  <si>
    <t>Sanguri, Kamal; Bhuyan, Atanu; Patra, Sabyasachi</t>
  </si>
  <si>
    <t>A semantic similarity adjusted document co-citation analysis: a case of tourism supply chain</t>
  </si>
  <si>
    <t>SCIENTOMETRICS</t>
  </si>
  <si>
    <t>Document co-citation analysis; Network analysis; Cluster analysis; Tourism supply chain; Latent semantic analysis</t>
  </si>
  <si>
    <t>OPTIMAL PRICING STRATEGY; PARTIAL LEAST-SQUARES; SUSTAINABLE TOURISM; SCIENTIFIC LITERATURE; WORD ANALYSIS; R PACKAGE; MANAGEMENT; INFORMATION; OPERATORS; FOOD</t>
  </si>
  <si>
    <t>Document co-citation analysis (DCA) is employed across various academic disciplines and contexts to characterise the structure of knowledge. Since the introduction of the method for DCA by Small (J Am Soc Inf Sci 24(4):265-269, 1973) a variety of modifications towards optimising its results have been proposed by several researchers. We recommend a new approach to improve the results of DCA by integrating the concept of the document similarity measure into it. Our proposed method modifies DCA by incorporating the semantic similarity using latent semantic analysis for the abstracts of the top-cited documents. The interaction of these two measures results in a new measure that we call as the semantic similarity adjusted co-citation index. The effectiveness of the proposed method is evaluated through an empirical study of the tourism supply chain (TSC), where we employ the techniques of the network and cluster analyses. The study also comprehensively explores the resulting knowledge structures from both the methods. The results of our case study suggest that the clustering quality and knowledge map of the domain can be improved by considering the document similarity along with their co-citation strength.</t>
  </si>
  <si>
    <t>[Sanguri, Kamal; Bhuyan, Atanu; Patra, Sabyasachi] Indian Inst Management Kashipur, Kashipur 244713, Uttarakhand, India</t>
  </si>
  <si>
    <t>Indian Institute of Management (IIM System); Indian Institute of Management Kashipur</t>
  </si>
  <si>
    <t>Sanguri, K (corresponding author), Indian Inst Management Kashipur, Kashipur 244713, Uttarakhand, India.</t>
  </si>
  <si>
    <t>kamal.fpm1807@iimkashipur.ac.in</t>
  </si>
  <si>
    <t>Patra, Sabyasachi/AAU-4473-2020</t>
  </si>
  <si>
    <t>Bhuyan, Atanu/0000-0001-9374-4911; Patra, Sabyasachi/0000-0003-4119-7420; Sanguri, Kamal/0000-0003-2190-5418</t>
  </si>
  <si>
    <t>0138-9130</t>
  </si>
  <si>
    <t>1588-2861</t>
  </si>
  <si>
    <t>Scientometrics</t>
  </si>
  <si>
    <t>10.1007/s11192-020-03608-0</t>
  </si>
  <si>
    <t>Computer Science, Interdisciplinary Applications; Information Science &amp; Library Science</t>
  </si>
  <si>
    <t>Computer Science; Information Science &amp; Library Science</t>
  </si>
  <si>
    <t>NL7AC</t>
  </si>
  <si>
    <t>WOS:000550610700005</t>
  </si>
  <si>
    <t>Cheng, J; Peng, S; Cheng, R; Wu, XQ; Fang, X</t>
  </si>
  <si>
    <t>Cheng, Jing; Peng, Sen; Cheng, Rui; Wu, Xingqi; Fang, Xu</t>
  </si>
  <si>
    <t>Burst Area Identification of Water Supply Network by Improved DenseNet Algorithm with Attention Mechanism</t>
  </si>
  <si>
    <t>WATER RESOURCES MANAGEMENT</t>
  </si>
  <si>
    <t>Pipe burst area identification; Deep learning; Attention mechanism; Water supply network; FA-DenseNet</t>
  </si>
  <si>
    <t>Pipe burst events pose threats to the safety and stability of water supply networks. Deep learning models have been studied for burst location analysis in recent years, but the applicability of the methods needs further research to cope with different size and hydraulic status of pipe networks. A novel framework of burst area identification based on an improved DenseNet model is proposed in this paper. First, according to regional characteristics of hydraulic state caused by pipe burst events, pipe network is divided into monitoring areas. Then, a new model by fully linear DenseNet with attention mechanism (FA-DenseNet) is developed for effective feature extraction and burst area identification. Thirdly, Bayesian optimization algorithm is introduced to automatically optimize the hyperparameters of the deep learning model for better accuracy. The proposed framework was tested in a real-life example network with synthetic burst monitoring data, and the accuracy of burst area identification reaches 0.918. The model is also compared with a traditional BP neural network and a DenseNet model without attention mechanism, and the results show that FA-DenseNet is more robust with the respects of different pipe burst conditions, monitoring noise and the number of pressure monitoring points. The proposed framework provides water companies an applicable and effective method of pipe burst identification and inspection.</t>
  </si>
  <si>
    <t>[Cheng, Jing; Peng, Sen; Cheng, Rui; Wu, Xingqi; Fang, Xu] Tianjin Univ, Sch Environm Sci &amp; Engn, Tianjin 300350, Peoples R China</t>
  </si>
  <si>
    <t>pengsen@tju.edu.cn</t>
  </si>
  <si>
    <t>Chaves, Mahelvson/GRE-6230-2022</t>
  </si>
  <si>
    <t>National Key Research and Development Program of China [2016YFC0802400]</t>
  </si>
  <si>
    <t>National Key Research and Development Program of China</t>
  </si>
  <si>
    <t>This work was supported by the National Key Research and Development Program of China (Grant No. 2016YFC0802400).</t>
  </si>
  <si>
    <t>0920-4741</t>
  </si>
  <si>
    <t>1573-1650</t>
  </si>
  <si>
    <t>WATER RESOUR MANAG</t>
  </si>
  <si>
    <t>Water Resour. Manag.</t>
  </si>
  <si>
    <t>10.1007/s11269-022-03316-9</t>
  </si>
  <si>
    <t>Engineering, Civil; Water Resources</t>
  </si>
  <si>
    <t>5R0XU</t>
  </si>
  <si>
    <t>WOS:000852937500001</t>
  </si>
  <si>
    <t>Weerapura, V; Sugathadasa, R; De Silva, MM; Nielsen, I; Thibbotuwawa, A</t>
  </si>
  <si>
    <t>Weerapura, Vihan; Sugathadasa, Ranil; De Silva, M. Mavin; Nielsen, Izabela; Thibbotuwawa, Amila</t>
  </si>
  <si>
    <t>Feasibility of Digital Twins to Manage the Operational Risks in the Production of a Ready-Mix Concrete Plant</t>
  </si>
  <si>
    <t>BUILDINGS</t>
  </si>
  <si>
    <t>digital twin; risk management; ready-mix concrete production; multi-method simulation; predictive maintenance; anomaly detection</t>
  </si>
  <si>
    <t>The ready-mix concrete supply chain is highly disruptive due to its product perishability and Just-in-Time (JIT) production style. A lack of technology makes the ready-mix concrete (RMC) industry suffer from frequent production failures, ultimately causing high customer dissatisfaction and loss of revenues. In this paper, we propose the first-ever digital twin (DT) system in the RMC industry that can serve as a decision support tool to manage production risk efficiently and effectively via predictive maintenance. This study focuses on the feasibility of digital twins for the RMC industry in three main areas holistically: (1) the technical feasibility of the digital twin system for ready-mix concrete plant production risk management; (2) the business value of the proposed product to the construction industry; (3) the challenges of implementation in the real-world RMC industry. The proposed digital twin system consists of three main phases: (1) an IoT system to get the real-time production cycle times; (2) a digital twin operational working model with descriptive analytics; (3) an advanced analytical dashboard with predictive analytics to make predictive maintenance decisions. Our proposed digital twin solution can provide efficient and interpretable predictive maintenance insights in real time based on anomaly detection, production bottleneck identification, process disruption forecast and cycle time analysis. Finally, this study emphasizes that state-of-the-art solutions such as digital twins can effectively manage the production risks of ready-mix concrete plants by automatically detecting and predicting the bottlenecks without waiting until a production failure happens to react.</t>
  </si>
  <si>
    <t>[Weerapura, Vihan; Sugathadasa, Ranil; De Silva, M. Mavin] Univ Moratuwa, Fac Engn, Dept Transport &amp; Logist Management, Katubedda 10400, Sri Lanka; [De Silva, M. Mavin] Nagaoka Univ Technol, Extreme Energy Dens Res Inst, Nagaoka, Niigata 9402188, Japan; [Nielsen, Izabela] Aalborg Univ, Dept Mech &amp; Mfg Engn, DK-9220 Aalborg, Denmark; [Thibbotuwawa, Amila] Univ Moratuwa, Ctr Supply Chain Operat &amp; Logist Optimizat, Moratuwa 10400, Sri Lanka</t>
  </si>
  <si>
    <t>University Moratuwa; Nagaoka University of Technology; Aalborg University; University Moratuwa</t>
  </si>
  <si>
    <t>De Silva, MM (corresponding author), Univ Moratuwa, Fac Engn, Dept Transport &amp; Logist Management, Katubedda 10400, Sri Lanka.;De Silva, MM (corresponding author), Nagaoka Univ Technol, Extreme Energy Dens Res Inst, Nagaoka, Niigata 9402188, Japan.</t>
  </si>
  <si>
    <t>mavinds@uom.lk</t>
  </si>
  <si>
    <t>Nielsen, Izabela Ewa/0000-0002-3506-2741; De Silva, M. Mavin/0000-0002-8816-0011; Thibbotuwawa, Amila/0000-0002-5443-8839</t>
  </si>
  <si>
    <t>2075-5309</t>
  </si>
  <si>
    <t>BUILDINGS-BASEL</t>
  </si>
  <si>
    <t>10.3390/buildings13020447</t>
  </si>
  <si>
    <t>Construction &amp; Building Technology; Engineering, Civil</t>
  </si>
  <si>
    <t>Construction &amp; Building Technology; Engineering</t>
  </si>
  <si>
    <t>9Q2GN</t>
  </si>
  <si>
    <t>WOS:000944789200001</t>
  </si>
  <si>
    <t>Dash, PK; Nayak, M; Senapati, MR; Lee, IWC</t>
  </si>
  <si>
    <t>Dash, P. K.; Nayak, Maya; Senapati, M. R.; Lee, I. W. C.</t>
  </si>
  <si>
    <t>Mining for similarities in time series data using wavelet-based feature vectors and neural networks</t>
  </si>
  <si>
    <t>wavelet transform; S-transform; time series; similarity detection; classification; knowledge discovery; data mining</t>
  </si>
  <si>
    <t>SYSTEM; CLASSIFICATION; TRANSFORM</t>
  </si>
  <si>
    <t>This paper presents a comparison between different wavelet feature vectors for data mining of nonstationary time series that occurs in an electricity supply network. Three different wavelet algorithms are simulated and applied on nine classes of power signal time series, which primarily belongs to an important problem area called electric power quality. In contrast to the wavelet analysis, the paper presents a new approach called S-transform-based time frequency analysis in processing power quality disturbance data. Certain pertinent feature vectors are extracted using the well-known wavelet methods and the new approach using S-transform. Neural networks are then used to compute the classification accuracy of the feature vectors. Certain characteristics of the wavelet feature vectors are apparent from the results. Further in large data sets partitioning is done and similarities of pattern vectors present in different sections are determined. The approach is a general one and can be applied to pattern classification, similarity determination, and knowledge discovery in time varying data patterns occurring in many practical sciences and engineering problems. (C) 2006 Published by Elsevier Ltd.</t>
  </si>
  <si>
    <t>Coll Engn, Bhubaneswar, Orissa, India; Univ Calgary, Calgary, AB T2N 1N4, Canada</t>
  </si>
  <si>
    <t>University of Calgary</t>
  </si>
  <si>
    <t>Dash, PK (corresponding author), Coll Engn, Bhubaneswar, Orissa, India.</t>
  </si>
  <si>
    <t>pkdash_india@yahoo.com</t>
  </si>
  <si>
    <t>10.1016/j.engappai.2006.06.018</t>
  </si>
  <si>
    <t>128ZL</t>
  </si>
  <si>
    <t>WOS:000243698100007</t>
  </si>
  <si>
    <t>Steinle, C; Schiele, H</t>
  </si>
  <si>
    <t>When do industries cluster? A proposal on how to assess an industry's propensity to concentrate at a single region or nation</t>
  </si>
  <si>
    <t>RESEARCH POLICY</t>
  </si>
  <si>
    <t>conditions for clustering; innovation; regional advantages; globalisation; strategic management</t>
  </si>
  <si>
    <t>TECHNOLOGY; INNOVATION; ORGANIZATION; KNOWLEDGE; ECONOMICS; NETWORKS; PATTERNS; SYSTEM; LIMITS; FIRMS</t>
  </si>
  <si>
    <t>Often the literature on clustering implicitly assumes national or regional-sectoral agglomeration to be a general phenomenon applying to all or most businesses. We argue that not all industries are equally affected by the process of clustering. Therefore, the question on how to assess the relevance of clustering for a particular company or industry becomes important. It is deduced that those industries with a divisible production process and a transportable product or service fulfil the necessary conditions for clustering. A long value-chain including multiple distinct competencies, innovation-intensity characterised by network-innovations and the volatility of markets further increase the potential for an industry to cluster. Besides providing a heuristic for strategic management, this paper alerts regional planners that only in those regions whose economic structure is characterised by industries subject to clustering, the promotion of local network-building is relevant. (C) 2002 Elsevier Science B.V. All rights reserved.</t>
  </si>
  <si>
    <t>Leibniz Univ Hannover, Abt Unternehmensfurhrung &amp; Org, D-30167 Hannover, Germany</t>
  </si>
  <si>
    <t>Leibniz University Hannover</t>
  </si>
  <si>
    <t>Steinle, C (corresponding author), Leibniz Univ Hannover, Abt Unternehmensfurhrung &amp; Org, Konigsworther Pl 1, D-30167 Hannover, Germany.</t>
  </si>
  <si>
    <t>holger@schiele-net.de</t>
  </si>
  <si>
    <t>Schiele, habil. Holger/E-1104-2011</t>
  </si>
  <si>
    <t>Schiele, Holger/0000-0002-9381-7321</t>
  </si>
  <si>
    <t>0048-7333</t>
  </si>
  <si>
    <t>1873-7625</t>
  </si>
  <si>
    <t>RES POLICY</t>
  </si>
  <si>
    <t>Res. Policy</t>
  </si>
  <si>
    <t>PII S0048-7333(01)00151-2</t>
  </si>
  <si>
    <t>10.1016/S0048-7333(01)00151-2</t>
  </si>
  <si>
    <t>558MB</t>
  </si>
  <si>
    <t>WOS:000175969800001</t>
  </si>
  <si>
    <t>Degeneffe, D; Kinsey, J; Stinson, T; Ghosh, K</t>
  </si>
  <si>
    <t>Degeneffe, Dennis; Kinsey, Jean; Stinson, Thomas; Ghosh, Koel</t>
  </si>
  <si>
    <t>Segmenting consumers for food defense communication strategies</t>
  </si>
  <si>
    <t>Food industry; Business continuity; Disasters; Supply chain management; United States of America</t>
  </si>
  <si>
    <t>CRISIS; RISK</t>
  </si>
  <si>
    <t>Purpose - In the light of lessons learned from recent disasters (The London subway bombings, and Hurricane Katrina), it has become increasingly clear that supply chain partners as well as government agencies need to be prepared to communicate effectively to consumers and customers before, during and after a disaster. Effective communication can minimize confusion and harm to company reputations, to consumers, the economy and the nation. Incorporating consistent communications into supply chain management (SCM) plans used by all parties in the supply chain will enhance competitiveness of the whole chain and speed recovery from potentially disastrous events. Findings from a national survey of consumer's attitudes about terrorism provide information about the development of targeted and effective communications. Design/methodology/approach - Based on a survey of more than 4,000 US consumers, this study used predictive segmentation which consists of a canonical factor analysis relating general consumer attitudes and values to their more specific fears and concerns about terrorism. A clustering of consumers then identifies six diverse consumer segments providing a framework for the development of communication strategies. Findings - Results from this study demonstrate that people can be grouped based on their general attitudes' and values in such a way that their diversity can be captured in a simple framework of segments each reflecting striking differences in the level of concern over potential terrorist attacks. Practical implications - Guidance is offered for the development of communication strategies based on the information needs and media behavior of each consumer segment to mitigate the impact of a potential terrorist attack or catastrophic food safety breaches. It provides practical and logical extension of former studies that suggest incorporating consumers, attitudes into SCM and business continuity plans. Originality/value - This study leverages a common and proven marketing research approach segmentation used in private industry for the marketing of goods and service. It applies this method to defining segments of consumers based on their attitudes and concerns about terrorism that will be useful in supply chain communication management.</t>
  </si>
  <si>
    <t>[Degeneffe, Dennis; Kinsey, Jean; Stinson, Thomas; Ghosh, Koel] Univ Minnesota, Dept Appl Econ, St Paul, MN 55108 USA</t>
  </si>
  <si>
    <t>University of Minnesota System; University of Minnesota Twin Cities</t>
  </si>
  <si>
    <t>Degeneffe, D (corresponding author), Univ Minnesota, Dept Appl Econ, St Paul, MN 55108 USA.</t>
  </si>
  <si>
    <t>ddegenef@umn.edu</t>
  </si>
  <si>
    <t>10.1108/09600030910973733</t>
  </si>
  <si>
    <t>686EZ</t>
  </si>
  <si>
    <t>WOS:000284680900003</t>
  </si>
  <si>
    <t>Li, NL; Zhang, C; Xie, WX; Li, YP</t>
  </si>
  <si>
    <t>Li, Nailiang; Zhang, Chang; Xie, Weixing; Li, Yupeng</t>
  </si>
  <si>
    <t>Exceptional events classification in warehousing based on an integrated clustering method for a dataset with mixed-valued attributes</t>
  </si>
  <si>
    <t>Warehousing; exceptional events; clustering; mixed-valued attributes; initial clustering centres</t>
  </si>
  <si>
    <t>MANAGEMENT-SYSTEM; CATEGORICAL-DATA; ALGORITHM; OPTIMIZATION; NUMBER; DESIGN; CENTERS; ENTROPY; SERIES</t>
  </si>
  <si>
    <t>As an essential component of a supply chain, warehousing with a high operational management level can significantly enhance the efficiency of manufacturing. Practically, there are many exceptional events (EEs) that impede agile operation in warehousing, and disparate handling processes should be established according to the characteristics of the EEs. In this context, a classification methodology for the EEs based on a generalised criterion with mixed-valued attributes is presented in this study. The approaches for determining the initial clustering centres for a dataset with mixed-valued attributes are illustrated in accordance with the distribution regularities of values of numerical and categorical attributes. Subsequently, two algorithms without randomisation of the initial clustering centres are successively generated: one is a basic iterative algorithm and the other is an algorithm that can optimise the number of clusters automatically. The classification of EEs in warehousing by utilising the proposed algorithm is established as a case study in the storage department of an electric tool enterprise. Finally, the applicability of the proposed algorithm is evaluated by comparing with k-prototypes and the original algorithm, and a processing flow is proposed for EEs in warehousing based on the final clustering results.</t>
  </si>
  <si>
    <t>[Li, Nailiang; Zhang, Chang; Xie, Weixing; Li, Yupeng] China Univ Min &amp; Technol, Minist Educ China, Key Lab Deep Coal Resource Min, Dept Ind Engn,Sch Mines, Xuzhou 221116, Jiangsu, Peoples R China</t>
  </si>
  <si>
    <t>Ministry of Education, China; China University of Mining &amp; Technology</t>
  </si>
  <si>
    <t>Li, YP (corresponding author), China Univ Min &amp; Technol, Minist Educ China, Key Lab Deep Coal Resource Min, Dept Ind Engn,Sch Mines, Xuzhou 221116, Jiangsu, Peoples R China.</t>
  </si>
  <si>
    <t>ypeng_li@163.com</t>
  </si>
  <si>
    <t>LI, YUPENG/GTO-7146-2022</t>
  </si>
  <si>
    <t>Li, Yupeng/0000-0003-2977-8740</t>
  </si>
  <si>
    <t>10.1080/0951192X.2018.1509129</t>
  </si>
  <si>
    <t>GS7KT</t>
  </si>
  <si>
    <t>WOS:000443880500003</t>
  </si>
  <si>
    <t>Sharma, R; Bharti, N</t>
  </si>
  <si>
    <t>Sharma, Ravi; Bharti, Nisha</t>
  </si>
  <si>
    <t>Non-timber Forest Products Value Chain Toward Sustainable Livelihood: Exploring Linkages and Trends Using Visual Optimization Network Analysis</t>
  </si>
  <si>
    <t>ASIAN JOURNAL OF AGRICULTURE AND DEVELOPMENT</t>
  </si>
  <si>
    <t>non-timber forest products; NTFP; development; trends; network visualization; policy; value chain; livelihood security</t>
  </si>
  <si>
    <t>NTFP VALUE CHAINS; RURAL COMMUNITIES; MANAGEMENT; INCOMES; AREA</t>
  </si>
  <si>
    <t>Non-timber forest products (NTFPs) contribute significantly to the livelihood, food, and nutrition security of rural communities and forest dwellers. Earlier studies on NTFPs emphasized the economic importance, sustainability aspects, and commercialization of NTFPs, and highlighted the importance of strong value chains if NTFPs were to fulfill their economic potential for communities and people who rely on them. Formulation of proper policy and commercialization of NTFPs through their value chain will require a thorough review of existing research to identify the policy loopholes. A review of literature sought to determine whether research on NTFPs links to sustainable livelihood, policy, and value chains using clustering and visual network visualization. The results of the study reveal four domain clusters indicating a mix of traditional and evolved approaches toward strengthening of the NTFP value chain. Policy issues on NTFP have also evolved as one of the important clusters of research. The study recommends the mapping of value chains in the NTFP research to guide the pursuit of holistic and sustainable livelihood security.</t>
  </si>
  <si>
    <t>[Sharma, Ravi; Bharti, Nisha] Symbiosis Int Deemed Univ, Symbiosis Inst Int Business, Pune, Maharashtra, India</t>
  </si>
  <si>
    <t>Symbiosis International University; Symbiosis Institute of International Business (SIIB)</t>
  </si>
  <si>
    <t>Sharma, R (corresponding author), Symbiosis Int Deemed Univ, Symbiosis Inst Int Business, Pune, Maharashtra, India.</t>
  </si>
  <si>
    <t>ravisharma_16@yahoo.co.in; nisha.bharti@siib.ac.in</t>
  </si>
  <si>
    <t>bharti, nisha/AAB-4928-2021; Sharma, Ravi/ABE-2605-2020; Sharma, Ravi/R-9664-2018</t>
  </si>
  <si>
    <t>bharti, nisha/0000-0003-0071-3732; Sharma, Ravi/0000-0003-0819-4340</t>
  </si>
  <si>
    <t>SOUTHEAST ASIAN REGIONAL CENTER GRADUATE STUDY &amp; RESEARCH AGRICULTURE</t>
  </si>
  <si>
    <t>LAGUNA</t>
  </si>
  <si>
    <t>UPLB CAMPUS, LOS BANOS, LAGUNA, 00000, PHILIPPINES</t>
  </si>
  <si>
    <t>1656-4383</t>
  </si>
  <si>
    <t>ASIAN J AGRIC DEV</t>
  </si>
  <si>
    <t>Asian J. Agric. Dev.</t>
  </si>
  <si>
    <t>10.37801/ajad2020.17.2.7</t>
  </si>
  <si>
    <t>Agronomy</t>
  </si>
  <si>
    <t>PE2AT</t>
  </si>
  <si>
    <t>WOS:000598172600007</t>
  </si>
  <si>
    <t>Khalid, W; Herbert-Hansen, ZNL</t>
  </si>
  <si>
    <t>Khalid, Waqas; Herbert-Hansen, Zaza Nadja Lee</t>
  </si>
  <si>
    <t>Using k-means clustering in international location decision</t>
  </si>
  <si>
    <t>International location decision; K-mean; Clustering; Machine learning; Facility location; Supply chain; Offshoring</t>
  </si>
  <si>
    <t>DESIGN; RISK</t>
  </si>
  <si>
    <t>Purpose This paper aims to investigate the application of unsupervised machine learning in the international location decision (ILD). This paper addresses the need for a fast, quantitative and dynamic location decision framework. Design/methodology/approach Unsupervised machine learning technique, i.e. k-means clustering, is used to carry out the analysis. In total, 24 different indicators of 94 countries, categorized into five groups, have been used in the analysis. After the clustering, the clusters have been compared and scored to select the feasible countries. Findings A new framework is developed based on k-means clustering that can be used in ILD. This method provides a quantitative output without personal subjectivity. The indicators can be easily added or extracted based on the preferences of the decision-makers. Hence, it was found out that the unsupervised machine learning, i.e. k-means clustering, is a fast and flexible decision support framework that can be used in ILD. Research limitations/implications Limitations include the generality of selected indicators and clustering algorithm used. The use of other methods and parameters may lead to alternate results. Originality/value The framework developed through the research intends to assist the decision-makers in deciding on the facility locations. The framework can be used in international and national domains. It provides a quantitative, fast and flexible way to shortlist the potential locations. Other methods can also be used to further decide on the specific location.</t>
  </si>
  <si>
    <t>[Khalid, Waqas; Herbert-Hansen, Zaza Nadja Lee] Tech Univ Denmark, Dept Management Engn, Lyngby, Denmark</t>
  </si>
  <si>
    <t>Technical University of Denmark</t>
  </si>
  <si>
    <t>Khalid, W (corresponding author), Tech Univ Denmark, Dept Management Engn, Lyngby, Denmark.</t>
  </si>
  <si>
    <t>waqas.khalid.313@gmail.com</t>
  </si>
  <si>
    <t>Hansen, Zaza NL/R-2578-2017</t>
  </si>
  <si>
    <t>Hansen, Zaza NL/0000-0003-3722-7017</t>
  </si>
  <si>
    <t>10.1108/JGOSS-11-2017-0056</t>
  </si>
  <si>
    <t>GY7RX</t>
  </si>
  <si>
    <t>WOS:000448812800001</t>
  </si>
  <si>
    <t>Rivera, L; Gligor, D; Sheffi, Y</t>
  </si>
  <si>
    <t>Rivera, Liliana; Gligor, David; Sheffi, Yossi</t>
  </si>
  <si>
    <t>The benefits of logistics clustering</t>
  </si>
  <si>
    <t>Agglomeration; Cluster; Benefits; Supply chain; Logistics</t>
  </si>
  <si>
    <t>ECONOMIC-DEVELOPMENT; AGGLOMERATION; CONSUMPTION; EMPLOYMENT; NETWORKS; IDENTITY</t>
  </si>
  <si>
    <t>Purpose - The purpose of this paper is to analyze the benefits of logistics clustering, with the intent to explain their growth and popularity among private agents and policy makers during the last decade. Design/methodology/approach - Because of limited knowledge about the benefits of logistics clustering a main objective of this paper is theory building. The authors employed a grounded theory approach and conducted 135 open and semi structured interviews with logistics executives, government officials, academics, and chambers of commerce representatives. Findings - Study results revealed that, the agglomeration of logistics firms provides several key benefits to companies. Specifically, it was found that logistics clustering facilitates collaboration-related benefits, offering of value added services, career mobility for the logistics workforce within the cluster, and promotes job growth at multiple levels within the cluster. The authors offer a rich description of these benefits and the mechanisms that facilitate these outcomes. Research limitations/implications - This paper uses a qualitative approach. Further research using a quantitative approach to measure the magnitude of the impacts and benefits of logistics clusters would be desirable. Originality/value - This paper identifies the benefits associated with logistics clustering and thus provides justification for public authorities and private agents to invest in this phenomenon.</t>
  </si>
  <si>
    <t>[Rivera, Liliana; Sheffi, Yossi] MIT, Ctr Transportat &amp; Logist, 77 Massachusetts Ave, Cambridge, MA 02139 USA; [Gligor, David] Malaysia Inst Supply Chain Innovat, Selangor, Malaysia</t>
  </si>
  <si>
    <t>Massachusetts Institute of Technology (MIT)</t>
  </si>
  <si>
    <t>Rivera, L (corresponding author), MIT, Ctr Transportat &amp; Logist, 77 Massachusetts Ave, Cambridge, MA 02139 USA.</t>
  </si>
  <si>
    <t>mlrivera@mit.edu</t>
  </si>
  <si>
    <t>Rivera, Liliana/L-6341-2016</t>
  </si>
  <si>
    <t>Rivera, Liliana/0000-0002-2020-2895</t>
  </si>
  <si>
    <t>10.1108/IJPDLM-10-2014-0243</t>
  </si>
  <si>
    <t>DJ4BG</t>
  </si>
  <si>
    <t>WOS:000374149800001</t>
  </si>
  <si>
    <t>Nananukul, N</t>
  </si>
  <si>
    <t>Nananukul, Narameth</t>
  </si>
  <si>
    <t>Clustering model and algorithm for production inventory and distribution problem</t>
  </si>
  <si>
    <t>Component; Clustering model for PIDRP; Reactive tabu search</t>
  </si>
  <si>
    <t>ROUTING PROBLEM</t>
  </si>
  <si>
    <t>One of the most challenging problem for optimizing supply chain is the coordination of production and distribution decision. This paper considers a customer clustering problem for a large scale production, inventory and distribution problem (PIDRP) where the demands at customers need to be satisfied in each period in the planning horizon with limited production and transportation capacity. The clustering aspect of the distribution problem is an important component for reducing complexity of the dispatch operation especially when the number of customers is large. In this paper an enhanced clustering model that considers factors (e.g. demand pattern and holding costs) that could affect the operating cost throughout the planning horizon is introduced. The algorithm based on a reactive tabu search for solving the clustering problem for PIDRP is proposed. A novel feature of the algorithm is to create adaptive core clusters which are used in the clustering process instead of the original data points. With this approach the complexity of the original problem is reduced and the proposed algorithm is able to solve the PIDRP much more efficient. Computational testing on instances up to 200 customers and 20 time periods demonstrates the effectiveness of the proposed model and algorithm in term of solution quality and runtime. Special cases of the problem are also considered to provide useful insights on how to apply the model with different settings of model's parameters. (C) 2013 Elsevier Inc. All rights reserved.</t>
  </si>
  <si>
    <t>Asian Univ, Fac Engn &amp; Technol, Dept Technol Management, Chon Buri 20150, Thailand</t>
  </si>
  <si>
    <t>Nananukul, N (corresponding author), Asian Univ, Fac Engn &amp; Technol, Dept Technol Management, Chon Buri 20150, Thailand.</t>
  </si>
  <si>
    <t>naramethn@asianust.ac.th</t>
  </si>
  <si>
    <t>360 PARK AVE SOUTH, NEW YORK, NY 10010-1710 USA</t>
  </si>
  <si>
    <t>10.1016/j.apm.2013.05.029</t>
  </si>
  <si>
    <t>277GC</t>
  </si>
  <si>
    <t>WOS:000328806000003</t>
  </si>
  <si>
    <t>Lam, HY; Tsang, YP; Wu, CH; Tang, VL</t>
  </si>
  <si>
    <t>Lam, H. Y.; Tsang, Y. P.; Wu, C. H.; Tang, Valerie</t>
  </si>
  <si>
    <t>Data analytics and the P2P cloud: an integrated model for strategy formulation based on customer behaviour</t>
  </si>
  <si>
    <t>PEER-TO-PEER NETWORKING AND APPLICATIONS</t>
  </si>
  <si>
    <t>Data analytic; Customer relationship management; Sales strategy formulation; Customer behaviour; Peer-to-peer cloud</t>
  </si>
  <si>
    <t>DATA MINING TECHNIQUES; RELATIONSHIP MANAGEMENT; SUPPLY CHAIN; FUZZY-LOGIC; IDENTIFICATION; COMPANY; LOYALTY; CRM</t>
  </si>
  <si>
    <t>For companies to gain competitive advantage, an effective customer relationship management (CRM) approach is necessary. Based on customer purchase behaviour and ordering patterns, companies can be classified into different categories in terms of providing customised sales and promotions for customers. However, companies that lack an effective CRM strategy can only offer the same sales and marketing strategies to all customers. Furthermore, the traditional approach to managing customers is control via a centralised method, in which the information regarding customer segmentation is not shared among the customer network. Consequently, valuable customers may be neglected, resulting in the loss of customer loyalty and sales orders, and the weakening of trust in the customer-company relationship. This paper designs an integrated data analytic model (IDAM) in a peer-to-peer cloud, integrating RFM-based k-means clustering algorithm, analytical hierarchy processing and fuzzy logic to divide customers into different segments and hence formulate a customised sales strategy. A pilot study of IDAM is conducted in a trading company specialised in providing advanced manufacturing technology to demonstrate how IDAM can be applied to formulate an effective sales strategy to attract customers. Overall, this study explores the effective deployment of CRM into the peer-to-peer cloud so as to facilitate sales strategy formulation and trust between customers and companies in the network.</t>
  </si>
  <si>
    <t>[Lam, H. Y.; Wu, C. H.; Tang, Valerie] Hang Seng Univ Hong Kong, Dept Supply Chain &amp; Informat Management SCM, Shatin, Hong Kong, Peoples R China; [Tsang, Y. P.] Hong Kong Polytech Univ, Dept Ind &amp; Syst Engn ISE, Hung Hom Kowloon, Hong Kong, Peoples R China; [Wu, C. H.] Hang Seng Univ Hong Kong, Big Data Intelligence Ctr, Sch Decis Sci, Shatin, Hong Kong, Peoples R China</t>
  </si>
  <si>
    <t>Hang Seng University of Hong Kong; Hong Kong Polytechnic University; Hang Seng University of Hong Kong</t>
  </si>
  <si>
    <t>Lam, HY; Wu, CH (corresponding author), Hang Seng Univ Hong Kong, Dept Supply Chain &amp; Informat Management SCM, Shatin, Hong Kong, Peoples R China.;Wu, CH (corresponding author), Hang Seng Univ Hong Kong, Big Data Intelligence Ctr, Sch Decis Sci, Shatin, Hong Kong, Peoples R China.</t>
  </si>
  <si>
    <t>cathylam@hsu.edu.hk; jackwu@ieee.org</t>
  </si>
  <si>
    <t>Tsang, Y.P./X-7471-2019; Lam, H.Y./AAA-2616-2019; WU, C.H./H-8815-2012</t>
  </si>
  <si>
    <t>Tsang, Y.P./0000-0002-6128-345X; Lam, H.Y./0000-0002-5858-1894; WU, C.H./0000-0003-1259-4048; Tang, Valerie/0000-0002-4528-1091</t>
  </si>
  <si>
    <t>Big Data Intelligence Centre of The Hang Seng University of Hong Kong; Department of ISE, The Hong Kong Polytechnic University</t>
  </si>
  <si>
    <t>The authors would like to thank the Big Data Intelligence Centre of The Hang Seng University of Hong Kong, and the Department of ISE, The Hong Kong Polytechnic University for supporting the research.</t>
  </si>
  <si>
    <t>1936-6442</t>
  </si>
  <si>
    <t>1936-6450</t>
  </si>
  <si>
    <t>PEER PEER NETW APPL</t>
  </si>
  <si>
    <t>Peer Peer Netw. Appl.</t>
  </si>
  <si>
    <t>10.1007/s12083-020-00960-z</t>
  </si>
  <si>
    <t>UC8JN</t>
  </si>
  <si>
    <t>WOS:000555067800001</t>
  </si>
  <si>
    <t>Van Klink, A; De Langen, P</t>
  </si>
  <si>
    <t>Cycles in industrial clusters: The case of the shipbuilding industry in the Northern Netherlands</t>
  </si>
  <si>
    <t>TIJDSCHRIFT VOOR ECONOMISCHE EN SOCIALE GEOGRAFIE</t>
  </si>
  <si>
    <t>cluster characteristics; cluster life-cycle; cluster policies; value chain; shipbuilding</t>
  </si>
  <si>
    <t>DISTRICTS; INNOVATION</t>
  </si>
  <si>
    <t>The concept of clustering is familiar for economists and policy-makers. Clusters are widely regarded as sources of regional competitiveness. However, although the concept of clustering is widely used, there is no clear consensus of what actually constitutes a cluster. In this paper, we develop a dynamic cluster concept. This cluster concept places one particular value chain as central. First, on the basis of the literature we describe a number of characteristics for identifying a cluster. Second, we develop a stylised cluster cycle, with states of development, expansion, maturity and transition. The development of a cluster in these states stems from external contingent events as well as the internal dynamic of clusters. This dynamic cluster concept can be used to formulate policy alternatives for the different cluster states. We use the dynamic cluster concept to analyse the shipbuilding industry in the Northern Netherlands. This cluster went through the states of development and expansion and now shows signs of maturation. The cluster is described and possible policies to support it are suggested.</t>
  </si>
  <si>
    <t>Erasmus Univ, Fac Econ, NL-3000 DR Rotterdam, Netherlands</t>
  </si>
  <si>
    <t>Erasmus University Rotterdam; Erasmus University Rotterdam - Excl Erasmus MC</t>
  </si>
  <si>
    <t>Van Klink, A (corresponding author), Erasmus Univ, Fac Econ, POB 1738, NL-3000 DR Rotterdam, Netherlands.</t>
  </si>
  <si>
    <t>de langen, peter w/U-3588-2018; langen, peter d/G-3823-2011</t>
  </si>
  <si>
    <t>de langen, peter w/0000-0002-7703-5370; langen, peter d/0000-0002-7703-5370</t>
  </si>
  <si>
    <t>BLACKWELL PUBL LTD</t>
  </si>
  <si>
    <t>108 COWLEY RD, OXFORD OX4 1JF, OXON, ENGLAND</t>
  </si>
  <si>
    <t>0040-747X</t>
  </si>
  <si>
    <t>TIJDSCHR ECON SOC GE</t>
  </si>
  <si>
    <t>Tijdschr. Econ. Soc. Geogr.</t>
  </si>
  <si>
    <t>10.1111/1467-9663.00171</t>
  </si>
  <si>
    <t>Economics; Geography</t>
  </si>
  <si>
    <t>Business &amp; Economics; Geography</t>
  </si>
  <si>
    <t>500ED</t>
  </si>
  <si>
    <t>WOS:000172612200006</t>
  </si>
  <si>
    <t>Tirkel, I</t>
  </si>
  <si>
    <t>Tirkel, Israel</t>
  </si>
  <si>
    <t>Forecasting flow time in semiconductor manufacturing using knowledge discovery in databases</t>
  </si>
  <si>
    <t>data mining; flow time; forecasting; knowledge discovery; scheduling; semiconductor manufacture</t>
  </si>
  <si>
    <t>YIELD</t>
  </si>
  <si>
    <t>Semiconductor manufacturing is characterised by a complex production process, advanced equipment, and volatile demand. Flow time (FT), noted cycle time in semiconductor manufacturing, is a key measure in the operations. This study develops FT forecasting models using knowledge discovery in databases. It follows cross industry standards for data mining, with the focus on business understanding, data pre-processing and classification techniques. The data include wafer lot transactions extracted from the manufacturing execution system of an 8-inch flash memory factory. The FT is forecasted for a single lot at a given production step. The models are constructed using 70% of the data and the rest 30% for their evaluation. The results illustrate that a decision tree model achieves 76.7% accuracy and a neural network model 88.2%. The novelty of this work is in a thorough understanding of operations, a single data source, and common classification techniques used to obtain high accuracy results. The models can generate FT forecasting for a single production step, a line segment or a complete line. They can be used to improve short term planning, overall operations and supply chain efficiency, via shift scheduling, labour and materials requirements planning, inventory management and delivery schedules.</t>
  </si>
  <si>
    <t>Ben Gurion Univ Negev, IL-84105 Beer Sheva, Israel</t>
  </si>
  <si>
    <t>Ben Gurion University</t>
  </si>
  <si>
    <t>Tirkel, I (corresponding author), Ben Gurion Univ Negev, IL-84105 Beer Sheva, Israel.</t>
  </si>
  <si>
    <t>tirkel@bgu.ac.il</t>
  </si>
  <si>
    <t>Tirkel, Israel/G-2917-2012</t>
  </si>
  <si>
    <t>Tirkel, Israel/0000-0001-6331-7919</t>
  </si>
  <si>
    <t>10.1080/00207543.2013.787168</t>
  </si>
  <si>
    <t>213VL</t>
  </si>
  <si>
    <t>WOS:000324088400012</t>
  </si>
  <si>
    <t>Herrington, WF; Singh, GP; Wu, D; Barone, PW; Hancock, W; Ram, RJ</t>
  </si>
  <si>
    <t>Herrington, William F., Jr.; Singh, Gajendra P.; Wu, Di; Barone, Paul W.; Hancock, William; Ram, Rajeev J.</t>
  </si>
  <si>
    <t>Optical Detection of Degraded Therapeutic Proteins</t>
  </si>
  <si>
    <t>SCIENTIFIC REPORTS</t>
  </si>
  <si>
    <t>ENHANCED RAMAN-SCATTERING; GROWTH-HORMONE; SPECTROSCOPY; CLASSIFICATION; INTERFERON; FTIR; OILS</t>
  </si>
  <si>
    <t>The quality of therapeutic proteins such as hormones, subunit and conjugate vaccines, and antibodies is critical to the safety and efficacy of modern medicine. Identifying malformed proteins at the point-of-care can prevent adverse immune reactions in patients; this is of special concern when there is an insecure supply chain resulting in the delivery of degraded, or even counterfeit, drug product. Identification of degraded protein, for example human growth hormone, is demonstrated by applying automated anomaly detection algorithms. Detection of the degraded protein differs from previous applications of machine-learning and classification to spectral analysis: only example spectra of genuine, high-quality drug products are used to construct the classifier. The algorithm is tested on Raman spectra acquired on protein dilutions typical of formulated drug product and at sample volumes of 25 mu L, below the typical overfill (waste) volumes present in vials of injectable drug product. The algorithm is demonstrated to correctly classify anomalous recombinant human growth hormone (rhGH) with 92% sensitivity and 98% specificity even when the algorithm has only previously encountered high-quality drug product.</t>
  </si>
  <si>
    <t>[Herrington, William F., Jr.; Singh, Gajendra P.; Barone, Paul W.; Ram, Rajeev J.] MIT, 77 Massachusetts Ave, Cambridge, MA 02139 USA; [Wu, Di; Hancock, William] Northeastern Univ, Boston, MA 02115 USA</t>
  </si>
  <si>
    <t>Massachusetts Institute of Technology (MIT); Northeastern University</t>
  </si>
  <si>
    <t>Herrington, WF (corresponding author), MIT, 77 Massachusetts Ave, Cambridge, MA 02139 USA.</t>
  </si>
  <si>
    <t>wherring@mit.edu</t>
  </si>
  <si>
    <t>Singh, Gajendra Pratap/AFG-4966-2022; Singh, Gajendra Pratap/A-2470-2011</t>
  </si>
  <si>
    <t>Wu, Di/0000-0001-9359-1679; Singh, Gajendra Pratap/0000-0001-8561-1385</t>
  </si>
  <si>
    <t>Defense Advanced Research Projects Agency (DARPA); SPAWAR Systems Center Pacific (SSC Pacific) [N66001-13-C-4025]</t>
  </si>
  <si>
    <t>Defense Advanced Research Projects Agency (DARPA)(United States Department of DefenseDefense Advanced Research Projects Agency (DARPA)); SPAWAR Systems Center Pacific (SSC Pacific)</t>
  </si>
  <si>
    <t>The project or effort depicted was sponsored by the Defense Advanced Research Projects Agency (DARPA) and SPAWAR Systems Center Pacific (SSC Pacific) under Contract No. N66001-13-C-4025. The content is solely the responsibility of the authors and does not necessarily represent the official views of DARPA or SSC Pacific. Circular Dichroism experiments were performed in the Biophysical Instrumentation Facility for the Study of Complex Macromolecular Systems (NSF-0070319). We would like to thank the Sandoz Corporation for providing the rhGH used, and Nicholas Mozdzierz for aliquoting and storing the rhGH. We would also like to thank Professor Strano at MIT for providing the IgG used for these experiments, and Daniel Salem for aliquoting and storing the IgG. We would like to thank Ningren Han for his insight and feedback regarding the spectral classifier.</t>
  </si>
  <si>
    <t>NATURE PUBLISHING GROUP</t>
  </si>
  <si>
    <t>MACMILLAN BUILDING, 4 CRINAN ST, LONDON N1 9XW, ENGLAND</t>
  </si>
  <si>
    <t>2045-2322</t>
  </si>
  <si>
    <t>SCI REP-UK</t>
  </si>
  <si>
    <t>Sci Rep</t>
  </si>
  <si>
    <t>MAR 23</t>
  </si>
  <si>
    <t>10.1038/s41598-018-23409-z</t>
  </si>
  <si>
    <t>GA2OD</t>
  </si>
  <si>
    <t>WOS:000428162000010</t>
  </si>
  <si>
    <t>Alharbi, AH; Alkhalaf, S; Asiri, Y; Abdel-Khalek, S; Mansour, RF</t>
  </si>
  <si>
    <t>Alharbi, Ali H.; Alkhalaf, Salem; Asiri, Yousef; Abdel-Khalek, Sayed; Mansour, Romany F.</t>
  </si>
  <si>
    <t>Automated Fruit Classification using Enhanced Tunicate Swarm Algorithm with Fusion based Deep Learning</t>
  </si>
  <si>
    <t>Fruit classification; Intelligent systems; Computer vision; Artificial intelligence; Tunicate swarm algorithm; Fusion process</t>
  </si>
  <si>
    <t>Automatic fruit classification is an interesting problem in retail supply chain processes and in fruit industry, since the process can help the supermarkets as well as the fruit growers find various fruits and their statuses from the containers or stock. In this background, the current research article designs an Automated Fruit Classification system using Enhanced Tunicate Swarm Algo-rithm with Fusion-based Deep Learning (AFC-ETSAFDL) technique. The goal of the proposed AFC-ETSAFDL technique is to recognize different types of fruits from the captured images. In the presented technique, a fusion-based feature extraction method is applied using three DL models namely, DenseNet, ResNet, and Inception v3 with ETSA as a hyperparameter optimizer. For fruit classification, the Extreme Gradient Boosting (XGBoost) model is used in this study. The proposed model was experimentally evaluated using an open-access fruit dataset and the results showcase the enhanced performance of the proposed technique over other existing models.</t>
  </si>
  <si>
    <t>[Alharbi, Ali H.] Qassim Univ, Coll Publ Hlth &amp; Hlth Informat, Dept Hlth Informat, Al Bukayriyah, Saudi Arabia; [Alkhalaf, Salem] Qassim Univ, Coll Sci &amp; Arts Ar Rass, Dept Comp, Ar Rass, Saudi Arabia; [Asiri, Yousef] Najran Univ, Coll Comp Sci &amp; Informat Syst, Sci &amp; Engn Res Ctr, Dept Comp Sci, Najran 61441, Saudi Arabia; [Abdel-Khalek, Sayed] Taif Univ, Coll Sci, Dept Math, Taif 21944, Saudi Arabia; [Mansour, Romany F.] New Valley Univ, Fac Sci, Dept Math, El Kharga, Egypt</t>
  </si>
  <si>
    <t>Qassim University; Qassim University; Najran University; Taif University</t>
  </si>
  <si>
    <t>Mansour, RF (corresponding author), New Valley Univ, Fac Sci, Dept Math, El Kharga, Egypt.</t>
  </si>
  <si>
    <t>romanyf@sci.nvu.edu.eg</t>
  </si>
  <si>
    <t>Alkhalaf, Salem/F-6912-2014</t>
  </si>
  <si>
    <t>Alkhalaf, Salem/0000-0002-5900-6752</t>
  </si>
  <si>
    <t>Deanship of Scientific Research at Najran University [NU/RG/SERC/12/23]</t>
  </si>
  <si>
    <t>Deanship of Scientific Research at Najran University</t>
  </si>
  <si>
    <t>The authors are thankful to Deanship of Scientific Research at Najran University for funding this work, under the Research Groups Funding program grant code (NU/RG/SERC/12/23) .</t>
  </si>
  <si>
    <t>10.1016/j.compeleceng.2023.108657</t>
  </si>
  <si>
    <t>A4GR7</t>
  </si>
  <si>
    <t>WOS:000954733700001</t>
  </si>
  <si>
    <t>Zunic, E; Delalic, S; Donko, D</t>
  </si>
  <si>
    <t>Zunic, Emir; Delalic, Sead; Donko, Dzenana</t>
  </si>
  <si>
    <t>Adaptive multi-phase approach for solving the realistic vehicle routing problems in logistics with innovative comparison method for evaluation based on real GPS data</t>
  </si>
  <si>
    <t>TRANSPORTATION LETTERS-THE INTERNATIONAL JOURNAL OF TRANSPORTATION RESEARCH</t>
  </si>
  <si>
    <t>Vehicle routing problem; transport optimization; freight &amp; logistics; parameter setting problem; GPS data analysis</t>
  </si>
  <si>
    <t>FLEET SIZE; ANT COLONY; TRANSPORTATION; ALGORITHMS; DESIGN; HYBRID</t>
  </si>
  <si>
    <t>Transportation management, as a part of the supply chain management, is a complex process that consists of planning and delivering goods to customers. The paper presents a complete multi-phase intelligent and adaptive transportation management system, which includes data collection, parameter tuning, and the heuristic algorithm based on the Tabu search for vehicle routing. The paper describes the procedure for collecting Global Positioning System (GPS) data and analyzing the compliance with the proposed routes based on the data collected. The described routing algorithm is powerful and supports many real-world limitations. An algorithm for the anomaly detection in the GPS data is presented as well as the usage of collected GPS data to improve the future results of the algorithm. The concept was implemented and tested on real data in some of the largest distribution companies in Bosnia and Herzegovina. The proposed approach resulted with more than satisfactory results in real-world application.</t>
  </si>
  <si>
    <t>[Zunic, Emir; Donko, Dzenana] Univ Sarajevo, Fac Elect Engn, Sarajevo, Bosnia &amp; Herceg; [Zunic, Emir; Delalic, Sead] Info Studio Doo, Sarajevo, Bosnia &amp; Herceg; [Delalic, Sead] Univ Sarajevo, Fac Sci, Sarajevo, Bosnia &amp; Herceg</t>
  </si>
  <si>
    <t>University of Sarajevo; University of Sarajevo</t>
  </si>
  <si>
    <t>Zunic, E (corresponding author), Univ Sarajevo, Fac Elect Engn, Sarajevo, Bosnia &amp; Herceg.</t>
  </si>
  <si>
    <t>emir.zunic@etf.unsa.ba</t>
  </si>
  <si>
    <t>Donko, Dzenana/AAE-5083-2022</t>
  </si>
  <si>
    <t>Donko, Dzenana/0000-0002-8933-006X; Zunic, Emir/0000-0003-1950-7816</t>
  </si>
  <si>
    <t>1942-7867</t>
  </si>
  <si>
    <t>1942-7875</t>
  </si>
  <si>
    <t>TRANSP LETT</t>
  </si>
  <si>
    <t>Transp. Lett.</t>
  </si>
  <si>
    <t>FEB 7</t>
  </si>
  <si>
    <t>10.1080/19427867.2020.1824311</t>
  </si>
  <si>
    <t>SEP 2020</t>
  </si>
  <si>
    <t>Transportation; Transportation Science &amp; Technology</t>
  </si>
  <si>
    <t>ZA5SF</t>
  </si>
  <si>
    <t>WOS:000574404600001</t>
  </si>
  <si>
    <t>Mitra, R; Saha, P; Tiwari, M</t>
  </si>
  <si>
    <t>Mitra, Rony; Saha, Priyam; Tiwari, Manoj</t>
  </si>
  <si>
    <t>Sales forecasting of a food and beverage company using deep clustering frameworks</t>
  </si>
  <si>
    <t>Sales Forecasting; Gaussian Mixture Model; hierarchical Agglomerative Clustering; Machine Learning; Random Forest; Hybrid Model; &gt;</t>
  </si>
  <si>
    <t>The competition among Food &amp; Beverage companies has substantially increased in today's age of digitization. Sales forecasting is one of their main challenges. Due to space limitations, employee shortages, and rising online demand, retail sales forecasting became extremely important for Food and Beverage companies. This research analyzed the sales data of a multinational Food &amp; Beverage Company. It proposed a framework using Gaussian Mixture Model (GMM) clustering, Hierarchical Agglomerative Clustering (HAC), and Random Forest algorithm for forecasting sales. This model analyzes the impact of the weekends, holidays, promotional activities, customer sentiments, festivals, and socio-economic situations in sales data and is able to forecast sales ranging from one to 15 months. An investigation of the suggested model's performance compared to numerous cutting-edge sales forecasting techniques is carried out to show its efficacy. Here, we demonstrate that the proposed hybrid model surpasses current predicting and computing efficiency methods. The results of this study can help retail managers to allocate resources and manage inventories in well-informed ways. The findings suggest that combining many strategies may produce the most precise forecasts.</t>
  </si>
  <si>
    <t>[Mitra, Rony; Tiwari, Manoj] Natl Inst Ind Engn, Mumbai, India; [Mitra, Rony; Saha, Priyam; Tiwari, Manoj] Indian Inst Technol Kharagpur, Kharagpur, India</t>
  </si>
  <si>
    <t>National Institute of Industrial Engineering (NITIE); Indian Institute of Technology System (IIT System); Indian Institute of Technology (IIT) - Kharagpur</t>
  </si>
  <si>
    <t>Mitra, R (corresponding author), Natl Inst Ind Engn, Mumbai, India.;Mitra, R (corresponding author), Indian Inst Technol Kharagpur, Kharagpur, India.</t>
  </si>
  <si>
    <t>mitrarony92@gmail.com</t>
  </si>
  <si>
    <t>MITRA, RONY/ACA-5004-2022</t>
  </si>
  <si>
    <t>MITRA, RONY/0000-0003-1179-7740</t>
  </si>
  <si>
    <t>2023 JUL 4</t>
  </si>
  <si>
    <t>10.1080/00207543.2023.2231098</t>
  </si>
  <si>
    <t>L2DG7</t>
  </si>
  <si>
    <t>WOS:001021407600001</t>
  </si>
  <si>
    <t>Li, YP; Wang, Y; Li, NL</t>
  </si>
  <si>
    <t>Li, Yupeng; Wang, Yu; Li, Nailiang</t>
  </si>
  <si>
    <t>Abnormal operation status identification in warehousing based on neighborhood information entropy considering mixed-valued attributes</t>
  </si>
  <si>
    <t>Warehousing management; healthy operation; AS identification; neighbourhood information entropy; mixed-valued attributes</t>
  </si>
  <si>
    <t>OUTLIER DETECTION APPROACH; OPTIMIZATION MODEL; EXCEPTIONAL EVENTS; RADIUS ESTIMATION; DESIGN</t>
  </si>
  <si>
    <t>A warehousing system is critical to enterprises, as a connection between supply and demand in a supply chain. However, an abnormal operation status (AS) may appear in actual production operations, especially in a developing warehousing system. In this study, to identify an AS in a warehousing system, mixed-valued attributes are used to describe the warehousing operation status, and an integration method is performed based on neighbourhood information entropy. First, the neighbourhood information system is structured. A distance function and neighbourhood radius are defined for numeric data and categorical data, respectively, to eliminate information loss from transforming different types of attributes. Second, the relative neighbourhood information entropy, abnormal degree, and abnormal factor are gradually defined. Third, an evaluation index is defined to measure the identification accuracy in parameter adjustment for two key parameters: the adjustment parameter for the neighbourhood radius (lambda), and the discrimination threshold for AS (mu). Finally, a real case study of AS identification in a manufacturing enterprise is implemented to demonstrate the effectiveness of the proposed method, and the identification results are analysed from the practical point of view.</t>
  </si>
  <si>
    <t>[Li, Yupeng; Wang, Yu; Li, Nailiang] China Univ Min &amp; Technol, Sch Mines, Dept Ind Engn, 1 Daxue Rd, Xuzhou 221116, Jiangsu, Peoples R China</t>
  </si>
  <si>
    <t>China University of Mining &amp; Technology</t>
  </si>
  <si>
    <t>Li, YP (corresponding author), China Univ Min &amp; Technol, Sch Mines, Dept Ind Engn, 1 Daxue Rd, Xuzhou 221116, Jiangsu, Peoples R China.</t>
  </si>
  <si>
    <t>Wang, Yu/0009-0003-8743-7351; Li, Yupeng/0000-0003-2977-8740</t>
  </si>
  <si>
    <t>National Natural Science Foundation of China [51505480, 51875345]</t>
  </si>
  <si>
    <t>This project was supported by the National Natural Science Foundation of China: [Grant Number No. 51505480, 51875345].</t>
  </si>
  <si>
    <t>SEP 17</t>
  </si>
  <si>
    <t>10.1080/00207543.2020.1788736</t>
  </si>
  <si>
    <t>UQ9YX</t>
  </si>
  <si>
    <t>WOS:000547847400001</t>
  </si>
  <si>
    <t>AlZu'bi, S; Aqel, D; Lafi, M</t>
  </si>
  <si>
    <t>AlZu'bi, Shadi; Aqel, Darah; Lafi, Mohammad</t>
  </si>
  <si>
    <t>An intelligent system for blood donation process optimization-smart techniques for minimizing blood wastages</t>
  </si>
  <si>
    <t>Intelligent blood donation; Healthcare management; Intelligent donors; Machine learning; Data mining; Classification algorithms; Internet of health; Optimization</t>
  </si>
  <si>
    <t>STORED-BLOOD; INVENTORY; DETERIORATION; TRANSFUSION; MANAGEMENT</t>
  </si>
  <si>
    <t>Blood transfusion is a continuous demand, as it is widely required for many medical surgeries and critical operations. Therefore, there is a need to manage the whole process of supplying blood from blood donors to the hospitals and transfusion centers. Many researchers were recently interested in the operations and supply chain management of blood products, they considered the operations and supply chain management of blood products for the purpose of minimizing the blood wastage. As a result of the the inverse relationship between blood donations and blood products demand, more occasional blood shortages can be expected. This research proposes an intelligent system that entails the recruitment of donors that are available to donate blood products on a short notice. The proposed system optimizes the blood donation process by preventing blood shortages and minimizing the wastage of blood units with regards to expiration, and proves promising results. A set of optimization equations have been built for optimizing the process of blood donation to reduce the blood wastage and prevent blood shortage. It considers as well the new insights from the medical literature on the deterioration of stored blood products, as the use of older red blood cells is linked to poorer clinical outcomes.</t>
  </si>
  <si>
    <t>[AlZu'bi, Shadi; Aqel, Darah; Lafi, Mohammad] Al Zaytoonah Univ Jordan, Fac Sci &amp; IT, Amman, Jordan</t>
  </si>
  <si>
    <t>Al-Zaytoonah University of Jordan</t>
  </si>
  <si>
    <t>AlZu'bi, S (corresponding author), Al Zaytoonah Univ Jordan, Fac Sci &amp; IT, Amman, Jordan.</t>
  </si>
  <si>
    <t>smalzubi@zuj.edu.jo; d.aqel@zuj.edu.jo; Lafi@zuj.edu.jo</t>
  </si>
  <si>
    <t>alzubi, shadi/W-4507-2018</t>
  </si>
  <si>
    <t>alzubi, shadi/0000-0003-4173-2323; LAFI, MOHAMMED/0000-0003-1893-9510</t>
  </si>
  <si>
    <t>Deanship of Research at Al-Zaytoonah University of Jordan [12/18/2018-2019]</t>
  </si>
  <si>
    <t>Deanship of Research at Al-Zaytoonah University of Jordan</t>
  </si>
  <si>
    <t>We gratefully acknowledge the support of the Deanship of Research at Al-Zaytoonah University of Jordan for supporting this work via Grant # 12/18/2018-2019.</t>
  </si>
  <si>
    <t>10.1007/s10586-022-03594-3</t>
  </si>
  <si>
    <t>4G6HY</t>
  </si>
  <si>
    <t>WOS:000784840200001</t>
  </si>
  <si>
    <t>Jahani, H; Jain, R; Ivanov, D</t>
  </si>
  <si>
    <t>Jahani, Hamed; Jain, Richa; Ivanov, Dmitry</t>
  </si>
  <si>
    <t>Data science and big data analytics: a systematic review of methodologies used in the supply chain and logistics research</t>
  </si>
  <si>
    <t>Data analytics; Predictive analytics; Data science; Big data; Data mining; Machine learning; Supply chain; Logistics; Data-driven optimisation</t>
  </si>
  <si>
    <t>MACHINE LEARNING APPROACH; DECISION-SUPPORT-SYSTEM; PREDICTIVE ANALYTICS; OPTIMIZATION MODEL; MANAGEMENT-SYSTEM; INVENTORY CONTROL; CHURN PREDICTION; PRICING POLICIES; HYBRID ENSEMBLE; PARCEL DELIVERY</t>
  </si>
  <si>
    <t>Data science and big data analytics (DS &amp; BDA) methodologies and tools are used extensively in supply chains and logistics (SC &amp; L). However, the existing insights are scattered over different literature sources and there is a lack of a structured and unbiased review methodology to systematise DS &amp; BDA application areas in the SC &amp; L comprehensively covering efficiency, resilience and sustainability paradigms. In this study, we first propose an unique systematic review methodology for the field of DS &amp; BDA in SC &amp; L. Second, we use the methodology proposed for a systematic literature review on DS &amp; BDA techniques in the SC &amp; L fields aiming at classifying the existing DS &amp; BDA models/techniques employed, structuring their practical application areas, identifying the research gaps and potential future research directions. We analyse 364 publications which use a variety of DS &amp; BDA-driven modelling methods for SC &amp; L processes across different decision-making levels. Our analysis is triangulated across efficiency, resilience, and sustainability perspectives. The developed review methodology and proposed novel classifications and categorisations can be used by researchers and practitioners alike for a structured analysis and applications of DS &amp; BDA in SC &amp; L.</t>
  </si>
  <si>
    <t>[Jahani, Hamed] RMIT Univ, Sch Accounting Informat Syst &amp; Supply Chain, Melbourne, Australia; [Jain, Richa] Tilburg Univ, Tilburg Sch Econ &amp; Management, Dept Management, Tilburg, Netherlands; [Ivanov, Dmitry] Berlin Sch Econ &amp; Law, Global Supply Chain &amp; Operat Management, Berlin, Germany</t>
  </si>
  <si>
    <t>Royal Melbourne Institute of Technology (RMIT); Tilburg University; Berlin School of Economics &amp; Law</t>
  </si>
  <si>
    <t>Ivanov, D (corresponding author), Berlin Sch Econ &amp; Law, Global Supply Chain &amp; Operat Management, Berlin, Germany.</t>
  </si>
  <si>
    <t>hamed.jahani2@rmit.edu.au; r.jain@tilburguniversity.edu; dmitry.ivanov@hwr-berlin.de</t>
  </si>
  <si>
    <t>Jain, Richa/0000-0002-8307-2442</t>
  </si>
  <si>
    <t>10.1007/s10479-023-05390-7</t>
  </si>
  <si>
    <t>L9KE1</t>
  </si>
  <si>
    <t>WOS:001026372400005</t>
  </si>
  <si>
    <t>Papagiannidis, S; See-To, EWK; Assimakopoulos, DG; Yang, Y</t>
  </si>
  <si>
    <t>Papagiannidis, Savvas; See-To, Eric W. K.; Assimakopoulos, Dimitris G.; Yang, Yang</t>
  </si>
  <si>
    <t>Identifying industrial clusters with a novel big-data methodology: Are SIC codes (not) fit for purpose in the Internet age?</t>
  </si>
  <si>
    <t>Industry classification; SIC codes; Big data analytics; Clusters; Operations; Strategic co-operation; Regional policy; North East of England</t>
  </si>
  <si>
    <t>SUPPLY CHAIN; KNOWLEDGE; WEB; SCIENCE; MANAGEMENT; INNOVATION; ALGORITHM; DISCOVERY; ANALYTICS; SELECTION</t>
  </si>
  <si>
    <t>In this paper we propose using a novel big-data-mining methodology and the Internet as a new source of useful meta-data for industry classification. The proposed methodology can be utilised as a decision support system for identifying industrial clusters in almost real time in a specific geographic region, contributing to strategic co-operation and policy development for operations and supply chain management across organisational boundaries through big data analytics. Our theoretical discussion on discerning industrial activity of firms in geographical regions starts by highlighting the limitations of the Standard Industrial Classification (SIC) codes. This discussion is followed by the proposed methodology, which has three main steps revolving around web-based data collection, pre-processing and analysis, and reporting of clusters. We discuss each step in detail, presenting the experimental approaches tested. We apply our methodology to a regional case, in the North East of England, in order to demonstrate how such a big data decision support system/analytics can work in practice. Implications for theory, policy and practice are discussed, as well as potential avenues for further research. (C) 2017 Elsevier Ltd. All rights reserved.</t>
  </si>
  <si>
    <t>[Papagiannidis, Savvas] Newcastle Univ, Sch Business, 5 Barack Rd, Newcastle Upon Tyne NE1 4SE, Tyne &amp; Wear, England; [See-To, Eric W. K.] Lingnan Univ, Dept Comp &amp; Decis Sci, Fac Business, Tuen Mun, Hong Kong, Peoples R China; [Assimakopoulos, Dimitris G.] EMLYON Business Sch, Dept Econ Finance &amp; Control, 23 Ave Guy de Collongue,CS40203, F-69134 Ecully, France; [Yang, Yang] Hong Kong Polytech Univ, Dept Ind &amp; Syst Engn, Kowloon, Hong Kong, Peoples R China</t>
  </si>
  <si>
    <t>Newcastle University - UK; Lingnan University; EMLYON Business School; Hong Kong Polytechnic University</t>
  </si>
  <si>
    <t>Papagiannidis, S (corresponding author), Newcastle Univ, Sch Business, 5 Barack Rd, Newcastle Upon Tyne NE1 4SE, Tyne &amp; Wear, England.</t>
  </si>
  <si>
    <t>savvas.papagiannidis@ncl.ac.uk; eric.seeto@gmail.com; da@em-lyon.com; ryanfalcom@gmail.com</t>
  </si>
  <si>
    <t>Assimakopoulos, Dimitris/AAG-3446-2019</t>
  </si>
  <si>
    <t>SEE-TO, Wing Kuen/0000-0001-9864-7328; Papagiannidis, Savvas/0000-0003-0799-491X; Assimakopoulos, Dimitris/0000-0002-9441-4145</t>
  </si>
  <si>
    <t>Department of Industrial and Systems Engineering, Hong Kong Polytechnic University, Hong Kong, China [G-UA4J]</t>
  </si>
  <si>
    <t>Department of Industrial and Systems Engineering, Hong Kong Polytechnic University, Hong Kong, China</t>
  </si>
  <si>
    <t>The work described in this paper was partially supported by a grant from the Department of Industrial and Systems Engineering, Hong Kong Polytechnic University, Hong Kong, China (Project No. G-UA4J).</t>
  </si>
  <si>
    <t>10.1016/j.cor.2017.06.010</t>
  </si>
  <si>
    <t>WOS:000440526800028</t>
  </si>
  <si>
    <t>Zuo, Y; Kajikawa, Y</t>
  </si>
  <si>
    <t>Zuo, Yi; Kajikawa, Yuya</t>
  </si>
  <si>
    <t>Toward a Theory of Industrial Supply Networks: A Multi-Level Perspective via Network Analysis</t>
  </si>
  <si>
    <t>ENTROPY</t>
  </si>
  <si>
    <t>supply chain (SC); supply network (SN); complex adaptive systems (CAS); network analysis; network clustering; participation coefficient; entropy; network complexity; network robustness; scenario analysis</t>
  </si>
  <si>
    <t>SCALE; COMPLEXITY; CHAIN; COMMUNITIES; DISTRICTS; CLUSTER; TRUST</t>
  </si>
  <si>
    <t>In most supply chains (SCs), transaction relationships between suppliers and customers are commonly considered to be an extrapolation from a linear perspective. However, this traditional linear concept of an SC is egotistic and oversimplified and does not sufficiently reflect the complex and cyclical structure of supplier-customer relationships in current economic and industrial situations. The interactional relationships and topological characteristics between suppliers and customers should be analyzed using supply networks (SNs) rather than traditional linear SCs. Therefore, this paper reconceptualizes SCs as SNs in complex adaptive systems (CAS), and presents three main contributions. First, we propose an integrated framework of CAS network by synthesizing multi-level network analysis from the network-, community-and vertex-perspective. The CAS perspective enables us to understand the advances of SN properties. Second, in order to emphasize the CAS properties of SNs, we conducted a real-world SN based on the Japanese industry and describe an advanced investigation of SN theory. The CAS properties help in enriching the SN theory, which can benefit SN management, community economics and industrial resilience. Third, we propose a quantitative metric of entropy to measure the complexity and robustness of SNs. The results not only support a specific understanding of the structural outcomes relevant to SNs, but also deliver efficient and effective support to the management and design of SNs.</t>
  </si>
  <si>
    <t>[Zuo, Yi] Nagoya Univ, Inst Innovat Future Soc, Nagoya, Aichi 4648601, Japan; [Kajikawa, Yuya] Tokyo Inst Technol, Sch Environm &amp; Soc, Tokyo 1080023, Japan</t>
  </si>
  <si>
    <t>Nagoya University; Tokyo Institute of Technology</t>
  </si>
  <si>
    <t>Zuo, Y (corresponding author), Nagoya Univ, Inst Innovat Future Soc, Nagoya, Aichi 4648601, Japan.</t>
  </si>
  <si>
    <t>zuo@nagoya-u.jp; kajikawa@mot.titech.ac.jp</t>
  </si>
  <si>
    <t>Kajikawa, Yuya/C-1996-2015</t>
  </si>
  <si>
    <t>Kajikawa, Yuya/0000-0003-3577-5167</t>
  </si>
  <si>
    <t>Grants-in-Aid for Scientific Research [16H02034] Funding Source: KAKEN</t>
  </si>
  <si>
    <t>1099-4300</t>
  </si>
  <si>
    <t>ENTROPY-SWITZ</t>
  </si>
  <si>
    <t>Entropy</t>
  </si>
  <si>
    <t>10.3390/e19080382</t>
  </si>
  <si>
    <t>FF2PQ</t>
  </si>
  <si>
    <t>WOS:000408739700007</t>
  </si>
  <si>
    <t>Cakir, B; Malik, S</t>
  </si>
  <si>
    <t>Cakir, Burcin; Malik, Sharad</t>
  </si>
  <si>
    <t>Revealing Cluster Hierarchy in Gate-level ICs Using Block Diagrams and Cluster Estimates of Circuit Embeddings</t>
  </si>
  <si>
    <t>ACM TRANSACTIONS ON DESIGN AUTOMATION OF ELECTRONIC SYSTEMS</t>
  </si>
  <si>
    <t>Reverse engineering; partitioning; clustering</t>
  </si>
  <si>
    <t>Contemporary integrated circuits (ICs) are increasingly being constructed using intellectual property blocks (IPs) obtained from third parties in a globalind supply chain. The increased vulnerability to adversarial changes during this untrusted supply chain raises concerns about the integrity of the end product. The difference in the levels of abstraction between the initial specification and the final available circuit design poses a challenge for analyzing the final circuit for malicious insertions. Reverse engineering presents one way to help reduce the difficulty of circuit analysis and inspection. In this work, we provide a framework that given (i) a gate-level netlist of a design and (ii) a block diagram for the design with relative sizes of the blocks, outputs a matching between the partitions of the circuit and blocks in the block diagram. We first compute a geometric embedding for each node in the circuit and then apply a clustering algorithm on the embedding features to obtain circuit partitions. Each partition is then mapped to the high-level blocks in the block diagram. These partitions can then be further analyzed for malicious insertions with much reduced complexity in comparison with the full chip. We tested our algorithm on different designs with varying sizes to evaluate the efficacy of algorithm, including the open-source processor OpenSparc T1, and showed that we can successfully match over 90% of gates to their corresponding blocks.</t>
  </si>
  <si>
    <t>[Cakir, Burcin; Malik, Sharad] Princeton Univ, Dept Elect Engn, 41 Olden St, Princeton, NJ 08544 USA</t>
  </si>
  <si>
    <t>Princeton University</t>
  </si>
  <si>
    <t>Cakir, B (corresponding author), Princeton Univ, Dept Elect Engn, 41 Olden St, Princeton, NJ 08544 USA.</t>
  </si>
  <si>
    <t>bcakir@princeton.edu; sharad@princeton.edu</t>
  </si>
  <si>
    <t>Cakir, Banu/AAC-6603-2022</t>
  </si>
  <si>
    <t>Cakir, Banu/0000-0001-6645-6527; Malik, Sharad/0000-0002-0837-5443</t>
  </si>
  <si>
    <t>C-FAR, one of the six SRC STARnet Centers - MARCO; C-FAR, one of the six SRC STARnet Centers - DARPA</t>
  </si>
  <si>
    <t>This work was supported in part by C-FAR, one of the six SRC STARnet Centers, sponsored by MARCO and DARPA.</t>
  </si>
  <si>
    <t>2 PENN PLAZA, STE 701, NEW YORK, NY 10121-0701 USA</t>
  </si>
  <si>
    <t>1084-4309</t>
  </si>
  <si>
    <t>1557-7309</t>
  </si>
  <si>
    <t>ACM T DES AUTOMAT EL</t>
  </si>
  <si>
    <t>ACM Transact. Des. Automat. Electron. Syst.</t>
  </si>
  <si>
    <t>10.1145/3329081</t>
  </si>
  <si>
    <t>Computer Science, Hardware &amp; Architecture; Computer Science, Software Engineering</t>
  </si>
  <si>
    <t>JN2OZ</t>
  </si>
  <si>
    <t>WOS:000496741600003</t>
  </si>
  <si>
    <t>Jayaraman, A; Ramu, P; Rajan, SC; Thole, SP</t>
  </si>
  <si>
    <t>Jayaraman, Aishwarya; Ramu, Palaniappan; Rajan, Sudhir Chella; Thole, Sidhant PravinKumar</t>
  </si>
  <si>
    <t>Data driven analysis of social capital in Farmer Producer Companies</t>
  </si>
  <si>
    <t>SELF-ORGANIZING MAP; COOPERATIVE MEMBERSHIP; APPLE FARMERS; PERFORMANCE; IRRIGATION; INNOVATION; PATTERNS; PONDS</t>
  </si>
  <si>
    <t>The Farmer Producer Company (FPC), a subset of the Farmer Producer Organization (FPO), is an important institutional form designed to organize farmer groups towards better coordinated farming and marketing. In the Indian context, as FPCs have emerged as new forms of members-led agribusiness, their ability to identify prevailing social ties and tap them effectively towards business growth needs to be better understood. Although social capital is studied broadly for its potential to drive organizational performance, it has been poorly researched in farmer collectives such as FPCs. The current work examines the effect of social capital on benefits and business performance at the level of member groups in FPCs. An empirical analysis was conducted in which two FPCs, which differed significantly in their mobilization strategies, farming methods, and supply chain linkages, were surveyed. Data collected from the surveys were visualized and clustering analysis was carried out using Self Organizing Maps (SOM), an unsupervised Artificial Neural Network (ANN) tool. Insights from clustering reveal the importance of pre-existing social ties, leadership, participation in group activities and the geographical affinity of groups in benefits realization and business performance of FPCs. The importance of bottom-up approaches in establishing robust supply chain linkages in emerging FPCs was keyed out through this work. The inferences through SOM, distilled strategies for FPCs' stakeholders in prioritizing interventions for member groups and in generating broader implications for policy makers accounting social capital in new institutional models.</t>
  </si>
  <si>
    <t>[Jayaraman, Aishwarya; Ramu, Palaniappan; Thole, Sidhant PravinKumar] Indian Inst Technol Madras, Dept Engn Design, Adv Design Optimizat &amp; Probabilist Tech Lab, Chennai 600036, Tamil Nadu, India; [Rajan, Sudhir Chella] Indian Inst Technol Madras, Dept Humanities &amp; Social Sci, Chennai, Tamil Nadu, India</t>
  </si>
  <si>
    <t>Indian Institute of Technology System (IIT System); Indian Institute of Technology (IIT) - Madras; Indian Institute of Technology System (IIT System); Indian Institute of Technology (IIT) - Madras</t>
  </si>
  <si>
    <t>Jayaraman, A (corresponding author), Indian Inst Technol Madras, Dept Engn Design, Adv Design Optimizat &amp; Probabilist Tech Lab, Chennai 600036, Tamil Nadu, India.</t>
  </si>
  <si>
    <t>seethish@yahoo.co.in</t>
  </si>
  <si>
    <t>; Rajan, Sudhir Chella/F-9144-2019</t>
  </si>
  <si>
    <t>Ramu, Palaniappan/0000-0001-9704-2087; Rajan, Sudhir Chella/0000-0002-5370-0233</t>
  </si>
  <si>
    <t>e17489</t>
  </si>
  <si>
    <t>10.1016/j.heliyon.2023.e17489</t>
  </si>
  <si>
    <t>Q2HN6</t>
  </si>
  <si>
    <t>WOS:001055780000001</t>
  </si>
  <si>
    <t>Boujelben, MK; Gicquel, C; Minoux, M</t>
  </si>
  <si>
    <t>Boujelben, Mouna Kchaou; Gicquel, Celine; Minoux, Michel</t>
  </si>
  <si>
    <t>A MILP model and heuristic approach for facility location under multiple operational constraints</t>
  </si>
  <si>
    <t>Dynamic facility location; Multi-period supply chain network design; Vehicle routing; Linear relaxation heuristics; Clustering; Automotive industry</t>
  </si>
  <si>
    <t>NETWORK DESIGN PROBLEM; SUPPLY CHAIN NETWORK; MULTIPERIOD; HYBRID</t>
  </si>
  <si>
    <t>In the present work, we study a multi-period facility location problem featuring many realistic constraints. In order to take into account vehicle routing from distribution centers to customers while maintaining a manageable size of the optimization problem, we develop a two-phase solution approach. In the first phase, the average distances and costs of transport from distribution centers to customers are evaluated using an exact clustering procedure based on a set-partitioning formulation. These costs serve as input to the facility location problem in the second phase, which is formulated as a mixed integer linear program and solved using a state-of-the art commercial solver. Many numerical experiments using real life data from the automotive industry are carried out in order to derive some insights related to multi period modeling. We first show that in our case study, using static assignment decisions is better for the company as the corresponding operational benefit outweighs the additional cost to be incurred. We then compare the outputs of the multi-period model with those of its single-period counterpart. Finally, to cope with the computational difficulties encountered during the numerical experiments, we propose a linear relaxation based heuristic to solve larger instances of the problem. The heuristic method provides good quality solutions while significantly improving computation times. (C) 2016 Elsevier Ltd. All rights reserved.</t>
  </si>
  <si>
    <t>[Boujelben, Mouna Kchaou] UAE Univ, Coll Business &amp; Econ, POB 15551, Al Ain, U Arab Emirates; [Gicquel, Celine] Univ Paris 11, LRI, F-91405 Orsay, France; [Minoux, Michel] Univ Paris 06, Lip6, F-75005 Paris, France</t>
  </si>
  <si>
    <t>United Arab Emirates University; UDICE-French Research Universities; Universite Paris Saclay; UDICE-French Research Universities; Sorbonne Universite</t>
  </si>
  <si>
    <t>Boujelben, MK (corresponding author), UAE Univ, Coll Business &amp; Econ, POB 15551, Al Ain, U Arab Emirates.</t>
  </si>
  <si>
    <t>mouna.boujelben@uaeu.ac.ae</t>
  </si>
  <si>
    <t>Kchaou Boujelben, Mouna/0000-0001-5648-6001</t>
  </si>
  <si>
    <t>company Renault; UAE University [31B036]</t>
  </si>
  <si>
    <t>company Renault; UAE University</t>
  </si>
  <si>
    <t>This research was supported by the company Renault. The cooperation with several experts from Renault on various application-oriented issues investigated in this paper has been highly appreciated.; The authors also gratefully acknowledge UAE University for its support to this work through start-up grant (Grant Code 31B036).</t>
  </si>
  <si>
    <t>10.1016/j.cie.2016.06.022</t>
  </si>
  <si>
    <t>DU1EA</t>
  </si>
  <si>
    <t>WOS:000381949800038</t>
  </si>
  <si>
    <t>Xu, XL; Gu, J; Yan, HZ; Liu, WT; Qi, LY; Zhou, XK</t>
  </si>
  <si>
    <t>Xu, Xiaolong; Gu, Ji; Yan, Hanzhi; Liu, Wentao; Qi, Lianyong; Zhou, Xiaokang</t>
  </si>
  <si>
    <t>Reputation-Aware Supplier Assessment for Blockchain-Enabled Supply Chain in Industry 4.0</t>
  </si>
  <si>
    <t>Supply chains; Blockchains; Fourth Industrial Revolution; Peer-to-peer computing; Informatics; Smart manufacturing; Quality of service; Blockchain; clustering algorithm; consensus algorithm; industry 4.0; reputation evaluation</t>
  </si>
  <si>
    <t>In Industry 4.0, the development of intelligent supply chains is the key to improving enterprise efficiency and customer satisfaction. At present, the strategy with blockchain to optimize the supply chain ensures the security of data sharing and interaction between different suppliers. However, the quality of service (QoS) loss in time efficiency and supplier cooperation is still a severe problem in these strategies. Therefore, it is essential to conduct reputable supplier selection to reduce QoS loss under the premise of blockchain security. Meanwhile, choosing a reputable supplier as the primary peer in the blockchain consensus process can also effectively reduce transaction latency. To solve this problem, a reputation-aware supplier assessment system, named SAS, is proposed. Specifically, Canopy and K-medoids are utilized to classify suppliers preliminarily. Then backpropagation neural network is deployed to evaluate supplier reputation. The results show that SAS is effective in supplier reputation evaluation through extensive experiments.</t>
  </si>
  <si>
    <t>[Xu, Xiaolong; Gu, Ji; Yan, Hanzhi; Liu, Wentao] Nanjing Univ Informat Sci &amp; Technol, Sch Comp Sci, Nanjing 210044, Peoples R China; [Xu, Xiaolong] Nanjing Univ Informat Sci &amp; Technol, Engn Res Ctr Digital Forens, Minist Educ, Nanjing 210044, Peoples R China; [Xu, Xiaolong] Nanjing Univ Informat Sci &amp; Technol, Jiangsu Collaborat Innovat Ctr Atmospher Environm, Nanjing 210044, Peoples R China; [Qi, Lianyong] Qufu Normal Univ, Sch Comp Sci, Rizhao 276826, Peoples R China; [Zhou, Xiaokang] Shiga Univ, Fac Data Sci, Hikone 5228522, Japan; [Zhou, Xiaokang] RIKEN, RIKEN Ctr Adv Intelligence Project, Tokyo 1030027, Japan</t>
  </si>
  <si>
    <t>Nanjing University of Information Science &amp; Technology; Nanjing University of Information Science &amp; Technology; Nanjing University of Information Science &amp; Technology; Qufu Normal University; Shiga University; RIKEN</t>
  </si>
  <si>
    <t>Zhou, XK (corresponding author), Shiga Univ, Fac Data Sci, Hikone 5228522, Japan.;Zhou, XK (corresponding author), RIKEN, RIKEN Ctr Adv Intelligence Project, Tokyo 1030027, Japan.</t>
  </si>
  <si>
    <t>xlxu@ieee.org; guji.nuist@gmail.com; yanhz.nuist@gmail.com; liuwentao728@gmail.com; lianyongqi@gmail.com; zhou@biwako.shiga-u.ac.jp</t>
  </si>
  <si>
    <t>Qi, Lianyong/AAO-2681-2020; Xu, Xiaolong/U-2547-2019</t>
  </si>
  <si>
    <t>Xu, Xiaolong/0000-0003-4879-9803; Liu, Wentao/0000-0001-9284-6529; Gu, Ji/0000-0003-3162-1902</t>
  </si>
  <si>
    <t>Natural Science Foundation of Jiangsu Province of China [BK20211284]; National Natural Science Foundation of China [61872219]; Future Network Scientific Research Fund Project [FNSRFP-2021-YB-18]</t>
  </si>
  <si>
    <t>Natural Science Foundation of Jiangsu Province of China(Natural Science Foundation of Jiangsu Province); National Natural Science Foundation of China(National Natural Science Foundation of China (NSFC)); Future Network Scientific Research Fund Project</t>
  </si>
  <si>
    <t>This work was supported in part by the Natural Science Foundation of Jiangsu Province of China under Grant BK20211284, in part by the National Natural Science Foundation of China under Grant 61872219, and in part by the Future Network Scientific Research Fund Project under Grant FNSRFP-2021-YB-18.</t>
  </si>
  <si>
    <t>10.1109/TII.2022.3190380</t>
  </si>
  <si>
    <t>D0TH8</t>
  </si>
  <si>
    <t>WOS:000965932300001</t>
  </si>
  <si>
    <t>Wang, Y; Ma, XL; Lao, YT; Wang, YH</t>
  </si>
  <si>
    <t>Wang, Yong; Ma, Xiaolei; Lao, Yunteng; Wang, Yinhai</t>
  </si>
  <si>
    <t>A fuzzy-based customer clustering approach with hierarchical structure for logistics network optimization</t>
  </si>
  <si>
    <t>Customer clustering; Fuzzy set theory; Clustering algorithm; Clustering validity index; Axiomatic fuzzy set</t>
  </si>
  <si>
    <t>GROUP DECISION-MAKING; SUPPLY CHAIN; AFS ALGEBRA; DESIGN; SEGMENTATION; MANAGEMENT; SELECTION; MODEL; ALGORITHM; OPERATORS</t>
  </si>
  <si>
    <t>Customer clustering is an essential step to reduce the complexity of large-scale logistics network optimization. By properly grouping those customers with similar characteristics, logistics operators are able to reduce operational costs and improve customer satisfaction levels. However, due to the heterogeneity and high-dimension of customers' characteristics, the customer clustering problem has not been widely studied. This paper presents a fuzzy-based customer clustering algorithm with a hierarchical analysis structure to address this issue. Customers' characteristics are represented using linguistic variables under major and minor criteria, and then, fuzzy integration method is used to map the sub-criteria into the higher hierarchical criteria based on the trapezoidal fuzzy numbers. A fuzzy clustering algorithm based on Axiomatic Fuzzy Set is developed to group the customers into multiple clusters. The clustering validity index is designed to evaluate the effectiveness of the proposed algorithm and find the optimal clustering solution. Results from a case study in Anshun, China reveal that the proposed approach outperforms the other three prevailing algorithms to resolve the customer clustering problem. The proposed approach also demonstrates its capability of capturing the similarity and distinguishing the difference among customers. The tentative clustered regions, determined by five decision makers in Anshun City, are used to evaluate the effectiveness of the proposed approach. The validation results indicate that the clustered results from the proposed method match the actual clustered regions from the real world well. The proposed algorithm can be readily implemented in practice to help the logistics operators reduce operational costs and improve customer satisfaction levels. In addition, the proposed algorithm is potential to apply in other research domains. Published by Elsevier Ltd.</t>
  </si>
  <si>
    <t>[Wang, Yong] Chongqing Jiaotong Univ, Sch Management, Chongqing 400074, Peoples R China; [Ma, Xiaolei; Lao, Yunteng; Wang, Yinhai] Univ Washington, Dept Civil &amp; Environm Engn, Seattle, WA 98195 USA</t>
  </si>
  <si>
    <t>Chongqing Jiaotong University; University of Washington; University of Washington Seattle</t>
  </si>
  <si>
    <t>Ma, XL (corresponding author), Univ Washington, Dept Civil &amp; Environm Engn, Seattle, WA 98195 USA.</t>
  </si>
  <si>
    <t>yongwx6@gmail.com; xiaolm@uw.edu; laoy@uw.edu; yinhai@uw.edu</t>
  </si>
  <si>
    <t>Wang, Yinhai/B-5396-2012; Ma, Xiaolei/J-4069-2014; Wang, Yong/IQV-5647-2023</t>
  </si>
  <si>
    <t>Wang, Yinhai/0000-0002-4180-5628; Ma, Xiaolei/0000-0002-3841-5792;</t>
  </si>
  <si>
    <t>National Natural Science Foundation of China [51138003]</t>
  </si>
  <si>
    <t>The authors are grateful for the funding support from National Natural Science Foundation of China (Project No. 51138003). In addition, the authors thank the anonymous referee for his/her valuable and constructive suggestions on this work, which improved the content substantially.</t>
  </si>
  <si>
    <t>10.1016/j.eswa.2013.07.078</t>
  </si>
  <si>
    <t>255ZS</t>
  </si>
  <si>
    <t>WOS:000327279900028</t>
  </si>
  <si>
    <t>Smadi, H; Alshraideh, H; Bataineh, W</t>
  </si>
  <si>
    <t>Smadi, Hazem; Alshraideh, Hussam; Bataineh, Wae'd</t>
  </si>
  <si>
    <t>Design of a supply chain distribution network for communicable diseases: Hepatitis A in Jordan as a case study</t>
  </si>
  <si>
    <t>INTERNATIONAL JOURNAL OF HEALTH PLANNING AND MANAGEMENT</t>
  </si>
  <si>
    <t>communicable diseases; distribution network; Hepatitis A; Jordan</t>
  </si>
  <si>
    <t>HEALTH-CARE</t>
  </si>
  <si>
    <t>Purpose: Distribution network plays a vital role on the efficiency and the responsiveness of a supply chain. Any product or service goes through a network until it reaches the final customer. Health care systems incorporate distribution networks to better provide health services to patients. In this study, a distribution network for communicable diseases has been developed. The proposed network addresses Hepatitis A in Jordan as a case study, as it is considered one of the common communicable diseases in Jordan. Findings: A regression model was developed to predict future incidents of Hepatitis A in Jordan to build a distribution network based on the future required resources. An optimization clustering model was used to structure the appropriate distribution network. The proposed network was compared with the current network used for distribution of medications for Hepatitis A. Conclusion: The new network incurs less cost in delivering medications to the required hospitals as the traveling distance is less. As future work, it is recommended to incorporate more communicable diseases to develop more realistic distribution network.</t>
  </si>
  <si>
    <t>[Smadi, Hazem; Alshraideh, Hussam; Bataineh, Wae'd] Jordan Univ Sci &amp; Technol, Dept Ind Engn, Irbid, Jordan</t>
  </si>
  <si>
    <t>Jordan University of Science &amp; Technology</t>
  </si>
  <si>
    <t>Smadi, H (corresponding author), Jordan Univ Sci &amp; Technol, Dept Ind Engn, Irbid, Jordan.</t>
  </si>
  <si>
    <t>hjsmadi@just.edu.jo</t>
  </si>
  <si>
    <t>Alshraideh, Hussam/T-8219-2018</t>
  </si>
  <si>
    <t>Alshraideh, Hussam/0000-0003-1975-9861; Smadi, Hazem/0000-0002-8136-3406</t>
  </si>
  <si>
    <t>0749-6753</t>
  </si>
  <si>
    <t>1099-1751</t>
  </si>
  <si>
    <t>INT J HEALTH PLAN M</t>
  </si>
  <si>
    <t>Int. J. Health Plan. Manag.</t>
  </si>
  <si>
    <t>E776</t>
  </si>
  <si>
    <t>E788</t>
  </si>
  <si>
    <t>10.1002/hpm.2690</t>
  </si>
  <si>
    <t>Health Policy &amp; Services; Public, Environmental &amp; Occupational Health</t>
  </si>
  <si>
    <t>Health Care Sciences &amp; Services; Public, Environmental &amp; Occupational Health</t>
  </si>
  <si>
    <t>HS8DH</t>
  </si>
  <si>
    <t>WOS:000464099700087</t>
  </si>
  <si>
    <t>Barakat, MR; Tipi, N; Wu, JS</t>
  </si>
  <si>
    <t>Barakat, Mahmoud Ramadan; Tipi, Nicoleta; Wu, Jialin Snow</t>
  </si>
  <si>
    <t>Sustainable supply chain clusters: an integrated framework</t>
  </si>
  <si>
    <t>Resilience; Absorptive capacity; Sustainability; Supply chain cluster; Organisational performance</t>
  </si>
  <si>
    <t>DYNAMIC CAPABILITIES; ABSORPTIVE-CAPACITY; COMPETITIVE ADVANTAGE; MODERATING ROLE; MANAGEMENT-PRACTICES; FIRM PERFORMANCE; RESILIENCE; INNOVATION; IMPACT; RISK</t>
  </si>
  <si>
    <t>Purpose - This research aims to provide a conceptual framework with the scope to assist in establishing sustainable supply chain clusters (SCCs) by providing an instrument for organisations to enhance the three sustainability dimensions in a dynamic environment. Design/methodology/approach - This research proposes a conceptual framework to enhance sustainability and organisational performance through three theoretical lenses: the system theory, extended resource-based view and the dynamic capabilities (DCs) theory. This approach is carried out through a comprehensive review of the existing literature on SCCs. Findings - Four main propositions are formulated and demonstrated using the developed framework, which expands the discussion about SCCs and their key characteristics in a dynamic environment. This is particularly relevant as it allows empirical testing of the theories in an SCC context. Research limitations/implications - It can be noted that more extensive research is needed to further understand the issues faced in establishing sustainable clusters. Drawing on the theoretical lenses to establish the framework helps to enhance the understanding and operational capabilities of sustainable SCCs during and after disruptions, such as the global disruption created by COVID-19. Practical implications - This research paves the way to help organisations improve their adaptability to the dynamic business environment by emphasizing the importance of clustering and linking it to sustainability through DCs to establish a sustainable cluster. Originality/value - This research aims to guide organisations' use of SCCs as tools to enhance sustainability in a dynamic environment, given that the relationship amongst supply chain cluster design characteristics (SCCDCs), DCs and sustainability remains unexplored. The combination of the three theoretical lenses in developing the proposed framework will assist in further understanding the applicability of these theories when they are considered together.</t>
  </si>
  <si>
    <t>[Barakat, Mahmoud Ramadan] Arab Acad Sci Technol &amp; Maritime Transport, Coll Int Transport &amp; Logist, Logist Int Trade Dept, Alexandria, Egypt; [Tipi, Nicoleta] Open Univ, Dept People &amp; Org, Business Sch, Milton Keynes, England; [Wu, Jialin Snow] Univ Huddersfield, Dept Logist Mkt Hospitality &amp; Analyt, Business Sch, Huddersfield, England</t>
  </si>
  <si>
    <t>Egyptian Knowledge Bank (EKB); Arab Academy for Science, Technology &amp; Maritime Transport; Open University - UK; University of Huddersfield</t>
  </si>
  <si>
    <t>Barakat, MR (corresponding author), Arab Acad Sci Technol &amp; Maritime Transport, Coll Int Transport &amp; Logist, Logist Int Trade Dept, Alexandria, Egypt.</t>
  </si>
  <si>
    <t>mahmoud.barakat@aast.edu; Nicoleta.tipi@open.ac.uk; J.wu@hud.ac.uk</t>
  </si>
  <si>
    <t>Wu, Jialin/AAF-6621-2020; Tipi, Nicoleta/R-1333-2016</t>
  </si>
  <si>
    <t>Wu, Jialin/0000-0002-5369-4371; Tipi, Nicoleta/0000-0002-8230-0693; Barakat, Mahmoud/0000-0002-9514-5717</t>
  </si>
  <si>
    <t>MAR 16</t>
  </si>
  <si>
    <t>10.1108/MD-03-2021-0400</t>
  </si>
  <si>
    <t>9Y2EE</t>
  </si>
  <si>
    <t>WOS:000935042900001</t>
  </si>
  <si>
    <t>Ha, TTT; Bush, SR; van Dijk, H</t>
  </si>
  <si>
    <t>Tran Thi Thu Ha; Bush, Simon R.; van Dijk, Han</t>
  </si>
  <si>
    <t>The cluster panacea?: Questioning the role of cooperative shrimp aquaculture in Vietnam</t>
  </si>
  <si>
    <t>AQUACULTURE</t>
  </si>
  <si>
    <t>Cooperatives; Clusters; Shrimp aquaculture; Value chain; Upgrading; Mekong Delta</t>
  </si>
  <si>
    <t>GLOBAL VALUE CHAINS; COLLECTIVE ACTION; COMMODITY CHAIN; SMALLHOLDERS; GOVERNANCE; CERTIFICATION; POVERTY; IMPACTS; TRADE</t>
  </si>
  <si>
    <t>This paper analyses the role of 'clustering' as a form of cooperative production to improve the environmental performance of shrimp farmers and facilitating them to upgrade their position in the global value chain. Comparing intensive and extensive shrimp farmer clusters in Ca Mau province, Vietnam, we explore how this form of cooperative production can enable small-holders to upgrade both functional and relational dimensions of production to meet new requirements for participation in the global shrimp value chain. The results show that by facilitating horizontal coordination between producers clusters can improve the management capacity of both intensive and extensive producers for meeting international production standards. However, the success of clusters also depends on the type and strength of vertical coordination with other actors along the value chain for both the provision of inputs and marketing of outputs. The paper concludes that for improved extensive shrimp farmer clusters to take further advantage of production-oriented quality standards the Vietnamese government needs to play a greater role in the development of production infrastructure and create a legal framework for private sector-led cluster formation. (C) 2013 Elsevier B.V. All rights reserved.</t>
  </si>
  <si>
    <t>[Tran Thi Thu Ha] Vietnam Forestry Univ, Fac Econ &amp; Business Management, Dept Econ, Hanoi, Vietnam; [Bush, Simon R.] Wageningen Univ, Environm Policy Grp, NL-6706 KN Wageningen, Netherlands; [van Dijk, Han] Wageningen Univ, Rural Dev Sociol Grp, NL-6706 KN Wageningen, Netherlands</t>
  </si>
  <si>
    <t>Vietnam National University of Agriculture (VNUA); Wageningen University &amp; Research; Wageningen University &amp; Research</t>
  </si>
  <si>
    <t>Ha, TTT (corresponding author), Vietnam Forestry Univ, Fac Econ &amp; Business Management, Hanoi, Vietnam.</t>
  </si>
  <si>
    <t>hafuv2001@yahoo.com; simon.bush@wur.nl; han.vandijk@wur.nl</t>
  </si>
  <si>
    <t>van Dijk, Han/L-6710-2016</t>
  </si>
  <si>
    <t>van Dijk, Han/0000-0002-4406-4909; Bush, Simon/0000-0002-6689-2246</t>
  </si>
  <si>
    <t>Interdisciplinary Research Fund (INREF) at Wageningen University</t>
  </si>
  <si>
    <t>Research for this paper was conducted under the RESCOPAR programme and funded by the Interdisciplinary Research Fund (INREF) at Wageningen University. The authors would like to thank the reviewers for their tough but highly constructive comments.</t>
  </si>
  <si>
    <t>0044-8486</t>
  </si>
  <si>
    <t>1873-5622</t>
  </si>
  <si>
    <t>Aquaculture</t>
  </si>
  <si>
    <t>10.1016/j.aquaculture.2013.01.011</t>
  </si>
  <si>
    <t>Fisheries; Marine &amp; Freshwater Biology</t>
  </si>
  <si>
    <t>107DT</t>
  </si>
  <si>
    <t>WOS:000316195600013</t>
  </si>
  <si>
    <t>Bai, XW; Jia, HY; Xu, MQ</t>
  </si>
  <si>
    <t>Bai, Xiwen; Jia, Haiying; Xu, Mingqi</t>
  </si>
  <si>
    <t>Identifying port congestion and evaluating its impact on maritime logistics</t>
  </si>
  <si>
    <t>MARITIME POLICY &amp; MANAGEMENT</t>
  </si>
  <si>
    <t>Congestion; clustering; AIS; liquified petroleum gas (LPG); VLGC</t>
  </si>
  <si>
    <t>ENERGY EFFICIENCY; SCHEDULE RECOVERY; ECONOMIC-LOSSES; VESSEL; TIME; DISRUPTION; INTERNALIZATION; SERVICE</t>
  </si>
  <si>
    <t>Port congestion is an obstacle to smooth energy supply chain management. This research identifies and quantifies the economic implications of congestion in a real-time framework, in which the temporal and geospatial port congestion status is analysed using the vessel tracking information captured by satellites, the Automatic Identification System. A Density-Based Spatial Clustering of Applications with Noise (DBSCAN) algorithm is proposed to automatically identify vessel clusters at ports and quantify port turnaround time, and thus real-time port congestion status. A framework is then outlined to analyze the economic implications of congestion for various stakeholders in the system. A case study is conducted on Indian LPG ports, where congestion frequently occurs. The analysis has important implications for the industrial participants engaged in energy transportation to assess the impact, and for policymakers in a better network design.</t>
  </si>
  <si>
    <t>[Bai, Xiwen; Xu, Mingqi] Tsinghua Univ, Dept Ind Engn, Beijing, Peoples R China; [Jia, Haiying] Norwegian Sch Econ, Dept Business &amp; Management Sci, Hellevein 30, N-5045 Bergen, Norway</t>
  </si>
  <si>
    <t>Tsinghua University; Norwegian School of Economics (NHH)</t>
  </si>
  <si>
    <t>Jia, HY (corresponding author), Norwegian Sch Econ, Dept Business &amp; Management Sci, Hellevein 30, N-5045 Bergen, Norway.</t>
  </si>
  <si>
    <t>haiyingjia@nhh.no</t>
  </si>
  <si>
    <t>National Natural Science Foundation of China [72001123]; Norwegian Research Council under the project Smart Digital Contract and Commercial Management [280684]</t>
  </si>
  <si>
    <t>National Natural Science Foundation of China(National Natural Science Foundation of China (NSFC)); Norwegian Research Council under the project Smart Digital Contract and Commercial Management(Research Council of Norway)</t>
  </si>
  <si>
    <t>This work was partially supported by the National Natural Science Foundation of China [Project No. 72001123] and partially supported by the Norwegian Research Council under the project Smart Digital Contract and Commercial Management [grant number 280684].</t>
  </si>
  <si>
    <t>0308-8839</t>
  </si>
  <si>
    <t>1464-5254</t>
  </si>
  <si>
    <t>MARIT POLICY MANAG</t>
  </si>
  <si>
    <t>Marit. Policy Manag.</t>
  </si>
  <si>
    <t>2022 OCT 20</t>
  </si>
  <si>
    <t>10.1080/03088839.2022.2135036</t>
  </si>
  <si>
    <t>5K3IY</t>
  </si>
  <si>
    <t>WOS:000869624000001</t>
  </si>
  <si>
    <t>Aluftekin, N; Tas, A; Yuksel, O; Cakar, GE; Bayraktar, F</t>
  </si>
  <si>
    <t>Aluftekin, Nilay; Tas, Aysegul; Yuksel, Oznur; Cakar, Gulsen Erenler; Bayraktar, Fatma</t>
  </si>
  <si>
    <t>Assessment of cluster potential and decision making criterion in the textile and apparel sector using the Analytic Hierarchy Process (AHP)</t>
  </si>
  <si>
    <t>AFRICAN JOURNAL OF BUSINESS MANAGEMENT</t>
  </si>
  <si>
    <t>Analytic Hierarchy Process (AHP); industrial clusters; decision making criteria; textile and apparel sector</t>
  </si>
  <si>
    <t>EDUCATION; BUSINESS</t>
  </si>
  <si>
    <t>In this study, the potential of specific-sector clustering and the relevant decision-making criteria are identified for 10 provinces of Turkey based on the clustering approach and using the Analytic Hierarchy Process (AHP) and through one-to-one interviews and surveys administered on 2,327 firms active in the textile and apparel sector. When identifying this potential, the clustering tendencies of companies with input-output relations and included in the value chain were also used in addition to survey data. At the end of the study, according to the data obtained through the AHP and the surveys held in 10 provinces, two provinces came to fore, meeting the highest number of criteria in terms of clustering potential. These are the provinces of Istanbul and Gaziantep. The provinces of Izmir and Bursa were identified as being closer to having a clustering potential compared to other provinces. In addition, it is expected that this study will make a significant contribution to literature as this study uses the AHP method for the first time in identifying the potential of clustering.</t>
  </si>
  <si>
    <t>[Aluftekin, Nilay; Tas, Aysegul; Yuksel, Oznur] Cankaya Univ, Dept Management, TR-06533 Ankara, Turkey; [Cakar, Gulsen Erenler; Bayraktar, Fatma] Gazi Univ, Vocat Sch, TR-06500 Ankara, Turkey</t>
  </si>
  <si>
    <t>Cankaya University; Gazi University</t>
  </si>
  <si>
    <t>Aluftekin, N (corresponding author), Cankaya Univ, Dept Management, TR-06533 Ankara, Turkey.</t>
  </si>
  <si>
    <t>nilayaluftekin@gmail.com</t>
  </si>
  <si>
    <t>ACADEMIC JOURNALS</t>
  </si>
  <si>
    <t>VICTORIA ISLAND</t>
  </si>
  <si>
    <t>P O BOX 5170-00200 NAIROBI, VICTORIA ISLAND, LAGOS 73023, NIGERIA</t>
  </si>
  <si>
    <t>1993-8233</t>
  </si>
  <si>
    <t>AFR J BUS MANAGE</t>
  </si>
  <si>
    <t>Afr. J. Bus. Manag.</t>
  </si>
  <si>
    <t>SEP 30</t>
  </si>
  <si>
    <t>856PG</t>
  </si>
  <si>
    <t>WOS:000297654600040</t>
  </si>
  <si>
    <t>Souto, G; Morais, I; Mauri, GR; Ribeiro, GM; González, PH</t>
  </si>
  <si>
    <t>Souto, Gabriel; Morais, Igor; Mauri, Geraldo Regis; Ribeiro, Glaydston Mattos; Gonzalez, Pedro Henrique</t>
  </si>
  <si>
    <t>A hybrid matheuristic for the Two-Stage Capacitated Facility Location problem</t>
  </si>
  <si>
    <t>Two-Stage Capacitated Facility Location; Clustering Search; ALNS; Local Branching; Matheuristic</t>
  </si>
  <si>
    <t>LARGE NEIGHBORHOOD SEARCH; GENETIC ALGORITHM; SINGLE-SOURCE; MULTICOMMODITY; 2-ECHELON; DESIGN</t>
  </si>
  <si>
    <t>In the class of supply chain problems, the Two-Stage Capacitated Facility Location (TSCFL) is defined by optimal locations for installing factories and warehouses to meet the demand of customers. The problem aims to minimize operating costs: opening facilities and the flow of products from factories to customers, passing through warehouses, meeting the capacity constraints of factories and warehouses and customers' demand. To solve this problem, a hybridization of Clustering Search (CS), Adaptive Large Neighborhood Search (ALNS) and Local Branching (LB) is proposed. This hybridization is a new and interesting approach which has found high quality solutions in low computational time. To show that, computational experiments were performed using benchmark instances. The results showed that the proposed method outperforms the current state-of-art for the TSCFL for 40 out of 50 instances.</t>
  </si>
  <si>
    <t>[Souto, Gabriel; Morais, Igor; Gonzalez, Pedro Henrique] DEPIN PPCIC Fed Ctr Technol Educ Rio de Janeiro, Rio De Janeiro, Brazil; [Mauri, Geraldo Regis] DCOMP Fed Univ Espirito Santo, Vitoria, ES, Brazil; [Ribeiro, Glaydston Mattos] PET Fed Univ Rio de Janeiro, Rio De Janeiro, Brazil</t>
  </si>
  <si>
    <t>Morais, I (corresponding author), DEPIN PPCIC Fed Ctr Technol Educ Rio de Janeiro, Rio De Janeiro, Brazil.</t>
  </si>
  <si>
    <t>gabriel.augusto@aluno.cefet-rj.br; igor.morais@eic.cefet-rj.br; geraldo.mauri@ufes.br; glaydston@pet.coppe.ufrj.br; pegonzalez@eic.cefet-rj.br</t>
  </si>
  <si>
    <t>Silva, Pedro Henrique González/F-6102-2015</t>
  </si>
  <si>
    <t>Silva, Pedro Henrique González/0000-0003-0057-7670; Mattos Ribeiro, Glaydston/0000-0001-8452-057X</t>
  </si>
  <si>
    <t>Conselho Nacional de Desenvolvimento Cientifico e Tecnologico -CNPq [307835/2017-0, 302261/2019-2]; Fundacao Carlos Chagas Filho de Amparo a Pesquisa do Estado do Rio de Janeiro -FAPERJ [233926]; Coordenacao de Aperfeicoamento de Pessoal de Nivel Superior</t>
  </si>
  <si>
    <t>Conselho Nacional de Desenvolvimento Cientifico e Tecnologico -CNPq(Conselho Nacional de Desenvolvimento Cientifico e Tecnologico (CNPQ)); Fundacao Carlos Chagas Filho de Amparo a Pesquisa do Estado do Rio de Janeiro -FAPERJ(Fundacao Carlos Chagas Filho de Amparo a Pesquisa do Estado do Rio De Janeiro (FAPERJ)); Coordenacao de Aperfeicoamento de Pessoal de Nivel Superior(Coordenacao de Aperfeicoamento de Pessoal de Nivel Superior (CAPES))</t>
  </si>
  <si>
    <t>This research was partially supported by Conselho Nacional de Desenvolvimento Cientifico e Tecnologico -CNPq (processes 307835/2017-0 and 302261/2019-2), Fundacao Carlos Chagas Filho de Amparo a Pesquisa do Estado do Rio de Janeiro -FAPERJ (Process 233926) and Coordenacao de Aperfeicoamento de Pessoal de Nivel Superior.</t>
  </si>
  <si>
    <t>10.1016/j.eswa.2021.115501</t>
  </si>
  <si>
    <t>WG7EM</t>
  </si>
  <si>
    <t>WOS:000707156100004</t>
  </si>
  <si>
    <t>Pacella, M; Papadia, G</t>
  </si>
  <si>
    <t>Pacella, Massimo; Papadia, Gabriele</t>
  </si>
  <si>
    <t>Finite Mixture Models for Clustering Auto-Correlated Sales Series Data Influenced by Promotions</t>
  </si>
  <si>
    <t>COMPUTATION</t>
  </si>
  <si>
    <t>sales series data; auto-correlated data; clustering; finite mixture model; expectation-maximization</t>
  </si>
  <si>
    <t>SUPPLY CHAIN; TIME-SERIES; DEMAND; IMPACT</t>
  </si>
  <si>
    <t>The focus of the present paper is on clustering, namely the problem of finding distinct groups in a dataset so that each group consists of similar observations. We consider the finite mixtures of regression models, given their flexibility in modeling heterogeneous time series. Our study aims to implement a novel approach, which fits mixture models based on the spline and polynomial regression in the case of auto-correlated data, to cluster time series in an unsupervised machine learning framework. Given the assumption of auto-correlated data and the usage of exogenous variables in the mixture model, the usual approach of estimating the maximum likelihood parameters using the Expectation-Maximization (EM) algorithm is computationally prohibitive. Therefore, we provide a novel algorithm for model fitting combining auto-correlated observations with spline and polynomial regression. The case study of this paper consists of the task of clustering the time series of sales data influenced by promotional campaigns. We demonstrate the effectiveness of our method in a case study of 131 sales series data from a real-world company. Numerical outcomes demonstrate the efficacy of the proposed method for clustering auto-correlated time series. Despite the specific case study of this paper, the proposed method can be used in several real-world application fields.</t>
  </si>
  <si>
    <t>[Pacella, Massimo; Papadia, Gabriele] Univ Salento, Dept Engn Innovat, I-73100 Lecce, Italy</t>
  </si>
  <si>
    <t>University of Salento</t>
  </si>
  <si>
    <t>Pacella, M (corresponding author), Univ Salento, Dept Engn Innovat, I-73100 Lecce, Italy.</t>
  </si>
  <si>
    <t>massimo.pacella@unisalento.it; gabriele.papadia@unisalento.it</t>
  </si>
  <si>
    <t>PAPADIA, Gabriele/0000-0003-1507-8188</t>
  </si>
  <si>
    <t>Puglia Region (Italy)-Project 'Cooperative Supply Chain'</t>
  </si>
  <si>
    <t>This work has been funded by Puglia Region (Italy)-Project 'Cooperative Supply Chain'.</t>
  </si>
  <si>
    <t>2079-3197</t>
  </si>
  <si>
    <t>Computation</t>
  </si>
  <si>
    <t>10.3390/computation10020023</t>
  </si>
  <si>
    <t>Mathematics, Interdisciplinary Applications</t>
  </si>
  <si>
    <t>ZK5MU</t>
  </si>
  <si>
    <t>WOS:000763032800001</t>
  </si>
  <si>
    <t>Li, YX; Hou, BZ; Wu, Y; Zhao, DL; Xie, AR; Zou, P</t>
  </si>
  <si>
    <t>Li, Yixin; Hou, Bingzhang; Wu, Yue; Zhao, Donglai; Xie, Aoran; Zou, Peng</t>
  </si>
  <si>
    <t>Giant fight: Customer churn prediction in traditional broadcast industry</t>
  </si>
  <si>
    <t>Customer relationship management; Customer churn; Customer retention; Customer behavior; Data mining; Cable networks provider</t>
  </si>
  <si>
    <t>MODEL; IDENTIFICATION; DEFECTION; RETENTION; MEDIATION; FRAMEWORK; INTENTION; USAGE</t>
  </si>
  <si>
    <t>The national broadcast service providers in China have been involved in a fierce battle with various new providers from each node of the supply chain. Although there are historical advantages, customer churn rate has been increasing in recent years. To better respond to market competition, national broadcast service providers such as cable network enterprises should recognize customer preference and forecast customer churn intention before the competition does. Based on a positivist approach, customer churn is related to watching intensity, consumption amount, and paying habits. Watching preference (as the exclusive resource) has only a moderate effect on customer watching intensity and customer churn. In order to explore the mechanism between variables and observe user retention strategies, in-depth interviews were conducted. This study provides references to similar major traditional enterprises in the new competition era.</t>
  </si>
  <si>
    <t>[Li, Yixin; Hou, Bingzhang; Wu, Yue; Zou, Peng] Harbin Inst Technol, Sch Management, Harbin 150001, Peoples R China; [Zhao, Donglai; Xie, Aoran] Harbin Inst Technol, Sch Elect &amp; Informat Engn, Harbin 150001, Peoples R China</t>
  </si>
  <si>
    <t>Harbin Institute of Technology; Harbin Institute of Technology</t>
  </si>
  <si>
    <t>Wu, Y (corresponding author), Harbin Inst Technol, Sch Management, Harbin 150001, Peoples R China.</t>
  </si>
  <si>
    <t>wuy@hit.edu.cn</t>
  </si>
  <si>
    <t>Zhao, Donglai/IWM-3595-2023</t>
  </si>
  <si>
    <t>Zou, Peng/0000-0002-8484-5769</t>
  </si>
  <si>
    <t>10.1016/j.jbusres.2021.01.022</t>
  </si>
  <si>
    <t>SE4CD</t>
  </si>
  <si>
    <t>WOS:000652020000026</t>
  </si>
  <si>
    <t>Wahyuni, H; Vanany, I; Ciptomulyono, U</t>
  </si>
  <si>
    <t>Wahyuni, Hana; Vanany, Iwan; Ciptomulyono, Udisubakti</t>
  </si>
  <si>
    <t>Food Safety and Halal Food in the Supply Chain: Review and Bibliometric Analysis</t>
  </si>
  <si>
    <t>JOURNAL OF INDUSTRIAL ENGINEERING AND MANAGEMENT-JIEM</t>
  </si>
  <si>
    <t>food safety; halal food; supply chain; bibliometric analysis; network analysis; literature review</t>
  </si>
  <si>
    <t>CITATION ANALYSIS; RISK-ASSESSMENT; PRODUCT-SAFETY; MANAGEMENT; QUALITY; INTEGRATION; INTEGRITY; MEAT; MANUFACTURERS; CONTAMINATION</t>
  </si>
  <si>
    <t>Purpose: Researchers have been actively investigating various issues concerning food safety and halal food in the supply chain. The ultimate goal is to provide guarantees for quality and conformance regarding food standards and demanding expectation from the consumers. We review a set of two-decade food safety and halal food in supply chain (SC) literature from 1990 to 2018 (month of February) in order to pinpoint the problems, models, solution approaches and more importantly, the future directions of this field. Design/methodology/approach: Our method employs the 120 published articles on food safety and halal food in SC research. Various techniques from statistics, bibliometrics, and analytics are systematically deployed to gain insights on how the literature address these two topics. Findings: The predominant contributing articles, authors, affiliations, and keywords have been reviewed, clustered, and thoroughly analyzed. Through systematic graphical and clustering analyses, four major clusters regarding food safety and two clusters in halal food in SC research have been identified as the most promising and potential future for research opportunities. Research limitations/implications: This study focuses on articles that discuss food safety and halal. Practical implications: Our findings provide valuable insights to understand the major clusters of the research endeavour along with the plausible pathways to where they would likely develop in the future. With these insights, researchers and practitioners shall be able to devise initiatives that are of high relevance and significance in the near future. Social implications: This research provides an understanding to the reader about the relationship between food safety and halal. Originality/value: This paper provides the first systematic overview of food safety and halal food for supply chain researchers to see the big picture of the field. Serving as the thread connecting research endeavour in these two research areas, our novel work highlights how the work is connected, which research clusters have been the center-of-attention during the last two decades, and consequently, which areas are still lacking an investigation. We believe that people in both academia and industry who are keen to develop a rigorous solution to ensuring food safety and food halal-ness to satisfy global market requirement will be benefitting the most from our analysis.</t>
  </si>
  <si>
    <t>[Wahyuni, Hana; Vanany, Iwan; Ciptomulyono, Udisubakti] Inst Teknol Sepuluh Nopember, Surabaya, Indonesia</t>
  </si>
  <si>
    <t>Institut Teknologi Sepuluh Nopember</t>
  </si>
  <si>
    <t>Wahyuni, H (corresponding author), Inst Teknol Sepuluh Nopember, Surabaya, Indonesia.</t>
  </si>
  <si>
    <t>hanacatur@umsida.ac.id; vanany@ie.its.ac.id; Udisubakti@ie.its.ac.id</t>
  </si>
  <si>
    <t>Wahyuni, Hana Catur/AAA-1907-2022</t>
  </si>
  <si>
    <t>Wahyuni, Hana Catur/0000-0003-0932-2519</t>
  </si>
  <si>
    <t>OMNIASCIENCE</t>
  </si>
  <si>
    <t>BARCELONA</t>
  </si>
  <si>
    <t>TERRASSA, BARCELONA, 00000, SPAIN</t>
  </si>
  <si>
    <t>2013-8423</t>
  </si>
  <si>
    <t>2013-0953</t>
  </si>
  <si>
    <t>J IND ENG MANAG-JIEM</t>
  </si>
  <si>
    <t>J. Ind. Eng. Manag.-JIEM</t>
  </si>
  <si>
    <t>10.3926/jiem.2803</t>
  </si>
  <si>
    <t>IT3KJ</t>
  </si>
  <si>
    <t>WOS:000482751500010</t>
  </si>
  <si>
    <t>Janipour, Z; de Gooyert, V; Huijbregts, M; de Coninck, H</t>
  </si>
  <si>
    <t>Janipour, Zahra; de Gooyert, Vincent; Huijbregts, Mark; de Coninck, Heleen</t>
  </si>
  <si>
    <t>Industrial clustering as a barrier and an enabler for deep emission reduction: a case study of a Dutch chemical cluster</t>
  </si>
  <si>
    <t>CLIMATE POLICY</t>
  </si>
  <si>
    <t>Industrial symbiosis; industrial clusters; energy-intensive industries; climate change mitigation; system dynamics; participatory approaches</t>
  </si>
  <si>
    <t>LOCK-IN; INNOVATION SYSTEMS; SYMBIOSIS; DYNAMICS; ENERGY; PARK; SUSTAINABILITY; TRANSITION; EVOLUTION; NETWORKS</t>
  </si>
  <si>
    <t>Industrial clusters are considered more resource- and greenhouse gas-efficient than stand-alone industrial plants, but clustering may also act as a barrier to radical changes required for deep greenhouse gas emission reductions. Here we explore how clustering in an energy-intensive chemical industry cluster may influence attainability of the deep emission reduction targets. Chemelot, located in the southeast of the Netherlands, was willing to collaborate and we adopt a qualitative system dynamics approach based on expert interviews and group model building sessions. We found that clustering may hinder reaching deep emission reductions by three reinforcing feedback mechanisms, or 'traps', related to: incremental changes; short-term focus; and companies acting alone. The system dynamics analysis also identified potential mechanisms to escape from these traps, notably: (1) increasing cluster autonomy; (2) activating public support; (3) promoting changes in the supply chain; and (4) attracting long-term investors. The findings can inform policymakers on how to steer industrial clusters towards deep emission reductions, and support industrial cluster decision-makers on both internal and external strategies.</t>
  </si>
  <si>
    <t>[Janipour, Zahra; Huijbregts, Mark; de Coninck, Heleen] Radboud Univ Nijmegen, Inst Water &amp; Wetland Res, Dept Environm Sci, POB 9010, NL-6500 GL Nijmegen, Netherlands; [de Gooyert, Vincent] Radboud Univ Nijmegen, Inst Management Res, Nijmegen, Netherlands; [de Coninck, Heleen] Eindhoven Univ Technol, Dept Ind Engn &amp; Innovat Sci, Technol Innovat &amp; Soc, Eindhoven, Netherlands</t>
  </si>
  <si>
    <t>Radboud University Nijmegen; Radboud University Nijmegen; Eindhoven University of Technology</t>
  </si>
  <si>
    <t>Janipour, Z (corresponding author), Radboud Univ Nijmegen, Inst Water &amp; Wetland Res, Dept Environm Sci, POB 9010, NL-6500 GL Nijmegen, Netherlands.</t>
  </si>
  <si>
    <t>z.janipour@science.ru.nl</t>
  </si>
  <si>
    <t>de Coninck, Heleen/F-2358-2013; Huijbregts, Mark A.J./B-8971-2011; de Gooyert, Vincent/Q-9551-2017</t>
  </si>
  <si>
    <t>Huijbregts, Mark A.J./0000-0002-7037-680X; de Gooyert, Vincent/0000-0003-2485-6412; de Coninck, Heleen/0000-0001-6410-5539</t>
  </si>
  <si>
    <t>Radboud Universiteit</t>
  </si>
  <si>
    <t>This work was supported by Radboud Universiteit.</t>
  </si>
  <si>
    <t>1469-3062</t>
  </si>
  <si>
    <t>1752-7457</t>
  </si>
  <si>
    <t>CLIM POLICY</t>
  </si>
  <si>
    <t>Clim. Policy</t>
  </si>
  <si>
    <t>10.1080/14693062.2022.2025755</t>
  </si>
  <si>
    <t>Environmental Studies; Public Administration</t>
  </si>
  <si>
    <t>Environmental Sciences &amp; Ecology; Public Administration</t>
  </si>
  <si>
    <t>ZN8RG</t>
  </si>
  <si>
    <t>WOS:000742234300001</t>
  </si>
  <si>
    <t>Tripathi, S; Muhr, D; Brunner, M; Jodlbauer, H; Dehmer, M; Emmert-Streib, F</t>
  </si>
  <si>
    <t>Tripathi, Shailesh; Muhr, David; Brunner, Manuel; Jodlbauer, Herbert; Dehmer, Matthias; Emmert-Streib, Frank</t>
  </si>
  <si>
    <t>Ensuring the Robustness and Reliability of Data-Driven Knowledge Discovery Models in Production and Manufacturing</t>
  </si>
  <si>
    <t>FRONTIERS IN ARTIFICIAL INTELLIGENCE</t>
  </si>
  <si>
    <t>machine learning; robustness; industry 4.0; smart manufacturing; industrial production; CRISP- DM</t>
  </si>
  <si>
    <t>INTELLIGENT FAULT-DIAGNOSIS; SUPPLY CHAIN MANAGEMENT; FEATURE-SELECTION; MULTIPLE IMPUTATION; DATA QUALITY; REGRESSION; SHRINKAGE; CHALLENGES; WRAPPERS; INTERNET</t>
  </si>
  <si>
    <t>The Cross-Industry Standard Process for Data Mining (CRISP-DM) is a widely accepted framework in production and manufacturing. This data-driven knowledge discovery framework provides an orderly partition of the often complex data mining processes to ensure a practical implementation of data analytics and machine learning models. However, the practical application of robust industry-specific data-driven knowledge discovery models faces multiple data- and model development-related issues. These issues need to be carefully addressed by allowing a flexible, customized and industry-specific knowledge discovery framework. For this reason, extensions of CRISP-DM are needed. In this paper, we provide a detailed review of CRISP-DM and summarize extensions of this model into a novel framework we call Generalized Cross-Industry Standard Process for Data Science (GCRISP-DS). This framework is designed to allow dynamic interactions between different phases to adequately address data- and model-related issues for achieving robustness. Furthermore, it emphasizes also the need for a detailed business understanding and the interdependencies with the developed models and data quality for fulfilling higher business objectives. Overall, such a customizable GCRISP-DS framework provides an enhancement for model improvements and reusability by minimizing robustness-issues.</t>
  </si>
  <si>
    <t>[Tripathi, Shailesh; Muhr, David; Brunner, Manuel; Jodlbauer, Herbert] Univ Appl Sci Upper Austria, Prod &amp; Operat Management, Linz, Austria; [Dehmer, Matthias] Swiss Distance Univ Appl Sci, Dept Comp Sci, Brig, Switzerland; [Dehmer, Matthias] Xian Technol Univ, Sch Sci, Xian, Peoples R China; [Dehmer, Matthias] UMIT The Hlth &amp; Life Sci Univ, Dept Biomed Comp Sci &amp; Mechatron, Hall In Tirol, Austria; [Dehmer, Matthias] Nankai Univ, Coll Artificial Intelligence, Tianjin, Peoples R China; [Emmert-Streib, Frank] Tampere Univ, Fac Informat Technol &amp; Commun Sci, Predict Soc &amp; Data Analyt Lab, Tampere, Finland; [Emmert-Streib, Frank] Tampere Univ, Inst Biosci &amp; Med Technol, Tampere, Finland</t>
  </si>
  <si>
    <t>Xi'an Technological University; Nankai University; Tampere University; Tampere University</t>
  </si>
  <si>
    <t>Tripathi, S (corresponding author), Univ Appl Sci Upper Austria, Prod &amp; Operat Management, Linz, Austria.</t>
  </si>
  <si>
    <t>shailesh.tripathi@fh-steyr.at</t>
  </si>
  <si>
    <t>Emmert-Streib, Frank/HZI-2726-2023; Emmert-Streib, Frank/G-8099-2011</t>
  </si>
  <si>
    <t>Emmert-Streib, Frank/0000-0003-0745-5641</t>
  </si>
  <si>
    <t>X-pro project; government of Upper Austria; Austrian Science Fund [P 30031]</t>
  </si>
  <si>
    <t>X-pro project; government of Upper Austria; Austrian Science Fund(Austrian Science Fund (FWF))</t>
  </si>
  <si>
    <t>ST is supported by X-pro project. X-pro is financed by research subsidies granted by the government of Upper Austria. MD received funding from the Austrian Science Fund (P 30031).</t>
  </si>
  <si>
    <t>2624-8212</t>
  </si>
  <si>
    <t>FRONT ARTIF INTELL</t>
  </si>
  <si>
    <t>Front. Artif. Intell.</t>
  </si>
  <si>
    <t>10.3389/frai.2021.576892</t>
  </si>
  <si>
    <t>YT9WW</t>
  </si>
  <si>
    <t>gold, Green Published, Green Submitted</t>
  </si>
  <si>
    <t>WOS:000751704800011</t>
  </si>
  <si>
    <t>Fontana, F; Klahn, C; Meboldt, M</t>
  </si>
  <si>
    <t>Fontana, Filippo; Klahn, Christoph; Meboldt, Mirko</t>
  </si>
  <si>
    <t>Value-driven clustering of industrial additive manufacturing applications</t>
  </si>
  <si>
    <t>JOURNAL OF MANUFACTURING TECHNOLOGY MANAGEMENT</t>
  </si>
  <si>
    <t>Value; 3D printing; Technology implementation; Additive manufacturing; Case studies; Process innovation</t>
  </si>
  <si>
    <t>SPARE PARTS; PERFORMANCE; TECHNOLOGY; MANAGEMENT; IMPACT; COMPONENTS; INNOVATION; FRAMEWORK; ADOPTION; LIGHT</t>
  </si>
  <si>
    <t>Purpose A prerequisite for the successful adoption of additive manufacturing (AM) technologies in industry is the identification of areas, where such technologies could offer a clear competitive advantage. The purpose of this paper is to investigate the unique value-adding characteristics of AM, define areas of viable application in a firm value chain and discuss common implications of AM adoption for companies and their processes. Design/methodology/approach The research leverages a multi-case-study approach and considers interviews with AM adopting companies from the Swiss and central European region in the medical and industrial manufacturing industries. The authors rely on a value chain model comprising a new product development process and an order fulfillment process (OFP) to analyze the benefits of AM technologies. Findings The research identifies and defines seven clusters within a firm value chain, where the application of AM could create benefits for the adopting company and its customers. The authors suggest that understanding the AM process chain and the design experience are key to explaining the heterogeneous industrial maturity of the presented clusters. The authors further examine the suitability of AM technologies with agile development techniques to pursue incremental product launches in hardware. It is clearly a field requiring the attention of scholars. Originality/value This paper presents a value-driven approach for use-case identification and reveals implications of the industrial implementation of AM technologies. The resultant clustering model provides guidance to new AM adopters.</t>
  </si>
  <si>
    <t>[Fontana, Filippo; Meboldt, Mirko] Eidgenossische Tech Hsch Zurich, D MAVT, Zurich, Switzerland; [Klahn, Christoph] Inspire AG, IPDZ, St Gallen, Switzerland</t>
  </si>
  <si>
    <t>Fontana, F (corresponding author), Eidgenossische Tech Hsch Zurich, D MAVT, Zurich, Switzerland.</t>
  </si>
  <si>
    <t>fontanaf@ethz.ch</t>
  </si>
  <si>
    <t>Meboldt, Mirko/0000-0001-5828-5406; Klahn, Christoph/0000-0001-6947-3621</t>
  </si>
  <si>
    <t>1741-038X</t>
  </si>
  <si>
    <t>1758-7786</t>
  </si>
  <si>
    <t>J MANUF TECHNOL MANA</t>
  </si>
  <si>
    <t>J. Manuf. Technol. Manag.</t>
  </si>
  <si>
    <t>FEB 28</t>
  </si>
  <si>
    <t>10.1108/JMTM-06-2018-0167</t>
  </si>
  <si>
    <t>Engineering, Industrial; Engineering, Manufacturing; Management</t>
  </si>
  <si>
    <t>HM5IA</t>
  </si>
  <si>
    <t>WOS:000459508200005</t>
  </si>
  <si>
    <t>Su, WH; Chen, KY; Lu, LYY; Wang, JJ</t>
  </si>
  <si>
    <t>Su, Wei-Hao; Chen, Kai-Ying; Lu, Louis Y. Y.; Wang, Jen-Jen</t>
  </si>
  <si>
    <t>Knowledge Development Trajectories of the Radio Frequency Identification Domain: An Academic Study Based on Citation and Main Paths Analysis</t>
  </si>
  <si>
    <t>radio frequency identification (RFID); citation network analysis; development trajectory; knowledge discovery and extraction; data mining</t>
  </si>
  <si>
    <t>WIRELESS SMART TAG; ANTENNA DESIGN; COMMUNITY STRUCTURE; LOCALIZATION; PROTOCOL; SENSOR; SYSTEM; TRENDS; QUANTITATION; TECHNOLOGY</t>
  </si>
  <si>
    <t>Featured Application This study provides planning directions for industry, and the findings serve as a reference for business domain. The study collected papers on radio frequency identification (RFID) applications from an academic database to explore the topic's development trajectory and predict future development trends. Overall, 3820 papers were collected, and citation networks were established on the basis of the literature references. Main path analysis was performed on the networks to determine the development trajectory of RFID applications. After clustering into groups, the results are twenty clusters, and six clusters with citation counts of more than 200 were obtained. Cluster and word cloud analyses were conducted, and the main research themes were identified: RFID applications in supply chain management, antenna design, collision prevention protocols, privacy and safety, tag sensors, and localization systems. Text mining was performed on the titles and abstracts of the papers to identify frequent keywords and topics of interest to researchers. Finally, statistical analysis of papers published in the previous 4 years revealed RFID applications in construction, aquaculture, and experimentation are less frequently discussed themes. This study provides planning directions for industry, and the findings serve as a reference for business domain. The integrated analysis successfully determined the trajectory of RFID-based technological development and applications as well as forecast the direction of future research.</t>
  </si>
  <si>
    <t>[Su, Wei-Hao; Chen, Kai-Ying; Wang, Jen-Jen] Natl Taipei Univ Technol, Dept Ind Engn &amp; Management, 1,Sec 3,Zhongxiao E Rd, Taipei 10608, Taiwan; [Lu, Louis Y. Y.] Yuan Ze Univ, Coll Management, 135 Yuan Tung Rd, Chungli 32003, Taiwan</t>
  </si>
  <si>
    <t>National Taipei University of Technology; Yuan Ze University</t>
  </si>
  <si>
    <t>Su, WH (corresponding author), Natl Taipei Univ Technol, Dept Ind Engn &amp; Management, 1,Sec 3,Zhongxiao E Rd, Taipei 10608, Taiwan.</t>
  </si>
  <si>
    <t>jackiesu1969@yahoo.com.tw; kychen@mail.ntut.edu.tw; louislu@saturn.yzu.edu.tw; wangju1129@gmail.com</t>
  </si>
  <si>
    <t>10.3390/app11188254</t>
  </si>
  <si>
    <t>UU9FB</t>
  </si>
  <si>
    <t>WOS:000699097400001</t>
  </si>
  <si>
    <t>Hussein, M; Eltoukhy, AEE; Karam, A; Shaban, IA; Zayed, T</t>
  </si>
  <si>
    <t>Hussein, Mohamed; Eltoukhy, Abdelrahman E. E.; Karam, Ahmed; Shaban, Ibrahim A.; Zayed, Tarek</t>
  </si>
  <si>
    <t>Modelling in off-site construction supply chain management: A review and future directions for sustainable modular integrated construction</t>
  </si>
  <si>
    <t>Supply chain management; Logistics; Sustainability; Modelling; Literature review; Modular integrated construction</t>
  </si>
  <si>
    <t>GREENHOUSE-GAS EMISSIONS; POST-SIMULATION VISUALIZATION; IN-SITU; PRECAST CONSTRUCTION; OFFSITE PRODUCTION; COST OPTIMIZATION; SCHEDULING MODEL; SYSTEM; PERFORMANCE; PREFABRICATION</t>
  </si>
  <si>
    <t>Off-site construction (OSC) is an innovative and sustainable construction method. One of its critical success factors is the proper management of its supply chain (SC). Recently, significant research attention has been focused on the modelling of OSC-SC to improve its performance and sustainability. However, the literature still lacks a comprehensive review of the modelling studies on off-site construction -supply chain management (OSCSCM). Therefore, this research contributes by providing a comprehensive and up-to-date mapping and clustering of 309 journal articles on the modelling of OSC-SC to identify its trends and gaps, and hence, highlight future research opportunities. To achieve these objectives, a mixed review method, consisting of scientometric and systematic reviews, is used. The scientometric review identifies the most prolific journals, researchers, cooccurrence network of keywords, and their citation bursts. On the other hand, the systematic review classifies the articles based on OSC type and supply chain (SC) stage. At each SC stage, the articles are further classified based on problem settings and solution methods. The results show that production problems have received the most attention (i.e., by 28% of the included articles), followed by on-site construction (19%), design (13%), and logistics (7%) problems. However, researchers are more inclined to address problems at multiple SC stages (33%) due to the interrelationship between these stages. Besides, the systematic analysis shows that OSC-SC problems have been solved frequently by a variety of solution methods such as optimization (25%), simulation (13%) and building information modelling (BIM) (9.5%). However, researchers tend more to integrate multiple solution methods (35%) to address the complexities of OSC-SC problems. Finally, the included studies are classified based on the three sustainability dimensions. The results show that economic, environmental, and social sustainability dimensions have been considered in previous studies by 72%, 24%, and 4%, respectively. Therefore, the study identifies research gaps at each SC stage of each OSC type to incentivize future studies to consider more environmental and social sustainability factors in OSC-SC models. Since modular integrated construction (MiC) has the highest prefabrication level, this study provides future research directions for sustainable supply chain management (SCM) in MiC. The present research is an important reference guide that helps researchers and practitioners to understand different problem settings and their solution methods in OSC-SCM.</t>
  </si>
  <si>
    <t>[Hussein, Mohamed; Zayed, Tarek] Hong Kong Polytech Univ, Dept Bldg &amp; Real Estate, Hong Kong, Peoples R China; [Eltoukhy, Abdelrahman E. E.] Hong Kong Polytech Univ, Dept Ind &amp; Syst Engn, Hong Kong, Peoples R China; [Karam, Ahmed] Aalborg Univ, Dept Built Environm, Freight Transport Res Grp, DK-9220 Aalborg, Denmark; [Karam, Ahmed] Benha Univ, Dept Mech Engn Shoubra, Banha 11672, Egypt; [Shaban, Ibrahim A.] Helwan Univ, Fac Engn, Mech Engn Dept, Cairo, Egypt</t>
  </si>
  <si>
    <t>Hong Kong Polytechnic University; Hong Kong Polytechnic University; Aalborg University; Egyptian Knowledge Bank (EKB); Benha University; Egyptian Knowledge Bank (EKB); Helwan University</t>
  </si>
  <si>
    <t>Hussein, M (corresponding author), Hong Kong Polytech Univ, Dept Bldg &amp; Real Estate, Hong Kong, Peoples R China.</t>
  </si>
  <si>
    <t>mohamed.hussein@connect.polyu.hk; abdelrahman.eltoukhy@polyu.edu.hk; akam@build.aau.dk; I.a.shaban@connect.polyu.hk; tarek.zayed@polyu.edu.hk</t>
  </si>
  <si>
    <t>Shaban, Ibrahim Abdelfadeel/Y-2058-2018; Karam, Ahmed/ABF-3758-2020</t>
  </si>
  <si>
    <t>Shaban, Ibrahim Abdelfadeel/0000-0003-0834-0141; Hussein, MOHAMED/0000-0002-7153-9308; Eltoukhy, Abdelrahman/0000-0001-5714-3641; Karam, Ahmed/0000-0003-3750-0642</t>
  </si>
  <si>
    <t>Chinese National Engineering Research Centre for Steel Construction (CNERC), Hong Kong Branch, at the Hong Kong Polytechnic University [BBV3]</t>
  </si>
  <si>
    <t>Chinese National Engineering Research Centre for Steel Construction (CNERC), Hong Kong Branch, at the Hong Kong Polytechnic University</t>
  </si>
  <si>
    <t>This is to acknowledge that the project leading to the publication of this paper was fully funded by the Chinese National Engineering Research Centre for Steel Construction (CNERC) , Hong Kong Branch, at the Hong Kong Polytechnic University (BBV3) .</t>
  </si>
  <si>
    <t>AUG 10</t>
  </si>
  <si>
    <t>10.1016/j.jclepro.2021.127503</t>
  </si>
  <si>
    <t>SV4BE</t>
  </si>
  <si>
    <t>WOS:000663764900006</t>
  </si>
  <si>
    <t>Awan, S; Ahmed, S; Ullah, F; Nawaz, A; Khan, A; Uddin, MI; Alharbi, A; Alosaimi, W; Alyami, H</t>
  </si>
  <si>
    <t>Awan, Sabir; Ahmed, Sheeraz; Ullah, Fasee; Nawaz, Asif; Khan, Atif; Uddin, M. Irfan; Alharbi, Abdullah; Alosaimi, Wael; Alyami, Hashem</t>
  </si>
  <si>
    <t>IoT with BlockChain: A Futuristic Approach in Agriculture and Food Supply Chain</t>
  </si>
  <si>
    <t>INTERNET; THINGS</t>
  </si>
  <si>
    <t>Agricultural food production is projected to be 70% higher by 2050 than it is today, with the world population rising to more than 9 billion, 34% higher than it is now. The farmers have been forced to produce more with the same resources. This pressure means that optimizing productivity is one of the main objectives of the producers but also in a sustainable way. Not only does agriculture face a decline in production, but it has also had to face limitations in data collection, storing, securing, and sharing, climate change, increases in input prices, traditional food supply chain systems where there is no direct connection between the farmer and the buyer, and limitations on energy use. Existing IoT-based agriculture systems have a centralized format and operate in isolation, leaving room for unresolved issues and major concerns, including data security, manipulation, and single failure points. This paper proposes a futuristic IoT with a blockchain model to meet these challenges. Further, this paper also proposes and novel energy-efficient clustering IoT-based agriculture protocol for lower energy consumption and network stability and compares its results with its counterpart low-energy adoptive clustering hierarchy (LEACH) protocol. The simulation results show that the proposed protocol network stability is 23% higher as compared to LEACH as first node of LEACH dies at 168 rounds while IoT-based agriculture first node dies after 463 rounds. Similarly, IoT-based agriculture protocol energy consumption is 68% lower than that of LEACH. The proposed protocol also extends the network life to more rounds and demonstrates an increase of 112%.</t>
  </si>
  <si>
    <t>[Awan, Sabir; Ahmed, Sheeraz] IQRA Natl Univ, Peshawar, Pakistan; [Ullah, Fasee] Univ Macau, Dept Comp &amp; Informat Sci, Macau, Peoples R China; [Nawaz, Asif] Higher Coll Technol Dubai Women Coll, ETS, Dubai, U Arab Emirates; [Khan, Atif] Islamia Coll Peshawar, Dept Comp Sci, Peshawar 25120, Pakistan; [Uddin, M. Irfan] Kohat Univ Sci &amp; Technol, Inst Comp, Kohat 26000, Pakistan; [Alharbi, Abdullah; Alosaimi, Wael] Taif Univ, Coll Comp &amp; Informat Technol, Dept Informat Technol, POB 11099, At Taif 21944, Saudi Arabia; [Alyami, Hashem] Taif Univ, Coll Comp &amp; Informat Technol, Dept Comp Sci, POB 11099, At Taif 21944, Saudi Arabia</t>
  </si>
  <si>
    <t>University of Macau; University of Peshawar; Kohat University of Science &amp; Technology; Taif University; Taif University</t>
  </si>
  <si>
    <t>Uddin, MI (corresponding author), Kohat Univ Sci &amp; Technol, Inst Comp, Kohat 26000, Pakistan.</t>
  </si>
  <si>
    <t>mirfanud@gmail.com</t>
  </si>
  <si>
    <t>Ahmed, Sheeraz/H-4012-2018; Ahmed, Sheeraz/O-7137-2019; Ahmed, Syed/GSN-7305-2022</t>
  </si>
  <si>
    <t>Ahmed, Sheeraz/0000-0002-2750-372X; Ahmed, Sheeraz/0000-0002-2750-372X; Ullah, Fasee/0000-0001-6167-5253</t>
  </si>
  <si>
    <t>Taif University, Taif, Saudi Arabia [TURSP-2020/254]</t>
  </si>
  <si>
    <t>Taif University, Taif, Saudi Arabia</t>
  </si>
  <si>
    <t>This research was supported by Taif University Researchers Supporting Project number (TURSP-2020/254), Taif University, Taif, Saudi Arabia.</t>
  </si>
  <si>
    <t>JUN 23</t>
  </si>
  <si>
    <t>10.1155/2021/5580179</t>
  </si>
  <si>
    <t>TH7FS</t>
  </si>
  <si>
    <t>WOS:000672251700004</t>
  </si>
  <si>
    <t>Al Mashalah, H; Hassini, E; Gunasekaran, A; Bhatt, D</t>
  </si>
  <si>
    <t>Al Mashalah, Heider; Hassini, Elkafi; Gunasekaran, Angappa; Bhatt, Deepa (Mishra)</t>
  </si>
  <si>
    <t>The impact of digital transformation on supply chains through e-commerce: Literature review and a framework</t>
  </si>
  <si>
    <t>Digital transformation; e-commerce; Network analysis; Supply chains; Systematic literature review</t>
  </si>
  <si>
    <t>LAST-MILE DELIVERY; B2C E-COMMERCE; DISTRIBUTION NETWORK DESIGN; BUSINESS E-PROCUREMENT; BIG DATA ANALYTICS; URBAN LOGISTICS; CITY LOGISTICS; TRANSPORTATION SYSTEMS; INFORMATION-TECHNOLOGY; ENVIRONMENTAL IMPACTS</t>
  </si>
  <si>
    <t>One of the profound impacts of digitalization on supply chains is manifested through e -commerce. The latter has significantly grown during the last two decades, with further amplifications during the COVID-19 pandemic. This has created operational and policy making challenges for firms when deciding about how best to manage the resulting growth in e -commerce. While the impact of e-commerce on supply chains has been widely recognized in the literature, there was no effort to systematically review the literature, conceptualize some of the challenges and propose future research directions. This paper fills this gap by reviewing 153 publications from 1999 to 2019. We classify the reviewed literature based on which supply chain drivers were investigated, as well as, the employed research methodology. In addition, we conduct network and content analysis to uncover the main research themes and potential research directions namely, developing analytical centred; modelling based ecosystem for environment; leveraging data mining to enhance sustainability; balance between growth and sustainability; consumer demand and uncertainty; coordination in e-commerce logistics; last mile alternatives and cost management of innovative technique implementations. Furthermore, based on our literature review, we propose a conceptual framework where we interlink supply chain stages with a firm's business strategy, digital transformation strategy and performance.</t>
  </si>
  <si>
    <t>[Al Mashalah, Heider] McMaster Univ, Sch Computat Sci &amp; Engn, Hamilton, ON, Canada; [Hassini, Elkafi] McMaster Univ, DeGroote Sch Business, Hamilton, ON, Canada; [Gunasekaran, Angappa] Penn State Harrisburg, Sch Business Adm, 777 West Harrisburg Pike, Middletown, PA 17057 USA; [Bhatt, Deepa (Mishra)] Montpellier Business Sch, 2300 Ave Moulins, F-34185 Montpellier, France</t>
  </si>
  <si>
    <t>McMaster University; McMaster University; Pennsylvania Commonwealth System of Higher Education (PCSHE); Pennsylvania State University; Montpellier Business School</t>
  </si>
  <si>
    <t>Gunasekaran, A (corresponding author), Penn State Harrisburg, Sch Business Adm, 777 West Harrisburg Pike, Middletown, PA 17057 USA.</t>
  </si>
  <si>
    <t>almashah@mcmaster.ca; hassini@mcmaster.ca; aqg6076@psu.edu; d.bhatt@montpellier-bs.com</t>
  </si>
  <si>
    <t>Hassini, Elkafi/0000-0002-5337-5389; Al Mashalah, Heider/0000-0001-7002-3978</t>
  </si>
  <si>
    <t>10.1016/j.tre.2022.102837</t>
  </si>
  <si>
    <t>5D1VX</t>
  </si>
  <si>
    <t>WOS:000864739500005</t>
  </si>
  <si>
    <t>Qaffas, AA; Ben Hajkacem, MA; Ben Ncir, CE; Nasraoui, O</t>
  </si>
  <si>
    <t>Qaffas, Alaa Asim; Ben Hajkacem, Mohamed Aymen; Ben Ncir, Chiheb-Eddine; Nasraoui, Olfa</t>
  </si>
  <si>
    <t>Interpretable Multi-Criteria ABC Analysis Based on Semi-Supervised Clustering and Explainable Artificial Intelligence</t>
  </si>
  <si>
    <t>Artificial intelligence; Buildings; Classification algorithms; Task analysis; Mathematical models; Decision making; Costs; ABC classification; inventory classification; eXplainble Artificial Intelligence (XAI); explainable clustering; SHapley Additive exPlanations (SHAP); constrained clustering; semi-supervised clustering</t>
  </si>
  <si>
    <t>INVENTORY CLASSIFICATION</t>
  </si>
  <si>
    <t>Multi-criteria ABC classification is an effective technique that allows rapid and automatic organization of a growing number of inventory items into classes having different managerial levels. These built classes help decision-makers efficiently control the inventory and optimize the whole supply chain. However, existing ABC classification methods work as black-box processes that produce ABC classes without providing any explanations behind the assignment of the items. Given the multi-criteria nature of the ABC classification problem, managers cannot easily analyze and interpret the item managerial classes. Another problem of existing methods is their inability to follow the Pareto principle which states that items must be Pareto distributed over the ABC classes. To solve these two problems, we propose a semi-supervised explainable approach based on both semi-supervised clustering and explainable artificial intelligence. The semi-supervised technique is used to integrate an intelligent initialization and a constrained clustering process that guides the classification process to lead to Pareto distributed items, whereas explainable artificial intelligence is used to build detailed micro and macro explanations of the inventory classes at the item and the class levels. Application of the proposed approach for the automatic classification of chemical products of a distribution company has shown the effectiveness of the proposed approach in providing accurate, transparent, and well-explained ABC classes.</t>
  </si>
  <si>
    <t>[Qaffas, Alaa Asim; Ben Ncir, Chiheb-Eddine] Univ Jeddah, Coll Business, MIS Dept, Jeddah 21589, Saudi Arabia; [Ben Hajkacem, Mohamed Aymen; Ben Ncir, Chiheb-Eddine] Univ Tunis, Inst Super Gest Tunis, LARODEC Lab, Tunis 2000, Tunisia; [Nasraoui, Olfa] Univ Louisville, Knowledge Discovery &amp; Web Min Lab, Louisville, KY 40292 USA</t>
  </si>
  <si>
    <t>University of Jeddah; Universite de Tunis; University of Louisville</t>
  </si>
  <si>
    <t>Qaffas, AA; Ben Ncir, CE (corresponding author), Univ Jeddah, Coll Business, MIS Dept, Jeddah 21589, Saudi Arabia.;Ben Ncir, CE (corresponding author), Univ Tunis, Inst Super Gest Tunis, LARODEC Lab, Tunis 2000, Tunisia.</t>
  </si>
  <si>
    <t>aaqaffas@uj.edu.sa; cbenncir@uj.edu.sa</t>
  </si>
  <si>
    <t>Ben n'cir, chiheb Eddine/E-8340-2015</t>
  </si>
  <si>
    <t>Ben n'cir, chiheb Eddine/0000-0003-4014-8264</t>
  </si>
  <si>
    <t>University of Jeddah, Jeddah, Saudi Arabia [UJ-21-ICL-3]; NSF-EPSCoR-RII [IIP-1849213]; NSF [DRL-2026584]</t>
  </si>
  <si>
    <t>University of Jeddah, Jeddah, Saudi Arabia; NSF-EPSCoR-RII; NSF(National Science Foundation (NSF))</t>
  </si>
  <si>
    <t>This work was supported by the University of Jeddah, Jeddah, Saudi Arabia, under Grant UJ-21-ICL-3. The work of Olfa Nasraoui was supported in part by NSF-EPSCoR-RII Track-1: Kentucky Advanced Manufacturing Partnership for Enhanced Robotics and Structures under Award IIP-1849213, and in part by NSF under Grant DRL-2026584.</t>
  </si>
  <si>
    <t>10.1109/ACCESS.2023.3272403</t>
  </si>
  <si>
    <t>G1AK3</t>
  </si>
  <si>
    <t>WOS:000986565800001</t>
  </si>
  <si>
    <t>Zhou, F</t>
  </si>
  <si>
    <t>Zhou, Fang</t>
  </si>
  <si>
    <t>The Integrated Development of the Manufacturing and Service Industries Facing Human-Computer Interaction Based on Deep Learning</t>
  </si>
  <si>
    <t>JOURNAL OF ORGANIZATIONAL AND END USER COMPUTING</t>
  </si>
  <si>
    <t>deep learning; evolution model; human-computer interaction; manufacturing; service industry</t>
  </si>
  <si>
    <t>PERFORMANCE</t>
  </si>
  <si>
    <t>With the rapid development of modern technology and the economy, the global value chain is also constantly evolving, and the links between various industries are becoming closer. With the continuous optimization of the international situation and the support of Chinese policies, the integrated development of manufacturing and service industries is the general trend. This study proposes to use human-computer interaction to conduct in-depth research and analysis of the development relationship, influencing factors, and evolution direction between manufacturing and service industries in the perspective of deep learning. Firstly, based on the current development status of the two industries, the influencing factors of mutual evolution are summarized, including environment, market, technology, and management. Secondly, the computer is used to construct the evolution models of the two major industries. The simulation verification and evolution feature extraction are carried out.</t>
  </si>
  <si>
    <t>[Zhou, Fang] Henan Normal Univ, Xinxiang, Peoples R China</t>
  </si>
  <si>
    <t>Henan Normal University</t>
  </si>
  <si>
    <t>Zhou, F (corresponding author), Henan Normal Univ, Xinxiang, Peoples R China.</t>
  </si>
  <si>
    <t>Key Research Project of Think Tank of Higher Education Institutions of Henan Province [2022ZKYJ20]</t>
  </si>
  <si>
    <t>Key Research Project of Think Tank of Higher Education Institutions of Henan Province</t>
  </si>
  <si>
    <t>Funding This work was supported by Key Research Project of Think Tank of Higher Education Institutions of Henan Province (Grant No. 2022ZKYJ20) .</t>
  </si>
  <si>
    <t>1546-2234</t>
  </si>
  <si>
    <t>1546-5012</t>
  </si>
  <si>
    <t>J ORGAN END USER COM</t>
  </si>
  <si>
    <t>J. Organ. End User Comput.</t>
  </si>
  <si>
    <t>10.4018/JOEUC.316667</t>
  </si>
  <si>
    <t>Computer Science, Information Systems; Information Science &amp; Library Science; Management</t>
  </si>
  <si>
    <t>9V9BL</t>
  </si>
  <si>
    <t>WOS:000948679800004</t>
  </si>
  <si>
    <t>Sher, PJ; Yang, PY</t>
  </si>
  <si>
    <t>The effects of innovative capabilities and R&amp;D clustering on firm performance: the evidence of Taiwan's semiconductor industry</t>
  </si>
  <si>
    <t>innovative capability; R&amp;D clustering; semiconductor industry; performance</t>
  </si>
  <si>
    <t>PRODUCT; DIVERSIFICATION; ACQUISITIONS; SYSTEMS</t>
  </si>
  <si>
    <t>This research investigates the impact of various aspects of innovative capability on firm performance. A resource-based view of strategic management is adopted to highlight the importance of resources and capabilities. The study here also addresses the recent interest in the effect of R&amp;D clustering on innovation and thus on firm competitiveness. The present study explores the influence of innovative capabilities and clustering effects along the value chain of the Taiwanese integrated circuit (IC) industry. The empirical results indicate that innovative capabilities are mostly positively related to performance as measured by returns on assets (ROA). Specifically, higher R&amp;D intensity and higher R&amp;D manpower are found to be predictors of improved firm performance. Additionally, firms at various stages of the value delivering process are seen to have differentiated innovative capability characteristics. A noteworthy result is that low and moderate levels of R&amp;D clustering demonstrate positively moderating power to the relationship between innovative capability and performance. However, the hypothesis that further R&amp;D clustering would eventually reduce the impact of innovative capability on firm performance was not confirmed. (C) 2004 Elsevier Ltd. All rights reserved.</t>
  </si>
  <si>
    <t>Natl Chung Hsing Univ, Dept Business Adm, Taichung 402, Taiwan; Natl Chi Nan Univ, Grad Inst Int Business Studies, Nantou, Taiwan</t>
  </si>
  <si>
    <t>National Chung Hsing University; National Chi Nan University</t>
  </si>
  <si>
    <t>Sher, PJ (corresponding author), Natl Chung Hsing Univ, Dept Business Adm, 250 Kuo Kuang Rd, Taichung 402, Taiwan.</t>
  </si>
  <si>
    <t>sher@nchu.edu.tw</t>
  </si>
  <si>
    <t>10.1016/S0166-4972(03)00068-3</t>
  </si>
  <si>
    <t>882JK</t>
  </si>
  <si>
    <t>WOS:000225935000004</t>
  </si>
  <si>
    <t>Yao, KS; Sun, J; Cheng, JH; Xu, M; Chen, C; Zhou, X</t>
  </si>
  <si>
    <t>Yao, Kunshan; Sun, Jun; Cheng, Jiehong; Xu, Min; Chen, Chen; Zhou, Xin</t>
  </si>
  <si>
    <t>Nondestructive detection of S-ovalbumin content in eggs using portable NIR spectrometer and MPA-CARS</t>
  </si>
  <si>
    <t>JOURNAL OF FOOD PROCESS ENGINEERING</t>
  </si>
  <si>
    <t>egg; feature wavelength selection; NIR spectroscopy; portable spectrometer; S-ovalbumin content</t>
  </si>
  <si>
    <t>MODEL POPULATION ANALYSIS; VARIABLE SELECTION; CONVERSION; STORAGE; HEAT</t>
  </si>
  <si>
    <t>The feasibility of applying a low-cost and portable NIR spectrometer to detect the S-ovalbumin content of eggs was investigated in this study, and a model population analysis based competitive adaptive reweighted sampling (MPA-CARS) algorithm was proposed to reduce the dimensionality of spectral data. The NIR spectra of egg samples with different storage periods were collected in the wavelength range of 900-1700 nm. Standard normal variate (SNV) and Savitzky-Golay(1st) derivative were used to preprocess the raw spectral data. Then, CARS and the proposed MPA-CARS were applied to select effective wavelengths from the whole spectral range. Statistical results showed that MPA-CARS had better feature extraction performance than CARS and the number of selected feature wavelengths was less. Support vector machine (SVM), back propagation neural network (BPNN) and extreme gradient boosting (XGBoost) were used to establish calibration models for predicting S-ovalbumin content, in which the simplified XGBoost model based on MPA-CARS feature wavelengths yielded the best performance, with R-P(2) of 0.906 and RMSEP of 7.799%. Therefore, portable NIR has the potential to be a useful tool for S-ovalbumin content detection. This could help food processing industry to arrange miniaturized NIR sensors to detect egg quality at different points in the egg supply chain. Practical applications S-ovalbumin content is a freshness index of eggs and can affect the quality of processed foods. This study demonstrated the feasibility of using portable NIR spectrometer to detect the S-ovalbumin content of eggs, which can help food processing agencies to implement low-cost NIR sensors to detect egg quality at different stages of the supply chain.</t>
  </si>
  <si>
    <t>[Yao, Kunshan; Sun, Jun; Cheng, Jiehong; Xu, Min; Zhou, Xin] Jiangsu Univ, Sch Elect &amp; Informat Engn, Zhenjiang 212013, Jiangsu, Peoples R China; [Chen, Chen] Jiangsu Univ Sci &amp; Technol, Sch Econ &amp; Management, Zhenjiang, Jiangsu, Peoples R China</t>
  </si>
  <si>
    <t>Jiangsu University; Jiangsu University of Science &amp; Technology</t>
  </si>
  <si>
    <t>Yao, KS; Sun, J (corresponding author), Jiangsu Univ, Sch Elect &amp; Informat Engn, Zhenjiang 212013, Jiangsu, Peoples R China.</t>
  </si>
  <si>
    <t>825156446@qq.com; sun2000jun@sina.com</t>
  </si>
  <si>
    <t>Zhou, Xin/JER-6861-2023; xin, zhou/HTP-7186-2023; Xin, Zhou/IXD-2060-2023</t>
  </si>
  <si>
    <t>Xu, Min/0000-0002-0331-5468; Yao, Kunshan/0000-0001-6796-5120; zhou, xin/0000-0002-7496-7586</t>
  </si>
  <si>
    <t>Priority Academic Program Development of Jiangsu Higher Education Institutions [PAPD-2018-87]; Postgraduate Research &amp; Practice Innovation Program of Jiangsu Province [KYCX20_3033]; Project of Agricultural Equipment Department of Jiangsu University [NZXB20210210]; China Postdoctoral Science Foundation [2021M701479]</t>
  </si>
  <si>
    <t>Priority Academic Program Development of Jiangsu Higher Education Institutions; Postgraduate Research &amp; Practice Innovation Program of Jiangsu Province; Project of Agricultural Equipment Department of Jiangsu University; China Postdoctoral Science Foundation(China Postdoctoral Science Foundation)</t>
  </si>
  <si>
    <t>Priority Academic Program Development of Jiangsu Higher Education Institutions, Grant/Award Number: PAPD-2018-87; Postgraduate Research &amp; Practice Innovation Program of Jiangsu Province, Grant/Award Number: KYCX20_3033; Project of Agricultural Equipment Department of Jiangsu University, Grant/Award Number: NZXB20210210; China Postdoctoral Science Foundation, Grant/Award Number: 2021M701479</t>
  </si>
  <si>
    <t>0145-8876</t>
  </si>
  <si>
    <t>1745-4530</t>
  </si>
  <si>
    <t>J FOOD PROCESS ENG</t>
  </si>
  <si>
    <t>J. Food Process Eng.</t>
  </si>
  <si>
    <t>10.1111/jfpe.14186</t>
  </si>
  <si>
    <t>7M2TC</t>
  </si>
  <si>
    <t>WOS:000870914700001</t>
  </si>
  <si>
    <t>Zhang, MD; Dong, CY; Zhang, DM; Tseng, ML; Wei, JG</t>
  </si>
  <si>
    <t>Zhang, Mingdong; Dong, Chaoyu; Zhang, Dongming; Tseng, Ming-Lang; Wei, Jianguo</t>
  </si>
  <si>
    <t>An Intelligent Classification Diagnosis Based on Blood Oxygen Saturation Signals for Medical Data Security Including COVID-19 in Industry 5.0</t>
  </si>
  <si>
    <t>Sleep apnea; Industries; Feature extraction; Indexes; COVID-19; Blood; Medical services; Blood oxygen saturation signals; healthcare industries; Industry 5.0; intelligent classification diagnosis; resilience; supply chain</t>
  </si>
  <si>
    <t>SLEEP-APNEA SYNDROME; AUTOMATIC DETECTION</t>
  </si>
  <si>
    <t>Obstructive sleep apnea-hypopnea syndrome (OSAHS) is gradually valued due to its high prevalence, high risk, and high mortality. Alternative to the polysomnography (PSG) diagnosis, the proposed method assesses the subject's degree of illness considering the supply chain and Industry 5.0 requirement efficiently and accurately. This article uses the blood oxygen saturation (SpO(2)) signal count of the number of apnea or hypoventilation events during the sleep of the subject, calculating the apnea-hypopnea index (AHI) and the subject's disease level. SpO(2) signals are used to extract 35-D features based on the time domain, including approximate entropy, central tendency measure, and Lempel-Ziv complexity to accelerate the diagnosis process in supply chains. The feature selection process is reduced from 35 to 7 dimensions that benefits to the implementation in the practical supply chains in Industry 5.0 by extracting the extracted features. This article applies Pearson correlation coefficient selection, based on minimum redundancy-maximum correlation algorithm selection, and a wrapper based on the backward search algorithm. The accuracy rate is 86.92%, and the specificity is 90.7% under the selected random forest classifier. A random forest classifier was used to calculate the AHI index, and a linear regression analysis was performed with the AHI index obtained from the PSG. The result reaches a 92% accuracy rate in assessing the prevalence of OSAHS, satisfying the industrial deployment.</t>
  </si>
  <si>
    <t>[Zhang, Mingdong; Wei, Jianguo] Tianjin Univ, Coll Intelligence &amp; Comp, Tianjin 300072, Peoples R China; [Dong, Chaoyu] Nanyang Technol Univ, Agcy Sci Technol &amp; Res, Singapore 637141, Singapore; [Zhang, Dongming] Agr Bank China, Tianjin 300072, Peoples R China; [Tseng, Ming-Lang] Asia Univ, Inst Innovat &amp; Circular Econ, Taichung 41354, Taiwan</t>
  </si>
  <si>
    <t>Tianjin University; Agency for Science Technology &amp; Research (A*STAR); Nanyang Technological University &amp; National Institute of Education (NIE) Singapore; Nanyang Technological University; Agricultural Bank of China; Asia University Taiwan</t>
  </si>
  <si>
    <t>Dong, CY (corresponding author), Nanyang Technol Univ, Agcy Sci Technol &amp; Res, Singapore 637141, Singapore.</t>
  </si>
  <si>
    <t>zhangmd@tju.edu.cn; dong0120@e.ntu.edu.sg; 1327016744@qq.com; tsengminglang@gmail.com; jianguo@tju.edu.cn</t>
  </si>
  <si>
    <t>National Key Research and Development Program of China [2020YFC2004103]; National Natural Science Foundation of China [61876131, U1936102]; Tianjin Key Research and Development Project [19ZXZNGX00030]</t>
  </si>
  <si>
    <t>National Key Research and Development Program of China; National Natural Science Foundation of China(National Natural Science Foundation of China (NSFC)); Tianjin Key Research and Development Project</t>
  </si>
  <si>
    <t>This work was supported in part bythe National Key Research and Development Program of China un-der Grant 2020YFC2004103, in part by the National Natural ScienceFoundation of China under Grant 61876131 and Grant U1936102, andin part by the Tianjin Key Research and Development Project underGrant 19ZXZNGX00030.</t>
  </si>
  <si>
    <t>10.1109/TII.2022.3152809</t>
  </si>
  <si>
    <t>D0JQ1</t>
  </si>
  <si>
    <t>WOS:000965679400001</t>
  </si>
  <si>
    <t>Bai, CG; Sarkis, J; Ibrahim, S</t>
  </si>
  <si>
    <t>Bai, Chunguang; Sarkis, Joseph; Ibrahim, Sherwat</t>
  </si>
  <si>
    <t>An analytical method for investigating multi-tier sustainable supply chains: simplifying the complex</t>
  </si>
  <si>
    <t>Multi-tier supply chains; supplier; sustainability; complexity; equifinality; rough set</t>
  </si>
  <si>
    <t>ROUGH SET-THEORY; MANAGEMENT; NETWORKS; STRATEGY; IMPACT</t>
  </si>
  <si>
    <t>Multi-tier sustainable supply chain relationships (MSSCR) are complex with involvement of multiple organisations, practices, objectives, and interconnectivities. These complexities make it difficult to effectively study MSSCR using traditional empirical statistical correlative research. In MSSCR the relationship between the focal firm and sub-supplier may be affected by the relationship between the focal firm and direct-supplier, and the relationship between the direct-supplier and the sub-supplier. This paper introduces a research methodology, based on K-Means clustering, rough set theory, and cluster membership to investigate complex relationships across multi-tier sustainable supply chain triads. Collaborative advantage variables including knowledge-sharing routines, relation-specific investments, complementary capabilities, effective governance mechanisms, and long-term commitment are conceptually presented to evaluate relationships among MSSCR practices and sustainability performance. Insights for practitioners and researchers are provided. Research insights can be gained by analytically providing alternative explanatory and equifinality relationships amongst variables and multi-pair organisations. The methodology can mitigate the endogeneity problem, such as omitted factors (variables), measurement error, even in small sample data situations. Directions for future research are discussed.</t>
  </si>
  <si>
    <t>[Bai, Chunguang] Univ Elect Sci &amp; Technol China, Sch Management &amp; Econ, Chengdu, Peoples R China; [Sarkis, Joseph] Worcester Polytech Inst, Business Sch, Worcester, MA USA; [Sarkis, Joseph] Humlog Inst, Hanken Sch Econ, Helsinki, Finland; [Ibrahim, Sherwat] Amer Univ Cairo, Sch Business, New Cairo, Egypt; [Ibrahim, Sherwat] Princeton Univ, Sch Publ &amp; Int Affairs, Princeton, NJ USA; [Bai, Chunguang] Univ Elect Sci &amp; Technol China, Sch Management &amp; Econ, 2006,Xiyuan Ave,West Hitech Zone, Chengdu 611731, Peoples R China</t>
  </si>
  <si>
    <t>University of Electronic Science &amp; Technology of China; Worcester Polytechnic Institute; Hanken School of Economics; Egyptian Knowledge Bank (EKB); American University Cairo; Princeton University; University of Electronic Science &amp; Technology of China</t>
  </si>
  <si>
    <t>Bai, CG (corresponding author), Univ Elect Sci &amp; Technol China, Sch Management &amp; Econ, 2006,Xiyuan Ave,West Hitech Zone, Chengdu 611731, Peoples R China.</t>
  </si>
  <si>
    <t>Cbai@uestc.edu.cn</t>
  </si>
  <si>
    <t>Bai, Chunguang/E-3296-2012</t>
  </si>
  <si>
    <t>Bai, Chunguang/0000-0002-9461-1632</t>
  </si>
  <si>
    <t>National Natural Science Foundation of China [72072021, 71772032]; U.S. National Science Foundation [2021871]</t>
  </si>
  <si>
    <t>National Natural Science Foundation of China(National Natural Science Foundation of China (NSFC)); U.S. National Science Foundation(National Science Foundation (NSF))</t>
  </si>
  <si>
    <t>This work is supported by the National Natural Science Foundation of China Project (72072021 and 71772032). This work was also partially supported by U.S. National Science Foundation Grant 2021871.</t>
  </si>
  <si>
    <t>2023 APR 1</t>
  </si>
  <si>
    <t>10.1080/00207543.2023.2182148</t>
  </si>
  <si>
    <t>C7NX3</t>
  </si>
  <si>
    <t>WOS:000963752500001</t>
  </si>
  <si>
    <t>Schmitt, A; Van Biesebroeck, J</t>
  </si>
  <si>
    <t>Schmitt, Alexander; Van Biesebroeck, Johannes</t>
  </si>
  <si>
    <t>Proximity strategies in outsourcing relations: The role of geographical, cultural and relational proximity in the European automotive industry</t>
  </si>
  <si>
    <t>JOURNAL OF INTERNATIONAL BUSINESS STUDIES</t>
  </si>
  <si>
    <t>supplier choice; supply chain strategy; geographic distance; clustering; cultural distance; relational ties</t>
  </si>
  <si>
    <t>ECONOMIC-GEOGRAPHY; SUPPLIER RELATIONS; MODULAR PRODUCTION; NETWORKS; AGGLOMERATION; LOCATION; DISTANCE; DETERMINANTS; PERFORMANCE; SPILLOVERS</t>
  </si>
  <si>
    <t>Several trends that affect the manufacturing of sophisticated goods - increasing international fragmentation of production, and lean and modular process technologies - have increased the importance of proximity in the supply chain. We use the case of the European automotive industry to simultaneously evaluate the relative importance of three dimensions: geographical, cultural, and relational proximity. Using a rich and novel data set, we find that carmakers value some aspects of each dimension independently in their sourcing strategy. The estimates indicate which proximity measures provide the largest (independent) benefits, but also that the positive effects the literature has attributed to some measures tend to reflect past relationships rather than predict new ones. In particular, co-location and a low cultural distance should be interpreted as outcomes of a sourcing strategy, not as predictors for sourcing success. Finally, we investigate to what extent firms from different countries follow different strategies, and which choices suppliers can make to boost their attractiveness as outsourcing partners.</t>
  </si>
  <si>
    <t>[Schmitt, Alexander; Van Biesebroeck, Johannes] Univ Leuven, Dept Econ, B-3000 Louvain, Belgium; [Van Biesebroeck, Johannes] Ctr Econ Policy Res, London SW1Y 6LA, England</t>
  </si>
  <si>
    <t>KU Leuven; Centre for Economic Policy Research - UK</t>
  </si>
  <si>
    <t>Van Biesebroeck, J (corresponding author), Univ Leuven, Dept Econ, Naamsestr 69, B-3000 Louvain, Belgium.</t>
  </si>
  <si>
    <t>Johannes.Vanbiesebroeck@kuleuven.be</t>
  </si>
  <si>
    <t>cheng, pui sze/U-2757-2017; Van Biesebroeck, Johannes/GLV-0353-2022</t>
  </si>
  <si>
    <t>Van Biesebroeck, Johannes/0000-0003-4144-5578</t>
  </si>
  <si>
    <t>PALGRAVE MACMILLAN LTD</t>
  </si>
  <si>
    <t>BASINGSTOKE</t>
  </si>
  <si>
    <t>BRUNEL RD BLDG, HOUNDMILLS, BASINGSTOKE RG21 6XS, HANTS, ENGLAND</t>
  </si>
  <si>
    <t>0047-2506</t>
  </si>
  <si>
    <t>1478-6990</t>
  </si>
  <si>
    <t>J INT BUS STUD</t>
  </si>
  <si>
    <t>J. Int. Bus. Stud.</t>
  </si>
  <si>
    <t>JUN-JUL</t>
  </si>
  <si>
    <t>10.1057/jibs.2013.10</t>
  </si>
  <si>
    <t>168OQ</t>
  </si>
  <si>
    <t>WOS:000320715800004</t>
  </si>
  <si>
    <t>Lee, YA; Charitopoulos, VM; Thyagarajan, K; Morris, I; Pinto, JM; Papageorgiou, LG</t>
  </si>
  <si>
    <t>Lee, Yena; Charitopoulos, Vassilis M.; Thyagarajan, Karthik; Morris, Ian; Pinto, Jose M.; Papageorgiou, Lazaros G.</t>
  </si>
  <si>
    <t>Integrated production and inventory routing planning of oxygen supply chains</t>
  </si>
  <si>
    <t>Hybrid approach; Mixed-integer linear programming; Metaheuristics; Guided local search; Integrated oxygen supply chain planning</t>
  </si>
  <si>
    <t>GUIDED LOCAL SEARCH; ALGORITHM; OPTIMIZATION</t>
  </si>
  <si>
    <t>In this work, we address a production and inventory routing problem for a liquid oxygen supply chain comprising production facilities, distribution network, and distribution re-sources. The key decisions of the problem involve production levels of production plants, delivery schedule and routing through heterogeneous vehicles, and inventory strategies for national stock-out prevention. Due to the problem complexity, we propose a two-level hybrid solution approach that solves the problem using both exact and metaheuristic methods. At the upper level, we develop a mixed-integer linear programming (MILP) model that determines production and inventory decisions and customer allocation. In the lower level, the original problem is reduced to several multi-trip heterogeneous ve-hicle routing problems by fixing the optimal production, inventory, and allocation deci-sions and clustering customers. A well-recognised metaheuristic, guided local search method, is adapted to solve the low-level routing problems. A real-world case study in the UK illustrates the applicability and effectiveness of the proposed optimisation framework. (c) 2022 The Author(s). Published by Elsevier Ltd on behalf of Institution of Chemical Engineers. CC_BY_4.0</t>
  </si>
  <si>
    <t>[Lee, Yena; Charitopoulos, Vassilis M.; Papageorgiou, Lazaros G.] UCL Univ Coll London, Sargent Ctr Proc Syst Engn, Dept Chem Engn, Torrington Pl, London WC1E 7JE, England; [Thyagarajan, Karthik; Pinto, Jose M.] Linde PLC, Linde Digital Amer, 10 Riverview Dr, Danbury, CT 06810 USA; [Morris, Ian] BOC, EMEA Prod &amp; Supply, Bawtry Rd, Brinsworth S60 5NT, Rotherham, England</t>
  </si>
  <si>
    <t>University of London; University College London; Linde plc; Linde US</t>
  </si>
  <si>
    <t>Papageorgiou, LG (corresponding author), UCL Univ Coll London, Sargent Ctr Proc Syst Engn, Dept Chem Engn, Torrington Pl, London WC1E 7JE, England.</t>
  </si>
  <si>
    <t>l.papageorgiou@ucl.ac.uk</t>
  </si>
  <si>
    <t>Papageorgiou, Lazaros G/L-2122-2013</t>
  </si>
  <si>
    <t>Papageorgiou, Lazaros G/0000-0003-4652-6086</t>
  </si>
  <si>
    <t>UK Engineering and Physical Sciences Research Council [EP/V050168/1]</t>
  </si>
  <si>
    <t>UK Engineering and Physical Sciences Research Council(UK Research &amp; Innovation (UKRI)Engineering &amp; Physical Sciences Research Council (EPSRC))</t>
  </si>
  <si>
    <t>The authors would like to thank the financial support re- ceived from the UK Engineering and Physical Sciences Research Council (under the project EP/V050168/1) .</t>
  </si>
  <si>
    <t>10.1016/j.cherd.2022.07.027</t>
  </si>
  <si>
    <t>5A0NX</t>
  </si>
  <si>
    <t>WOS:000862594500001</t>
  </si>
  <si>
    <t>Herrera, M; Izquierdo, J; Pérez-García, R; Montalvo, I</t>
  </si>
  <si>
    <t>Herrera, M.; Izquierdo, J.; Perez-Garcia, R.; Montalvo, I.</t>
  </si>
  <si>
    <t>Multi-agent adaptive boosting on semi-supervised water supply clusters</t>
  </si>
  <si>
    <t>ADVANCES IN ENGINEERING SOFTWARE</t>
  </si>
  <si>
    <t>Clustering; Graph theory; Sampling; Semi-supervised learning; Multi-agent systems; Water supply networks</t>
  </si>
  <si>
    <t>The division of a water supply network (WSN) into isolated supply clusters aims at improving the management of the whole system. This paper deals with the application of spectral clustering to achieve this aim. A semi-supervised approach can take into account the graph structure of a network and incorporate the corresponding hydraulic constraints and the other available vector information from the WSN. Several of the disadvantages of these methodologies stem from the largeness of the most WSN and the associated computational complexity. To solve these problems, we propose subsampling graph data to run successive weak clusters and build a single robust cluster configuration. The resulting methodology has been tested in a real network and can be used to successfully partition large WSNs. (C) 2012 Civil-Comp Ltd and Elsevier Ltd. All rights reserved.</t>
  </si>
  <si>
    <t>[Herrera, M.] Univ Politecn Valencia, Ctr Multidisciplinar Modelac Fluidos, Fluing IMM, Valencia 46022, Spain</t>
  </si>
  <si>
    <t>Universitat Politecnica de Valencia</t>
  </si>
  <si>
    <t>Herrera, M (corresponding author), Univ Politecn Valencia, Ctr Multidisciplinar Modelac Fluidos, Fluing IMM, Camino Vera S-N,Edif 5C, Valencia 46022, Spain.</t>
  </si>
  <si>
    <t>mahefe@upv.es</t>
  </si>
  <si>
    <t>Herrera, Manuel/J-2097-2015; Izquierdo, Joaquín/H-6436-2015; Montalvo, Idel/M-1780-2014</t>
  </si>
  <si>
    <t>Herrera, Manuel/0000-0001-9662-0017; Izquierdo, Joaquín/0000-0002-6625-7226; Montalvo, Idel/0000-0001-6990-2190</t>
  </si>
  <si>
    <t>Direccion General de Investigacion del Ministerio de Educacion y Ciencia (Spain) [DPI2009-11591]; Conselleria de Educacio of the Generalitat Valenciana [ACOMP/2011/188]</t>
  </si>
  <si>
    <t>Direccion General de Investigacion del Ministerio de Educacion y Ciencia (Spain)(Spanish Government); Conselleria de Educacio of the Generalitat Valenciana</t>
  </si>
  <si>
    <t>This work has been performed with the support of project IDA-WAS, DPI2009-11591 from the Direccion General de Investigacion del Ministerio de Educacion y Ciencia (Spain) and ACOMP/2011/188 from the Conselleria de Educacio of the Generalitat Valenciana. The use of English in this paper was revised by John Rawlins.</t>
  </si>
  <si>
    <t>0965-9978</t>
  </si>
  <si>
    <t>1873-5339</t>
  </si>
  <si>
    <t>ADV ENG SOFTW</t>
  </si>
  <si>
    <t>Adv. Eng. Softw.</t>
  </si>
  <si>
    <t>10.1016/j.advengsoft.2012.02.005</t>
  </si>
  <si>
    <t>Computer Science, Interdisciplinary Applications; Computer Science, Software Engineering; Engineering, Multidisciplinary</t>
  </si>
  <si>
    <t>971MR</t>
  </si>
  <si>
    <t>WOS:000306208500013</t>
  </si>
  <si>
    <t>Islam, MM; Arakawa, M</t>
  </si>
  <si>
    <t>Islam, Md Mohibul; Arakawa, Masahiro</t>
  </si>
  <si>
    <t>Rolling planning method for two-stage logistics system under unsteady demand</t>
  </si>
  <si>
    <t>JOURNAL OF ADVANCED MECHANICAL DESIGN SYSTEMS AND MANUFACTURING</t>
  </si>
  <si>
    <t>Unsteady demand; Rolling planning; Clustering stores; Travelling salesman problem; Optimal route; Logistics system</t>
  </si>
  <si>
    <t>SUPPLY CHAIN; OPTIMIZATION</t>
  </si>
  <si>
    <t>A rolling planning method for a two-stage logistics system under unsteady demand is proposed in this paper, which has two objectives. The first objective is to propose a mathematical model that estimates the optimal production quantities, delivery quantities, and inventory level to control stock-out and over-stock situations in a make-to-stock production system to minimize the total logistics cost. The second objective is to generate optimal routes to minimize the distances travelled while delivering products from centroids to stores when the truck capacity is limited. To achieve the second objective, a mathematical model is proposed for clustering stores which integrates the geographical locations of the stores, its unsteady demands, and the truck capacity. After clustering, the travelling salesman problem (TSP) technique is applied to generate the optimal route and travelled distances within the cluster. The proposed model and solution approach are implemented in an urban area in the numerical examples. The results show that the proposed model performs well in handling unsteady demands by minimizing the total logistics cost and controlling stock-out, and over-stock situations over the planning horizon.</t>
  </si>
  <si>
    <t>[Islam, Md Mohibul; Arakawa, Masahiro] Nagoya Inst Technol, Dept Architecture Design Civil Engn &amp; Ind Managem, Showa Ku, Gokiso Cho, Nagoya, Aichi 4668555, Japan</t>
  </si>
  <si>
    <t>Nagoya Institute of Technology</t>
  </si>
  <si>
    <t>Islam, MM (corresponding author), Nagoya Inst Technol, Dept Architecture Design Civil Engn &amp; Ind Managem, Showa Ku, Gokiso Cho, Nagoya, Aichi 4668555, Japan.</t>
  </si>
  <si>
    <t>m.islam.346@stn.nitech.ac.jp</t>
  </si>
  <si>
    <t>Islam, Md. Mohibul/0000-0002-5476-7763</t>
  </si>
  <si>
    <t>Japan Society for the Promotion of Science [18K04606]; Grants-in-Aid for Scientific Research [18K04606] Funding Source: KAKEN</t>
  </si>
  <si>
    <t>This research is supported by Grant-in-Aid for Scientific Research (C) (18K04606) from the Japan Society for the Promotion of Science.</t>
  </si>
  <si>
    <t>JAPAN SOC MECHANICAL ENGINEERS</t>
  </si>
  <si>
    <t>SHINANOMACHI-RENGAKAN BLDG., SHINANOMACHI 35, SHINJUKU-KU, TOKYO, 160-0016, JAPAN</t>
  </si>
  <si>
    <t>1881-3054</t>
  </si>
  <si>
    <t>J ADV MECH DES SYST</t>
  </si>
  <si>
    <t>J. Adv. Mech. Des. Syst. Manuf.</t>
  </si>
  <si>
    <t>20-00431</t>
  </si>
  <si>
    <t>10.1299/jamdsm.2021jamdsm0030</t>
  </si>
  <si>
    <t>TB6JQ</t>
  </si>
  <si>
    <t>WOS:000668052300005</t>
  </si>
  <si>
    <t>Mekouar, L; Iraqi, Y; Damaj, I; Naous, T</t>
  </si>
  <si>
    <t>Mekouar, Loubna; Iraqi, Youssef; Damaj, Issam; Naous, Tarek</t>
  </si>
  <si>
    <t>A survey on blockchain-based Recommender Systems: Integration architecture and taxonomy</t>
  </si>
  <si>
    <t>COMPUTER COMMUNICATIONS</t>
  </si>
  <si>
    <t>Recommender Systems; Blockchain; Smart contracts; Oracles; Distributed ledgers; Security</t>
  </si>
  <si>
    <t>A Recommender System (RS) is an integral part of present-day leading web services, such as YouTube, Amazon, Netflix, and many others. Modern RSs are challenged to go beyond their traditional role of predicting user preferences to efficiently provide reliable, carefully personalized, and highly accurate recommendations. This paper thoroughly explores and analyzes state-of-the-art literature surveys on RS to extract important challenges and open issues. Our goal in this paper is to survey the literature to extract essential features of RSs and Blockchain (BC), focusing on their integration. Because of the lack of an existing foundation of BC-based RSs, the intrinsic BC aspects in RSs are identified and described. Integrating BC technology within RSs can achieve many benefits such as transparency, decentralization, and security. To that end, a thorough study of the papers on current BC-based RSs is presented along with a synthesized comprehensive taxonomy. Furthermore, a modular RS architecture, encompassing on-chain and off-chain storage and computation processes, is designed. This paper also includes a thorough discussion on the validity of the proposed architecture, BC limitations concerning RSs, and the derivation of a rich set of pointers to future research directions.</t>
  </si>
  <si>
    <t>[Mekouar, Loubna; Iraqi, Youssef] Mohammed VI Polytech Univ, Sch Comp Sci, Ben Guerir, Morocco; [Damaj, Issam] Cardiff Metropolitan Univ, Cardiff Sch Technol, Cardiff, Wales; [Naous, Tarek] Amer Univ Beirut, Dept Elect &amp; Comp Engn, Beirut, Lebanon</t>
  </si>
  <si>
    <t>Mohammed VI Polytechnic University; Cardiff Metropolitan University; American University of Beirut</t>
  </si>
  <si>
    <t>Mekouar, L (corresponding author), Mohammed VI Polytech Univ, Sch Comp Sci, Ben Guerir, Morocco.</t>
  </si>
  <si>
    <t>Loubna.Mekouar@um6p.ma</t>
  </si>
  <si>
    <t>Iraqi, Youssef/A-4009-2015</t>
  </si>
  <si>
    <t>Iraqi, Youssef/0000-0003-0112-2600; Naous, Tarek/0000-0003-0049-9318; Mekouar, Loubna/0000-0002-2432-9105</t>
  </si>
  <si>
    <t>Zayed University, United Arab Emirates [R20055]</t>
  </si>
  <si>
    <t>Zayed University, United Arab Emirates</t>
  </si>
  <si>
    <t>This research was supported by Zayed University, United Arab Emirates, under the startup grant award R20055.</t>
  </si>
  <si>
    <t>0140-3664</t>
  </si>
  <si>
    <t>1873-703X</t>
  </si>
  <si>
    <t>COMPUT COMMUN</t>
  </si>
  <si>
    <t>Comput. Commun.</t>
  </si>
  <si>
    <t>10.1016/j.comcom.2022.01.020</t>
  </si>
  <si>
    <t>2L5YS</t>
  </si>
  <si>
    <t>WOS:000817094300001</t>
  </si>
  <si>
    <t>Rajak, S; Parthiban, P; Dhanalakshmi, R</t>
  </si>
  <si>
    <t>Rajak, Sonu; Parthiban, P.; Dhanalakshmi, R.</t>
  </si>
  <si>
    <t>Multi-depot vehicle routing problem based on customer satisfaction</t>
  </si>
  <si>
    <t>INTERNATIONAL JOURNAL OF SERVICES TECHNOLOGY AND MANAGEMENT</t>
  </si>
  <si>
    <t>vehicle routing problem; VRP; combinatorial optimisation; K-means clustering algorithm; ant colony optimisation; ACO; customers satisfaction; fuzzy time windows</t>
  </si>
  <si>
    <t>SOFT TIME WINDOWS; OPTIMIZATION; ALGORITHM; MODEL</t>
  </si>
  <si>
    <t>Nowadays, meeting the customer's demands in the shortest time and least cost is the most challenging task of maintaining any supply chain. Vehicle routing problem (VRP) plays an important role in the logistics. In typical VRP, customers' are used to serving as a single depot, but in real-life single depot will not be sufficient to meet the customer's demand or customers' satisfaction. In this context, this article presents the multi-depot vehicle routing problem based on customer's satisfaction (MDVRPCS). Since MDVRPCS is an NP-hard problem so, ant colony optimisation (ACO) has been proposed to solve the MDVRPCS. The proposed algorithms have two phases. The first phase involves clustering the nodes into a desired number of groups. This has been done by using K-means clustering algorithm. The second phase involves optimisation of routes for each cluster. This is achieved by using ACO. The proposed algorithm has been tested for well-know problem instances from the literature. The results show that the algorithm is capable of obtaining good optimal solutions.</t>
  </si>
  <si>
    <t>[Rajak, Sonu; Parthiban, P.] Natl Inst Technol, Dept Prod Engn, Tiruchirappalli 620015, India; [Dhanalakshmi, R.] Natl Inst Technol, Dept Comp Sci &amp; Engn, Nagaland 797103, Dimapur, India</t>
  </si>
  <si>
    <t>National Institute of Technology (NIT System); National Institute of Technology Tiruchirappalli; National Institute of Technology (NIT System); National Institute of Technology Nagaland</t>
  </si>
  <si>
    <t>Parthiban, P (corresponding author), Natl Inst Technol, Dept Prod Engn, Tiruchirappalli 620015, India.</t>
  </si>
  <si>
    <t>sonu.production@gmail.com; parthee_p@yahoo.com; r_dhanalakshmi@yahoo.com</t>
  </si>
  <si>
    <t>Rajak, Sonu/AAC-8544-2022; Palanisamy, Parthiban/AAX-5830-2021; Rajak, Sonu/AAE-8690-2021; R, dhanalakshmi/U-5494-2017</t>
  </si>
  <si>
    <t>Rajak, Sonu/0000-0002-4334-8010; Rajak, Sonu/0000-0002-4334-8010; R, dhanalakshmi/0000-0003-2928-584X</t>
  </si>
  <si>
    <t>1460-6720</t>
  </si>
  <si>
    <t>1741-525X</t>
  </si>
  <si>
    <t>INT J SERV TECHNOL M</t>
  </si>
  <si>
    <t>Int. J. Serv. Technol. Manag.</t>
  </si>
  <si>
    <t>10.1504/IJSTM.2020.106693</t>
  </si>
  <si>
    <t>LH7AZ</t>
  </si>
  <si>
    <t>WOS:000528939100010</t>
  </si>
  <si>
    <t>Yakoubi, S; Kobayashi, I; Uemura, K; Nakajima, M; Hiroko, I; Neves, MA</t>
  </si>
  <si>
    <t>Yakoubi, Sana; Kobayashi, Isao; Uemura, Kunihiko; Nakajima, Mitsutoshi; Hiroko, Isoda; Neves, Marcos A.</t>
  </si>
  <si>
    <t>Recent advances in delivery systems optimization using machine learning approaches</t>
  </si>
  <si>
    <t>CHEMICAL ENGINEERING AND PROCESSING-PROCESS INTENSIFICATION</t>
  </si>
  <si>
    <t>Delivery system; Artificial neural network; Genetic algorithm; Support vector machines; K-clustering; Decision trees</t>
  </si>
  <si>
    <t>ARTIFICIAL NEURAL-NETWORKS; PARTICLE-SIZE; NANOEMULSIONS; MICROFLUIDIZATION; IMPACT</t>
  </si>
  <si>
    <t>Nowadays, the researchers delve into the intricacies of machine learning (Artificial Neural Network (ANN), Genetic algorithm (GA), support vector machines (SVM), K-means clustering, decision trees, etc) to uncover their potential for implementation in the development of optimized food delivery systems. They searched for a readyto-use machine learning approach to be applied. Thus, this review presents a comprehensive overview of the current machine learning approaches and algorithms available for optimizing food delivery systems. It is groundbreaking as it is the first of its kind to specifically concentrate on this topic. The latest advancements in this area have been carefully scrutinized, and the most viable techniques and methods have been identified to enhance food delivery systems. This review will be of great value to biological and chemical researchers as well as supply chain management professionals, as it offers a clear roadmap for employing different approaches of ANN, GA, SVM, K-means clustering, decision trees, in conjunction with response surface methodology (RSM), to enhance the accuracy and efficiency of nanoparticles and nanoemulsions in food delivery systems.</t>
  </si>
  <si>
    <t>[Yakoubi, Sana; Nakajima, Mitsutoshi; Hiroko, Isoda; Neves, Marcos A.] Univ Tsukuba, Grad Sch Life &amp; Environm Sci, Tennoudai 1-1-1, Tsukuba, Ibaraki 3058572, Japan; [Yakoubi, Sana; Kobayashi, Isao; Uemura, Kunihiko; Nakajima, Mitsutoshi; Neves, Marcos A.] Food Res Inst NARO, Div Food Engn, Kannondai 2-1-12, Tsukuba, Ibaraki, Japan; [Yakoubi, Sana; Kobayashi, Isao; Nakajima, Mitsutoshi; Hiroko, Isoda; Neves, Marcos A.] Univ Tsukuba, Alliance Res Mediterranean North Afr ARENA, Tennoudai 1-1-1, Tsukuba, Ibaraki 3058572, Japan; [Yakoubi, Sana] Tunis Univ Tunis El Manar, Dept Biol, Fac Sci, Tunis 2092, Tunisia</t>
  </si>
  <si>
    <t>University of Tsukuba; University of Tsukuba; Universite de Tunis-El-Manar; Faculte des Sciences de Tunis (FST)</t>
  </si>
  <si>
    <t>Yakoubi, S (corresponding author), Univ Tsukuba, Grad Sch Life &amp; Environm Sci, Tennoudai 1-1-1, Tsukuba, Ibaraki 3058572, Japan.</t>
  </si>
  <si>
    <t>sanayakoubi3@gmail.com</t>
  </si>
  <si>
    <t>, Sana/0000-0002-7036-9837</t>
  </si>
  <si>
    <t>Japan Science and Technology Agency (JST); Japan International Cooperation Agency (JICA) [JPMJSA1506]; University of Tsu- kuba; Ministry of Higher Education and Scientific Research of Tunisia</t>
  </si>
  <si>
    <t>Japan Science and Technology Agency (JST)(Japan Science &amp; Technology Agency (JST)); Japan International Cooperation Agency (JICA); University of Tsu- kuba; Ministry of Higher Education and Scientific Research of Tunisia</t>
  </si>
  <si>
    <t>We gratefully acknowledge the financial assistance provided by the Japan Science and Technology Agency (JST) and the Japan International Cooperation Agency (JICA) [Grant No. JPMJSA1506] , within the framework of SATREPS-Project (Science and Technology, Research Partnership for Sustainable Development) . We gratefully acknowledge the financial assistance provided by the Japan Science and Technology Agency (JST) and the Japan International Cooperation Agency (JICA) [grant number JPMJSA1506] , within the framework of SATREPS-Project (Science and Technology, Research Partnership for Sustainable Development) . We would like to thank to the members Food Resources Engineering Laboratory, University of Tsukuba, for very fruitful discussions and guidance. We deeply acknowledge all JICA staff for their support. This work was also supported by the Ministry of Higher Education and Scientific Research of Tunisia.</t>
  </si>
  <si>
    <t>ELSEVIER SCIENCE SA</t>
  </si>
  <si>
    <t>PO BOX 564, 1001 LAUSANNE, SWITZERLAND</t>
  </si>
  <si>
    <t>0255-2701</t>
  </si>
  <si>
    <t>1873-3204</t>
  </si>
  <si>
    <t>CHEM ENG PROCESS</t>
  </si>
  <si>
    <t>Chem. Eng. Process.</t>
  </si>
  <si>
    <t>10.1016/j.cep.2023.109352</t>
  </si>
  <si>
    <t>O0XR3</t>
  </si>
  <si>
    <t>WOS:001041143100001</t>
  </si>
  <si>
    <t>Lee, MC; Wee, HM; Wu, S; Wang, CE; Chung, RL</t>
  </si>
  <si>
    <t>Lee, Ming-Chang; Wee, Hui-Ming; Wu, Simon; Wang, C. Edward; Chung, Rih-Lung</t>
  </si>
  <si>
    <t>A bi-level inventory replenishment strategy using clustering genetic algorithm</t>
  </si>
  <si>
    <t>bi-level programming technique; clustering genetic algorithm; vendor-buyer inventory replenishment problem</t>
  </si>
  <si>
    <t>SUPPLY CHAIN; IMPERFECT PRODUCTION; DETERIORATING MODEL; POLICY; DESIGN; VENDOR; SYSTEM</t>
  </si>
  <si>
    <t>Even though bi-level strategy has many real life applications, it has not received very much attention in the inventory management literature. A typical bi-level strategy is when an enterprise has to react to a more powerful decision-making agency (a dominant leader) such as the government. In this paper, we formulate and solve a single vendor-buyer inventory replenishment problem using a bi-level programming technique. The two scenarios considered are: 1) the supplier as a dominant leader; 2) the buyer as a dominant leader. A bi-level clustering genetic algorithm is utilised to solve the problem. We implement a numerical experiment using the data from a reference with integrated replenishment policy model and compared the performance of our model and the reference model. The computational results show that the net profit of the vendor and buyer under the bi-level strategy is higher than that under the integrated replenishment policy. We also show that the performance between the bi-level strategy and the integrated replenishment policy is sensitive to the purchasing cost and the market price.</t>
  </si>
  <si>
    <t>[Lee, Ming-Chang] Yu Da Univ Sci &amp; Technol, Dept Informat Management, Chaochiao Township 36143, Miaoli County, Taiwan; [Wee, Hui-Ming; Wu, Simon] Chung Yuan Christian Univ, Dept Ind &amp; Syst Engn, 200 Chung Pei Rd, Taoyuan 32023, Taiwan; [Wang, C. Edward] Natl Taipei Univ, Dept Business Adm, New Taipei 23741, Taiwan; [Chung, Rih-Lung] Chung Yuan Christian Univ, Dept Elect Engn, Taoyuan 32023, Taiwan</t>
  </si>
  <si>
    <t>Chung Yuan Christian University; National Taipei University; Chung Yuan Christian University</t>
  </si>
  <si>
    <t>Wee, HM (corresponding author), Chung Yuan Christian Univ, Dept Ind &amp; Syst Engn, 200 Chung Pei Rd, Taoyuan 32023, Taiwan.</t>
  </si>
  <si>
    <t>alan9956@ydu.edu.tw; weehm@cycu.edu.tw; wusimon@cycu.edu.tw; edwang@mail.ntpu.edu.tw; rlchung@cycu.edu.tw</t>
  </si>
  <si>
    <t>Ministry of Science and Technology, Taiwan [NSC100-2221-E-033-027-MY3]</t>
  </si>
  <si>
    <t>The authors would like to thank the anonymous referees and editor for their helpful suggestions and comments. The research project was partially financed by the Ministry of Science and Technology, Taiwan under grant no. NSC100-2221-E-033-027-MY3.</t>
  </si>
  <si>
    <t>10.1504/EJIE.2015.074381</t>
  </si>
  <si>
    <t>DG5GK</t>
  </si>
  <si>
    <t>WOS:000372104600003</t>
  </si>
  <si>
    <t>Bentyn, Z; Luetic, A; Seric, N</t>
  </si>
  <si>
    <t>Bentyn, Zbigniew; Luetic, Ante; Seric, Neven</t>
  </si>
  <si>
    <t>DEVELOPMENT OF BUSINESS STRATEGIES BASED ON LOGISTICS PERFORMANCE OF THE REPUBLIC OF CROATIA</t>
  </si>
  <si>
    <t>EKONOMSKI VJESNIK</t>
  </si>
  <si>
    <t>Logistics; strategy; international trade; market</t>
  </si>
  <si>
    <t>SUPPLY-CHAIN; IMPACT; SERVICE</t>
  </si>
  <si>
    <t>Croatia, as a moderately new member of the EU, has recognized the prospects offered by the membership. The participation of Croatian enterprises in European supply chains is an important opportunity for the country's economic growth. The analysis of its logistics performance, based on the World Bank data, suggest a positive change in recent years. That proves a beneficial evolution of the business environment in Croatia. The primary research presented in the paper considers the improved logistics infrastructure and other subfactors included in the analysis, the support offered to business activities and the increased readiness of the country for a potential upturn of logistics services. Using logistical advantages of Croatia as a location or improved infrastructure may be a stimulus for creating relationships with business partners in the EU. A country that applies the adaptable concept of a logistics platform is in a good position to use new possibilities on the EU market, especially the growing e-commerce sector. Free flow of information on the Internet and unrestricted access to customers in the single market, guaranteed by EU law, opens new possibilities for trade development and finding one's niche. Recently the European Parliament adopted the regulation forbidding geo-blocking and thus created potential for e-commerce growth in Europe. Croatia may benefit from its location and rise in logistics performance. In this relatively new sector, the ability to use all logistical advantages has become an asset. Employing advanced analytical techniques of simulation and visualization for logistics applications has become a prerequisite for growing e-commerce on the EU market. The questions arising from such a perspective concern the abilities of the Croatian business to exploit the described potential. How should managers of business entities adjust their strategies to logistics standards? How strongly is business intelligence correlated with supply chain management? The purpose of this paper is to formulate a protocol for creating a logistics strategy for Croatian enterprises. Preliminary research for this article included logistics performance index (LPI) analysis, literature, and data mining. Variables examined in the primary research of Croatian companies' practice were categorized as business intelligence, supply chain management, information visibility and integration of logistics function. Factor analysis was used to connect these variables, i.e. to reduce the number of variables. The authors have tested the correlation between variables. There was a significant statistical correlation between business intelligence, supply chain management, information visibility and integration as prerequisites for a competitive logistics strategy of the company.</t>
  </si>
  <si>
    <t>[Bentyn, Zbigniew] Poznan Univ Econ &amp; Business, Al Niepodleglosci 10, PL-61875 Poznan, Poland; [Seric, Neven] Tommy Doo, Domovinskog Rata 93, Split 21000, Croatia</t>
  </si>
  <si>
    <t>Poznan University of Economics &amp; Business</t>
  </si>
  <si>
    <t>Bentyn, Z (corresponding author), Poznan Univ Econ &amp; Business, Al Niepodleglosci 10, PL-61875 Poznan, Poland.</t>
  </si>
  <si>
    <t>zbigniew.bentyn@ue.poznan.pl; ante.luetic@st.t-com.hr; nseric@efst.hr</t>
  </si>
  <si>
    <t>Molina, Nicholle/AAA-7370-2022; Šerić, Neven/AAR-3296-2021; Bentyn, Zbigniew/ABA-1495-2021</t>
  </si>
  <si>
    <t>SVEUCILISTE JOSIPA JURJA STROSSMAYERA &amp; OSIJEKU, EKONOMSKI FAK</t>
  </si>
  <si>
    <t>OSIJEK</t>
  </si>
  <si>
    <t>GAJEV TRG 7, OSIJEK, 31000, CROATIA</t>
  </si>
  <si>
    <t>0353-359X</t>
  </si>
  <si>
    <t>1847-2206</t>
  </si>
  <si>
    <t>EKON VJESN</t>
  </si>
  <si>
    <t>Ekon. Vjesn.</t>
  </si>
  <si>
    <t>MG0GX</t>
  </si>
  <si>
    <t>WOS:000545714900009</t>
  </si>
  <si>
    <t>A systematic literature review of closed-loop supply chains</t>
  </si>
  <si>
    <t>Closed-loop supply chain (CLSC); Reverse logistics (RL); Systematic literature review (SLR); Bibliometric analysis (BA); Network analysis; Clustering; Factor analysis</t>
  </si>
  <si>
    <t>REVERSE LOGISTICS NETWORK; GENETIC ALGORITHM APPROACH; PRODUCT RECOVERY; MANUFACTURING/REMANUFACTURING SYSTEMS; INVENTORY MANAGEMENT; STRATEGIC MANAGEMENT; RETURNED PRODUCTS; TAKE-BACK; DESIGN; MODEL</t>
  </si>
  <si>
    <t>Purpose This study research contributes in fulfilling the gap by carrying out a systematic literature review (SLR) of contemporary research studies in closed-loop supply chain (CLSC). To the best of the author's knowledge, an SLR rooted in bibliometric analysis has not been carried focusing on advent developments in CLSC. SLR employs scientific methodologies to select papers from standard databases. The SLR using advanced bibliometric and network analysis enables unveiling the key features of the contemporary literature. Design/methodology/approach The author has analyzed over 333 documents published from 2008 and onward. Using the contemporary tools from bibliometric analysis tools, the author presented an exploratory analysis. A network analysis is utilized to visualize literature and create clusters for the cocited research studies, keywords and publication sources. A detailed multivariate analysis of most influential works published based top 100 articles via a cocitation matrix is done. The multivariate analysis used k-means clustering in which optimal number of clusters are estimated. The analysis is further extended by using a factor analysis, which enables determining the most influential clusters in the k-means clustering analysis. Findings The SLR using a bibliometric and network analysis enables unveiling the key features of the contemporary literature in CLSC. The author examined published research for influential authors, sources, region, among other key aspects. Network analysis enabled visualizing the clusters of cocited research studies, cowords and publication sources. Cluster analysis of cocited research studies is further explored using k-means clustering. Factor analysis extends findings by identifying most contributing grouping of research areas within CLSC research. Each clustering technique disclosed a unique grouping structure. Originality/value CLSC has received considerable attention, and its core areas start with focusing on reverse logistics concepts relating reuse, recycling, remanufacturing, among others. Contemporarily, the studies have enhanced reverse logistics core functionalities interfaced with the other interesting avenues related to CO2 emission reduction, greening and environmental protection, sustainability, product design and governmental policies. Earlier studies have presented a literature review of CLSC; however, these reviews are commonly conducted in the traditional manner where the authors select papers based on their area of expertise, interest and experience. As such these reviews fall short in utilizing the advanced tools from bibliometric analysis.</t>
  </si>
  <si>
    <t>razasyedasif1@gmail.com</t>
  </si>
  <si>
    <t>10.1108/BIJ-10-2019-0464</t>
  </si>
  <si>
    <t>MR4WQ</t>
  </si>
  <si>
    <t>WOS:000538070600001</t>
  </si>
  <si>
    <t>Ge, XL; Jin, YZ; Ren, JZ</t>
  </si>
  <si>
    <t>Ge, Xianlong; Jin, Yuanzhi; Ren, Jingzheng</t>
  </si>
  <si>
    <t>A data-driven approach for the optimization of future two-level hydrogen supply network design with stochastic demand under carbon regulations</t>
  </si>
  <si>
    <t>Point of interest; Data -driven approach; Hydrogen supply network; Stochastic demand; Carbon regulations</t>
  </si>
  <si>
    <t>EMISSIONS; LOCATION; CHAIN; OPERATION; MODEL</t>
  </si>
  <si>
    <t>Reducing emission of conventional vehicle exhaust has many benefits for developing low-carbon cities. The transition from on-road conventional passenger cars to Hydrogen Fuel Cell Vehicles (HFCVs) may enhance air quality and health significantly. Aiming at constructing low-cost and environmentally friendly hydrogen supply networks (HSNs) in urban areas, a basic model that considers hydrogen plant and refueling station decisions is presented for the Two-level Hydrogen Supply Network Design (THSND) with stochastic demand. By coupling the basic model and carbon regulations, four extended models are established to evaluate carbon reduction on total cost of HSNs. A data-driven approach that does not require the full information of target areas is developed to solve the models. It introduces a data acquisition method of Points of Interests (POIs), a clustering-based method to select alternative refueling stations, a trip simulation method to determine demand uncertainty, and the application of solvers. The developed data-driven approach is shown to be robust and effective in terms of applicability and generalizability according to the simulations. Meanwhile, the best suitable decision result on plants and stations is both cost-effective and environmentally successful under the model considering carbon cap and trade. The internal relationship between the models indicates that the hybrid carbon emission policy is superior to naive carbon regulations.</t>
  </si>
  <si>
    <t>[Ge, Xianlong; Jin, Yuanzhi] Chongqing Jiaotong Univ, Sch Econ &amp; Management, Chongqing 400074, Peoples R China; [Jin, Yuanzhi] Sanmenxia Polytech, Dept Comp Technol &amp; Informat Engn, Sanmenxia 472000, Peoples R China; [Ren, Jingzheng] Hong Kong Polytech Univ, Dept Ind &amp; Syst Engn, Hong Kong, Peoples R China</t>
  </si>
  <si>
    <t>Chongqing Jiaotong University; Sanmenxia Polytechnic; Hong Kong Polytechnic University</t>
  </si>
  <si>
    <t>Jin, YZ (corresponding author), Chongqing Jiaotong Univ, Sch Econ &amp; Management, Chongqing 400074, Peoples R China.;Ren, JZ (corresponding author), Hong Kong Polytech Univ, Dept Ind &amp; Syst Engn, Hong Kong, Peoples R China.</t>
  </si>
  <si>
    <t>jinyuanzhi@haust.edu.cn; jzhren@polyu.edu.hk</t>
  </si>
  <si>
    <t>Jin, Yuanzhi/0000-0001-8781-6990</t>
  </si>
  <si>
    <t>General Project of Chongqing Nat-ural Science Foundation [cstc2020jcyj-msxmX0108]; Key scientific and technological innovation project of ? [KJCXZD2020031]; Chongqing Municipal Edu-cation Commission</t>
  </si>
  <si>
    <t>General Project of Chongqing Nat-ural Science Foundation; Key scientific and technological innovation project of ?; Chongqing Municipal Edu-cation Commission</t>
  </si>
  <si>
    <t>Acknowledgements This research was funded by the General Project of Chongqing Nat-ural Science Foundation [grant number cstc2020jcyj-msxmX0108] , and the Key scientific and technological innovation project of ?Construction of Chengdu-Chongqing Economic Circle? of Chongqing Municipal Edu-cation Commission [grant number KJCXZD2020031] .</t>
  </si>
  <si>
    <t>SEP 10</t>
  </si>
  <si>
    <t>10.1016/j.jclepro.2022.132734</t>
  </si>
  <si>
    <t>2T6ET</t>
  </si>
  <si>
    <t>WOS:000822566200008</t>
  </si>
  <si>
    <t>Fang, QS; Zhao, HY; Xie, CL; Chen, T</t>
  </si>
  <si>
    <t>Fang, Qiansheng; Zhao, Hongyu; Xie, Chenlei; Chen, Tao</t>
  </si>
  <si>
    <t>A method for water supply network DMA partitioning planning based on improved spectral clustering</t>
  </si>
  <si>
    <t>district metering area; genetic algorithm; undirected weighted graph; water distribution networks; weighted spectral clustering algorithm</t>
  </si>
  <si>
    <t>AREAS</t>
  </si>
  <si>
    <t>In recent years, the scale and complexity of water distribution networks (WDNs) have been increasing with the acceleration of urbanization process. It has become a hot research focus to use district metering area (DMA) for more efficient management and control of WDNs. This article proposes a multistage DMA planning method based on improved weighted spectral clustering and genetic algorithm, aiming to address issues such as high investment cost and large differences in the water network demand distribution. First, the actual case pipe network is transformed into an undirected weighted graph based on graph theory, and a similarity matrix is formed by combining the physical properties and hydraulic characteristics of the water network. Then, based on the similarity matrix, the weighted spectral clustering algorithm is used to preliminarily divide the WDN, and the performance of the water supply pipe network formed with different division quantities and different weighting schemes is discussed. Finally, the genetic algorithm is used to optimize the arrangement of valves and flow meters on boundary pipes to generate the final configuration of DMA. The results show that the proposed method has a significant improvement in pipe network topology, hydraulic performance index, and economy compared with the traditional DMA method.</t>
  </si>
  <si>
    <t>[Fang, Qiansheng; Zhao, Hongyu; Xie, Chenlei; Chen, Tao] Anhui Jianzhu Univ, Anhui Prov Key Lab intelligent Bldg &amp; Bldg Energy, Hefei, Peoples R China</t>
  </si>
  <si>
    <t>Xie, CL (corresponding author), Anhui Jianzhu Univ, Anhui Prov Key Lab intelligent Bldg &amp; Bldg Energy, Hefei, Peoples R China.</t>
  </si>
  <si>
    <t>xiecl@mail.ustc.edu.cn</t>
  </si>
  <si>
    <t>Zhao, Hongyu/0009-0006-8668-7625</t>
  </si>
  <si>
    <t>Outstanding Research and Innovation Teams of Anhui Province's Universities [2022AH010018]; Industry-university-research Project of Anhui Jianzhu University [HYB20210116]; Research project of Anhui Jianzhu University [jy2021-c-017]</t>
  </si>
  <si>
    <t>Outstanding Research and Innovation Teams of Anhui Province's Universities; Industry-university-research Project of Anhui Jianzhu University; Research project of Anhui Jianzhu University</t>
  </si>
  <si>
    <t>This work was supported by the funds: Outstanding Research and Innovation Teams of Anhui Province's Universities 2022AH010018 (Project Name: Research on Green and Low Carbon Buildings); Industry-university-research Project of Anhui Jianzhu University HYB20210116 (Project Name: Development of intelligent integrated system software platform based on BIM technology); and Research project of Anhui Jianzhu University jy2021-c-017 (Project Name: Research and application of water distribution network leakage detection system based on DMA partition).</t>
  </si>
  <si>
    <t>10.2166/ws.2023.180</t>
  </si>
  <si>
    <t>M9SI6</t>
  </si>
  <si>
    <t>WOS:001033535900001</t>
  </si>
  <si>
    <t>Jiang, MH</t>
  </si>
  <si>
    <t>Jiang, Meihui</t>
  </si>
  <si>
    <t>Locating the Principal Sectors for Carbon Emission Reduction on the Global Supply Chains by the Methods of Complex Network and Susceptible-Infective Model</t>
  </si>
  <si>
    <t>influence spreading; embodied carbon emissions; multi-regional input-output analysis; complex network; susceptible-infective model</t>
  </si>
  <si>
    <t>EMBODIED CO2 EMISSIONS; INDUSTRIAL SECTORS; ENERGY; TRADE; CHINA; FLOW; UNCERTAINTY; PROPAGATION; PERSPECTIVE</t>
  </si>
  <si>
    <t>How to locate the reasonable targets for carbon emission reduction in the complex global supply chain remains a big challenge for policy makers. This paper proposed a novel framework for finding more accurate carbon emission reduction targets, combining multi-regional input-output analysis, complex network approach and an improved susceptible-infective model called the influence spreading model. The results showed that the global embodied carbon emission flow network had the characteristic of being significantly scale-free, and there were a few important industrial sectors in the network with different capabilities, including strength-out, closeness-out, betweenness and clustering coefficient. The simulation results of the influence spreading process showed that the effective infection thresholds were relatively low, which were between 0 and 0.005 due to the significant scale-free characteristic of the global embodied carbon emission flow network. With the change of the infection thresholds, the proportion of the infected sectors significantly decreased from about 0.95 to 0.10 on average, and spread time also decreased from about three rounds to about eight rounds. In the aspects of the spreading scope and spreading speed, the industrial sectors with high closeness-out and betweenness had better performance than the ones with high strength-out. This indicated that the spreading capabilities of industrial sectors which exported significant carbon emissions, such as petroleum, chemicals and non-metallic mineral products in China, were commonly weaker than industrial sectors which occupied the most important positions in the entire supply chain, such as transport equipment in Germany. Hence, the industrial sectors with high global spreading capability and media capability were important for global carbon emission reduction. Such information suggested that the policies for carbon emission reduction should be made based on a global perspective of the supply chain system. This work proved that the policies for carbon emission reduction should be based on a global perspective of supply chain system.</t>
  </si>
  <si>
    <t>[Jiang, Meihui] Nanjing Univ Informat Sci &amp; Technol, Sch Management Sci &amp; Engn, Nanjing 210044, Peoples R China</t>
  </si>
  <si>
    <t>Nanjing University of Information Science &amp; Technology</t>
  </si>
  <si>
    <t>Jiang, MH (corresponding author), Nanjing Univ Informat Sci &amp; Technol, Sch Management Sci &amp; Engn, Nanjing 210044, Peoples R China.</t>
  </si>
  <si>
    <t>jiangmh@nuist.edu.cn</t>
  </si>
  <si>
    <t>Startup Foundation for Introducing Talent of NUIST; Philosophy and Social Sciences Research Project in Jiangsu Universities [2021SJA0165]</t>
  </si>
  <si>
    <t>Startup Foundation for Introducing Talent of NUIST; Philosophy and Social Sciences Research Project in Jiangsu Universities</t>
  </si>
  <si>
    <t>FundingThis research is supported by funds from the Startup Foundation for Introducing Talent of NUIST and the Philosophy and Social Sciences Research Project in Jiangsu Universities (2021SJA0165).</t>
  </si>
  <si>
    <t>10.3390/su14052821</t>
  </si>
  <si>
    <t>ZS3NB</t>
  </si>
  <si>
    <t>WOS:000768374100001</t>
  </si>
  <si>
    <t>Abouelrous, A; Gabor, AF; Zhang, YQ</t>
  </si>
  <si>
    <t>Abouelrous, Abdo; Gabor, Adriana F.; Zhang, Yingqian</t>
  </si>
  <si>
    <t>Optimizing the inventory and fulfillment of an omnichannel retailer: a stochastic approach with scenario clustering</t>
  </si>
  <si>
    <t>Omnichannel retailer; Inventory; Scenario reduction; Stochastic optimization; Clustering</t>
  </si>
  <si>
    <t>AVERAGE APPROXIMATION METHOD; ORDER FULFILLMENT; SUPPLY CHAIN; ONLINE; REDUCTION; STORE; MODEL; DECISIONS</t>
  </si>
  <si>
    <t>We study an inventory optimization problem for a retailer that faces stochastic online and in-store demand in a selling season of fixed length. The retailer has to decide the initial inventory levels and an order fulfillment policy such that the expected total costs are minimized. We approximate the problem by a two-stage stochastic optimization on a reduced number of scenarios. For deciding the representative scenarios, we propose a new similarity measure and a novel technique that combines the framework of Good-Turing sampling and Linear Programming. On randomly generated instances, the proposed algorithm obtains an average cost reduction of 7.56% compared to a state-of-the-art algorithm in the literature. The proposed algorithm works considerably better for short time horizons and a relatively large proportion of in-store customers.</t>
  </si>
  <si>
    <t>[Abouelrous, Abdo; Zhang, Yingqian] Tech Univ Eindhoven, Dept Ind Engn &amp; Innovat Sci, Eindhoven, Netherlands; [Gabor, Adriana F.] Khalifa Univ, Dept Appl Math, Abu Dhabi, U Arab Emirates; [Gabor, Adriana F.] Khalifa Univ, Ctr Digital Supply Chain &amp; Operat Management, Abu Dhabi, U Arab Emirates</t>
  </si>
  <si>
    <t>Eindhoven University of Technology; Khalifa University of Science &amp; Technology; Khalifa University of Science &amp; Technology</t>
  </si>
  <si>
    <t>Gabor, AF (corresponding author), Khalifa Univ, Dept Appl Math, Abu Dhabi, U Arab Emirates.;Gabor, AF (corresponding author), Khalifa Univ, Ctr Digital Supply Chain &amp; Operat Management, Abu Dhabi, U Arab Emirates.</t>
  </si>
  <si>
    <t>a.g.m.abouelrous@tue.nl; adriana.gabor@ku.ac.ae; yqzhang@tue.nl</t>
  </si>
  <si>
    <t>Abouelrous, Abdo/0000-0003-3670-5136; Zhang, Yingqian/0000-0002-5073-0787</t>
  </si>
  <si>
    <t>Khalifa University of Science and Technology [FSU2019-11]; AI Planner of the Future program; European Supply Chain Forum (ESCF); Logistics Community Brabant (LCB); Department of Industrial Engineering and Innovation Sciences; Eindhoven Artificial Intelligence Systems Institute (EAISI); [RC2 DSO]</t>
  </si>
  <si>
    <t>Khalifa University of Science and Technology; AI Planner of the Future program; European Supply Chain Forum (ESCF); Logistics Community Brabant (LCB); Department of Industrial Engineering and Innovation Sciences; Eindhoven Artificial Intelligence Systems Institute (EAISI);</t>
  </si>
  <si>
    <t>This publication is based upon work supported by the Khalifa University of Science and Technology under Award No. RC2 DSO and Grant Number FSU2019-11. Abdo Abouelrous is supported by the AI Planner of the Future program, which is supported by the European Supply Chain Forum (ESCF) , The Eindhoven Artificial Intelligence Systems Institute (EAISI) , the Logistics Community Brabant (LCB) , and the De-partment of Industrial Engineering and Innovation Sciences (IE &amp; IS) . We thank Andrei Sleptchenko for the help with the parallel implementation of Benders decomposition.</t>
  </si>
  <si>
    <t>10.1016/j.cie.2022.108723</t>
  </si>
  <si>
    <t>5U3SS</t>
  </si>
  <si>
    <t>WOS:000876471500009</t>
  </si>
  <si>
    <t>Jiang, ZT; Pi, K; Huang, YS; Qian, Y; Zhang, SQ</t>
  </si>
  <si>
    <t>Jiang, Zetao; Pi, Kui; Huang, Yongsong; Qian, Yi; Zhang, Shaoqin</t>
  </si>
  <si>
    <t>Difference Value Network for Image Super-Resolution</t>
  </si>
  <si>
    <t>IEEE SIGNAL PROCESSING LETTERS</t>
  </si>
  <si>
    <t>Image reconstruction; Feature extraction; Convolution; Superresolution; Training; Graphics; Correlation; Image super-resolution; deep convolutional neural networks; adjacent layers; difference value</t>
  </si>
  <si>
    <t>QUALITY ASSESSMENT</t>
  </si>
  <si>
    <t>Recently, improved performance has been achieved in image super-resolution (SR) by using deep convolutional neural networks (CNNs). However, most existing networks neglect the feature correlations of adjacent layers, causing features at different levels to not be fully utilized. In this paper, a novel difference value network (DVN) is proposed to address this problem. The proposed network makes full use of different levels of features by using the difference values (D-values) of adjacent layers. Specifically, a difference value block (DVB) is designed to extract the difference values of adjacent layers. The extracted difference value can highlight which regions should be paid more attention to, so as to guide image SR. Further, a difference value group (DVG) is designed to integrate the difference values extracted by the difference value block into its output. In this way, the DVG can provide additional structure prior for image SR. Finally, to make our network more stable, a multipath supervised reconstruction block is proposed to supervise the reconstruction process. The experimental results on five benchmark datasets show that the proposed network can achieve better reconstruction results than the compared SR methods.</t>
  </si>
  <si>
    <t>[Jiang, Zetao; Pi, Kui; Huang, Yongsong; Qian, Yi] Guilin Univ Elect Technol, Guangxi Key Lab Image &amp; Graph Intelligent Proc, Guilin 541004, Peoples R China; [Zhang, Shaoqin] Nanchang Hangkong Univ, Nanchang 330063, Jiangxi, Peoples R China</t>
  </si>
  <si>
    <t>Guilin University of Electronic Technology; Nanchang Hangkong University</t>
  </si>
  <si>
    <t>Pi, K (corresponding author), Guilin Univ Elect Technol, Guangxi Key Lab Image &amp; Graph Intelligent Proc, Guilin 541004, Peoples R China.</t>
  </si>
  <si>
    <t>zetaojiang@guet.edu.cn; pk.work@qq.com; hyongsong@qq.com; qyizos@163.com; shaoqinzhang@chu.edu.cn</t>
  </si>
  <si>
    <t>Huang, Yongsong/GXF-0158-2022</t>
  </si>
  <si>
    <t>Jiang, Zetao/0000-0002-0914-2131; HUANG, Yongsong/0000-0003-3114-9206; Pi, Kui/0000-0001-6409-397X</t>
  </si>
  <si>
    <t>National Natural Science Foundation of China [61876049, 61762066]; Guangxi Key Laboratory of Image; Innovation Project of Guangxi Graduate Education [2019YCXS043, YCBZ2018052, YCBZ2021070]; Innovation Project of GUET Graduate Education [2020YCXS050, 2021YCXS071]; Graphic Intelligent Processing [GIIP2007, GIIP2008]</t>
  </si>
  <si>
    <t>National Natural Science Foundation of China(National Natural Science Foundation of China (NSFC)); Guangxi Key Laboratory of Image; Innovation Project of Guangxi Graduate Education; Innovation Project of GUET Graduate Education; Graphic Intelligent Processing</t>
  </si>
  <si>
    <t>This work was supported by the National Natural Science Foundation of China under Grants 61876049 and 61762066; in part by the Guangxi Key Laboratory of Image; in part by Graphic Intelligent Processing under Grants GIIP2007 and GIIP2008; in part by the Innovation Project of Guangxi Graduate Education under Grants 2019YCXS043, YCBZ2018052, and YCBZ2021070; and in part by the Innovation Project of GUET Graduate Education under Grants 2020YCXS050 and 2021YCXS071.</t>
  </si>
  <si>
    <t>1070-9908</t>
  </si>
  <si>
    <t>1558-2361</t>
  </si>
  <si>
    <t>IEEE SIGNAL PROC LET</t>
  </si>
  <si>
    <t>IEEE Signal Process. Lett.</t>
  </si>
  <si>
    <t>10.1109/LSP.2021.3080219</t>
  </si>
  <si>
    <t>SN5JN</t>
  </si>
  <si>
    <t>WOS:000658325900006</t>
  </si>
  <si>
    <t>Azzam, IA; Al-Khatib, SF; Albataineh, WM</t>
  </si>
  <si>
    <t>Azzam, Islam Ahmed; Al-Khatib, Saleh Fahed; Albataineh, Waed Mohammad</t>
  </si>
  <si>
    <t>Strategic port classification: International clustering-based approach for decision-making optimization</t>
  </si>
  <si>
    <t>JOURNAL OF PUBLIC AFFAIRS</t>
  </si>
  <si>
    <t>This comprehensive study aims to identify from a strategic perspective a new port classification approach based on port features and characteristics. Data of 3,685 ports worldwide have been collected, and 25 dimensions with 62 factors have been identified and utilized to analyze and classify ports worldwide. The K-means clustering technique has been utilized to conduct the port classification process at several levels. First, ports have been classified into two general clusters (low capabilities and moderate-to-high capabilities). Then only ports with moderate-to-high potentials were classified and taxonomized. In addition to identifying and classifying ports with moderate-to-high capabilities, findings of the second round demonstrate the existence of three main clusters. The new port classification has been used to provide new insights about the top 50 terminal ports as a real case study. This innovative approach is valuable for most port-related decision-making situations and facilitates the global supply chain management processes.</t>
  </si>
  <si>
    <t>[Azzam, Islam Ahmed; Al-Khatib, Saleh Fahed; Albataineh, Waed Mohammad] Yarmouk Univ, Fac Econ &amp; Adm Sci, Dept Business Adm, Shafiq Irshidat St, Irbid 21163, Jordan</t>
  </si>
  <si>
    <t>Yarmouk University</t>
  </si>
  <si>
    <t>Azzam, IA (corresponding author), Yarmouk Univ, Fac Econ &amp; Adm Sci, Dept Business Adm, Shafiq Irshidat St, Irbid 21163, Jordan.</t>
  </si>
  <si>
    <t>alazzam@yu.edu.jo</t>
  </si>
  <si>
    <t>ALKHATIB, SALEH/M-4276-2019</t>
  </si>
  <si>
    <t>ALKHATIB, SALEH/0000-0002-8224-7896; Azzam, Islam/0000-0002-1039-2867</t>
  </si>
  <si>
    <t>1472-3891</t>
  </si>
  <si>
    <t>1479-1854</t>
  </si>
  <si>
    <t>J PUBLIC AFF</t>
  </si>
  <si>
    <t>J. Public Aff.</t>
  </si>
  <si>
    <t>e1963</t>
  </si>
  <si>
    <t>10.1002/pa.1963</t>
  </si>
  <si>
    <t>Public Administration</t>
  </si>
  <si>
    <t>QL4CW</t>
  </si>
  <si>
    <t>WOS:000621026900029</t>
  </si>
  <si>
    <t>Lechuga, GP</t>
  </si>
  <si>
    <t>Perez Lechuga, Gilberto</t>
  </si>
  <si>
    <t>Optimal logistics strategy to distribute medicines in clinics and hospitals</t>
  </si>
  <si>
    <t>JOURNAL OF MATHEMATICS IN INDUSTRY</t>
  </si>
  <si>
    <t>Clustering; Transport and distribution logistics; Vehicle routing; Delivery sequencing; Level of customer service; Mixed integer linear programming</t>
  </si>
  <si>
    <t>VEHICLE-ROUTING PROBLEM; TIME WINDOWS; SPLIT DELIVERIES; SUPPLY CHAIN; FLEET SIZE; MANAGEMENT</t>
  </si>
  <si>
    <t>This document presents a methodology for the optimal selection of the vehicle fleet necessary to distribute medical products from the company's storage center to many intermediate transfer nodes, and from these to a group of public hospitals. The problem addressed is a real case presented by a company that provides logistics services in the Mexican Republic. An algorithm that incorporates three modified mathematical models was designed for its solution. A version of the Dijkstra algorithm was modified for the solution to develop the clustering of nodes (clinics) within the system. A modified version of the model of the traveling salesman generated the routes of the transports and the sequence of distribution of the products. Finally, a model of mixed integer linear programming provided the quantities and characteristics of the transports to buy.</t>
  </si>
  <si>
    <t>[Perez Lechuga, Gilberto] Univ Autonoma Estado Hidalgo, Div Invest Desarrollo &amp; Innovac, Pachuca, Mexico</t>
  </si>
  <si>
    <t>Lechuga, GP (corresponding author), Univ Autonoma Estado Hidalgo, Div Invest Desarrollo &amp; Innovac, Pachuca, Mexico.</t>
  </si>
  <si>
    <t>glechuga2004@hotmail.com</t>
  </si>
  <si>
    <t>Pérez-Lechuga, Gilberto/AGW-5743-2022; Lechuga, Gilberto Pérez/AAH-4974-2020</t>
  </si>
  <si>
    <t>University Autonomous of the Hidalgo State, Mexico</t>
  </si>
  <si>
    <t>The author states that he has the necessary funds for the payment of the publication of this document if the Editorial Committee deems it feasible for that purpose. Such funds come in part from the University Autonomous of the Hidalgo State, Mexico.</t>
  </si>
  <si>
    <t>2190-5983</t>
  </si>
  <si>
    <t>J MATH IND</t>
  </si>
  <si>
    <t>J. Math. Ind.</t>
  </si>
  <si>
    <t>MAY 21</t>
  </si>
  <si>
    <t>10.1186/s13362-018-0044-5</t>
  </si>
  <si>
    <t>GI4CV</t>
  </si>
  <si>
    <t>WOS:000434319500001</t>
  </si>
  <si>
    <t>Chen, HW</t>
  </si>
  <si>
    <t>Chen, Haowen</t>
  </si>
  <si>
    <t>Analysis of Influencing Factors of Financial Market Volatility Based on Cluster Analysis</t>
  </si>
  <si>
    <t>RISK ATTITUDES</t>
  </si>
  <si>
    <t>The financial market has certain volatility in its stability due to the influence of many factors. In the analysis of the financial market, it is necessary to combine scientific and effective intelligent algorithms. Based on the cluster analysis algorithm, this paper analyzes the factors affecting financial market volatility. Moreover, this paper conducts a more in-depth study and summary of the fuzzy C-means clustering algorithm, derives the analysis and solution process of the improved algorithm in detail, and gives the steps to improve the clustering algorithm. In addition, this paper constructs an analysis model of financial market volatility influencing factors based on cluster analysis and establishes a supply chain financial credit risk evaluation index system that includes the quality of corporate managers, corporate indicators, and asset structure. Finally, this paper verifies the performance of the algorithm model of this paper through experimental research. It can be seen from the experimental research results that the methods and models proposed in this paper have certain effects.</t>
  </si>
  <si>
    <t>[Chen, Haowen] Xinyang Normal Univ, Business Coll, Xinyang 464000, Peoples R China; [Chen, Haowen] Woosuk Univ, Dept Social Econ &amp; Management, Grad Sch, Jeonju 55338, South Korea</t>
  </si>
  <si>
    <t>Xinyang Normal University; Woosuk University</t>
  </si>
  <si>
    <t>Chen, HW (corresponding author), Xinyang Normal Univ, Business Coll, Xinyang 464000, Peoples R China.;Chen, HW (corresponding author), Woosuk Univ, Dept Social Econ &amp; Management, Grad Sch, Jeonju 55338, South Korea.</t>
  </si>
  <si>
    <t>chenhw0376@xynu.edu.cn</t>
  </si>
  <si>
    <t>Xinyang Normal University</t>
  </si>
  <si>
    <t>-is study was sponsored by Xinyang Normal University.</t>
  </si>
  <si>
    <t>NOV 3</t>
  </si>
  <si>
    <t>10.1155/2021/2313259</t>
  </si>
  <si>
    <t>0P5CV</t>
  </si>
  <si>
    <t>WOS:000784238500001</t>
  </si>
  <si>
    <t>Rana, RL; Bux, C; Lombardi, M</t>
  </si>
  <si>
    <t>Rana, Roberto Leonardo; Bux, Christian; Lombardi, Mariarosaria</t>
  </si>
  <si>
    <t>Trends in scientific literature on the environmental sustainability of the artichoke (Cynara cardunculus L. spp.) supply chain</t>
  </si>
  <si>
    <t>BRITISH FOOD JOURNAL</t>
  </si>
  <si>
    <t>production Artichokexx; Cynara cardunculus L. spp.xx; Environmental sustainabilityxx; Systematic literature reviewxx; Supply chain</t>
  </si>
  <si>
    <t>CROPPING SYSTEMS; WATER FOOTPRINT; BIOMASS; IRRIGATION; WASTE; METHODOLOGY; MANAGEMENT; CROPS; YIELD; REUSE</t>
  </si>
  <si>
    <t>Purpose - The research provides a systematic literature review on the environmental sustainability of the globe artichoke [Cynara cardunculus L. var. scolymus (L.) Fiori], in the cultivated cardoon [Cynara cardunculus L. var. altilis DC.] and in the wild cardoon [Cynara cardunculus L. var. sylvestris (Lamk)] supply chains, to fill in the literature data gaps and to identify new research directions. Design/methodology/approach - In the light of the PRISMA standard guidelines, the research provides a systematic literature review according to six research strings on Scopus and Web of Science. 45 scientific articles have been selected out of 407 contributions. Data have been synthesized according to a co-word analysis through the VOSviewer software, to provide insights into the structure of the research network, to offer a multidimensional scaling and clustering into research groups and to discuss the results. Findings - The research identifies five main research trends: (1) biomass-to-bioenergy or biomass-to-biocomposite materials; (2) waste-to-bioenergy or waste-to-bioproducts; (3) crop management to increase yield productivity; (4) environmental impacts assessment; (5) irrigation water management. Besides, the research highlights momentous challenges and adopted strategies to tackle climate change and to reduce natural resources consumption, as well as the nexus between circular economy and environmental impact assessment. Originality/value- The novelty of this study relies on the fact that it analyses the environmental sustainability of the Cynara cardunculus L. spp. Supply chain in a systematic way, giving the opportunity to identify future research directions regarding the environmental impacts associated with agricultural production and industrial transformation.</t>
  </si>
  <si>
    <t>[Rana, Roberto Leonardo; Lombardi, Mariarosaria] Univ Foggia, Dept Econ, Foggia, Italy; [Bux, Christian] Univ Bari Aldo Moro, Dept Econ Management &amp; Business Law, Bari, Italy</t>
  </si>
  <si>
    <t>University of Foggia; Universita degli Studi di Bari Aldo Moro</t>
  </si>
  <si>
    <t>Lombardi, M (corresponding author), Univ Foggia, Dept Econ, Foggia, Italy.</t>
  </si>
  <si>
    <t>roberto.rana@unifg.it; christian.bux@uniba.it; mariarosaria.lombardi@unifg.it</t>
  </si>
  <si>
    <t>Bux, Christian/ABA-8983-2020; rana, roberto/I-8901-2016</t>
  </si>
  <si>
    <t>Bux, Christian/0000-0001-7360-4989; Lombardi, Mariarosaria/0000-0002-2049-5843; rana, roberto/0000-0003-0611-2049</t>
  </si>
  <si>
    <t>University of Foggia (Italy) - Fondo per Progetti di Ricerca di Ateneo [2440/2020]</t>
  </si>
  <si>
    <t>University of Foggia (Italy) - Fondo per Progetti di Ricerca di Ateneo</t>
  </si>
  <si>
    <t>This work was supported by the University of Foggia (Italy) - Fondo per Progetti di Ricerca di Ateneo, Rectoral Decree no. 2440/2020 of 29 December 2020.</t>
  </si>
  <si>
    <t>0007-070X</t>
  </si>
  <si>
    <t>1758-4108</t>
  </si>
  <si>
    <t>BRIT FOOD J</t>
  </si>
  <si>
    <t>Br. Food J.</t>
  </si>
  <si>
    <t>10.1108/BFJ-07-2022-0571</t>
  </si>
  <si>
    <t>Agricultural Economics &amp; Policy; Food Science &amp; Technology</t>
  </si>
  <si>
    <t>Agriculture; Food Science &amp; Technology</t>
  </si>
  <si>
    <t>F9LG9</t>
  </si>
  <si>
    <t>WOS:000884877600001</t>
  </si>
  <si>
    <t>Tokat, S; Karagul, K; Sahin, Y; Aydemir, E</t>
  </si>
  <si>
    <t>Tokat, Sezai; Karagul, Kenan; Sahin, Yusuf; Aydemir, Erdal</t>
  </si>
  <si>
    <t>Fuzzy c-means clustering-based key performance indicator design for warehouse loading operations</t>
  </si>
  <si>
    <t>JOURNAL OF KING SAUD UNIVERSITY-COMPUTER AND INFORMATION SCIENCES</t>
  </si>
  <si>
    <t>Key performance indicator; Fuzzy clustering; c-means; Warehouse</t>
  </si>
  <si>
    <t>SUPPLY CHAIN; MANAGEMENT; IDENTIFICATION; LOGISTICS</t>
  </si>
  <si>
    <t>Performance measurements are important motivators in evaluating a company's strategy. The perfor-mance improvement process starts with the measurement of the current situation. Therefore, companies use various metric quantities for the efficiency and productivity of warehouse management. Recently, many studies have been conducted on key performance indicators. In this study, an artificial intelligence-aided key performance indicator is intended for the loading performance of a warehouse, and the analysis is performed based on various scenarios. In the pre-processing phase, five inputs are taken as the unit price, monthly demand quantities, the number of products loaded from the warehouse, the demand that cannot be loaded on time, and the average delay times of the products that cannot be loaded on time. The outputs of the pre-processing phase are clustered using a fuzzy c-means clustering algorithm. Then a key performance indicator for the warehouse loading operations is proposed using the fuzzy c-means clustering result. Researchers and engineers can easily use the proposed scheme to achieve efficiency in warehouse loading management. (c) 2021 The Authors. Published by Elsevier B.V. on behalf of King Saud University. This is an open access article under the CC BY-NC-ND license (http://creativecommons.org/licenses/by-nc-nd/4.0/).</t>
  </si>
  <si>
    <t>[Tokat, Sezai] Pamukkale Univ, Comp Engn Dept, Denizli, Turkey; [Karagul, Kenan] Pamukkale Univ, Logist Dept, Denizli, Turkey; [Sahin, Yusuf] Burdur Mehmet Akif Ersoy Univ, Business Adm Dept, Burdur, Turkey; [Aydemir, Erdal] Suleyman Demirel Univ, Ind Engn Dept, Isparta, Turkey</t>
  </si>
  <si>
    <t>Pamukkale University; Pamukkale University; Mehmet Akif Ersoy University; Suleyman Demirel University</t>
  </si>
  <si>
    <t>Sahin, Y (corresponding author), Burdur Mehmet Akif Ersoy Univ, Business Adm Dept, Burdur, Turkey.</t>
  </si>
  <si>
    <t>ysahin@mehmetakif.edu.tr</t>
  </si>
  <si>
    <t>TOKAT, Sezai/HJI-5975-2023; SAHIN, YUSUF/A-1161-2019; Aydemir, Erdal/E-4773-2011</t>
  </si>
  <si>
    <t>TOKAT, Sezai/0000-0003-0193-8220; SAHIN, YUSUF/0000-0002-3862-6485; Aydemir, Erdal/0000-0003-4834-725X</t>
  </si>
  <si>
    <t>TUBITAK [1507 - 7180837]</t>
  </si>
  <si>
    <t>TUBITAK(Turkiye Bilimsel ve Teknolojik Arastirma Kurumu (TUBITAK))</t>
  </si>
  <si>
    <t>The authors thank to TUBITAK 1507 - 7180837 Research Project for partly supporting of this study.</t>
  </si>
  <si>
    <t>1319-1578</t>
  </si>
  <si>
    <t>2213-1248</t>
  </si>
  <si>
    <t>J KING SAUD UNIV-COM</t>
  </si>
  <si>
    <t>J. King Saud Univ.-Comput. Inf. Sci.</t>
  </si>
  <si>
    <t>10.1016/j.jksuci.2021.08.003</t>
  </si>
  <si>
    <t>5A5LJ</t>
  </si>
  <si>
    <t>WOS:000862928800014</t>
  </si>
  <si>
    <t>Yu, DJ; Fang, AR</t>
  </si>
  <si>
    <t>Yu, Dejian; Fang, Anran</t>
  </si>
  <si>
    <t>The knowledge trajectory and structure of the supply chain integration: a main path and cluster analysis</t>
  </si>
  <si>
    <t>Supply chain integration; Main path analysis; Cluster analysis</t>
  </si>
  <si>
    <t>INFORMATION-TECHNOLOGY USE; FINANCIAL PERFORMANCE; FIRM PERFORMANCE; MANAGEMENT; IMPACT; COLLABORATION; CITATION; REPLENISHMENT; LOGISTICS; ARCS</t>
  </si>
  <si>
    <t>PurposeSupply chain integration (SCI) dominates supply chain strategy and is receiving increasing academic attention. The purpose of this paper is to provide a systematic review of the knowledge trajectory and structure of the SCI field.Design/methodology/approachBased on 3,533 papers extracted from the Web of Science (WoS), this paper adopts the main path analysis (MPA) method to detect three distinct knowledge development trajectories. Coupling-based clustering is combined with MPA to reveal three critical subfields.FindingsThe findings show that the definition, content and dimensions of SCI lack unified conclusions. The influencing factors and performance consequences of SCI are long-standing research elements. Building theoretical models and integrated systems and applying blockchain technology to improve SCI are the key research contents. The intertwining of collaboration and SCI cannot be ignored, and the green SCI may be a hot topic in the future.Research limitations/implicationsThis study explores knowledge in the SCI field based on the limited literature collected by WoS rather than all published papers. The omissions of some relevant papers and books may exist.Practical implicationsThe study methodology provides a framework for similar studies in the future, and the results help researchers to get a comprehensive picture of the knowledge trajectory and structure of the SCI field.Originality/valueCompared to existing reviews, MPA combines cluster analysis to develop a synthetic framework of the knowledge trajectory and structure in the SCI domain. It contributes to a systematic review of the development of SCI.</t>
  </si>
  <si>
    <t>[Yu, Dejian; Fang, Anran] Nanjing Audit Univ, Sch Business, Nanjing, Peoples R China</t>
  </si>
  <si>
    <t>Nanjing Audit University</t>
  </si>
  <si>
    <t>Fang, AR (corresponding author), Nanjing Audit Univ, Sch Business, Nanjing, Peoples R China.</t>
  </si>
  <si>
    <t>yudejian62@126.com; fanganran97@126.com</t>
  </si>
  <si>
    <t>Yu, Dejian/0000-0003-2796-9148</t>
  </si>
  <si>
    <t>Postgraduate Research and Practice Innovation Program of Jiangsu Province [SJCX22_0983]</t>
  </si>
  <si>
    <t>Postgraduate Research and Practice Innovation Program of Jiangsu Province</t>
  </si>
  <si>
    <t>This manuscript was supported by the Postgraduate Research and Practice Innovation Program of Jiangsu Province (No. SJCX22_0983).</t>
  </si>
  <si>
    <t>JUN 13</t>
  </si>
  <si>
    <t>10.1108/JEIM-11-2022-0404</t>
  </si>
  <si>
    <t>I4KJ4</t>
  </si>
  <si>
    <t>WOS:000959853900001</t>
  </si>
  <si>
    <t>Iandolo, F; Vito, P; Loia, F; Fulco, I; Calabrese, M</t>
  </si>
  <si>
    <t>Iandolo, Francesca; Vito, Pietro; Loia, Francesca; Fulco, Irene; Calabrese, Mario</t>
  </si>
  <si>
    <t>Drilling down the viable system theories in business, management and accounting: A bibliometric review</t>
  </si>
  <si>
    <t>SYSTEMS RESEARCH AND BEHAVIORAL SCIENCE</t>
  </si>
  <si>
    <t>bibliometrics; science mapping; scientometrics; viable system theories</t>
  </si>
  <si>
    <t>SUPPLY CHAIN MANAGEMENT; DOMINANT LOGIC; MODEL; KNOWLEDGE; SUSTAINABILITY; METHODOLOGY; COMPLEXITY; VIABILITY; DYNAMICS; INTELLIGENCE</t>
  </si>
  <si>
    <t>The aim of this paper is to trace the scientific landscape (authors, scientific papers, topics most frequently dealt with, relationships between them) of the studies concerning the viable system model (VSM) and the viable system approach (vSa), carried out in the period 1990-2018 within the scientific framework of systems thinking by scholars in business, management and accounting (BMA). The methodology adopted herein is based on a scientometric approach, bibliographic mapping and clustering. The analysis was carried out following a three-step procedure: bibliographic coupling of scientific contributions (153 articles recorded in Scopus in the considered period), co-occurrence of the main author keywords and analysis of co-citations. This paper examines for the first time the entire scientific body of knowledge about viable system theories (VSTs) in BMA areas using recent joint mapping and clustering tools.</t>
  </si>
  <si>
    <t>[Iandolo, Francesca; Vito, Pietro; Calabrese, Mario] Sapienza Univ Rome, Dept Management, Via Castro Laurenziano, I-00161 Rome 9, Italy; [Loia, Francesca] Univ Naples Federico II, Dept Econ Management &amp; Inst, Rome, Italy; [Fulco, Irene] Univ Tuscia Viterbo, Dept Econ &amp; Management DEIM, Rome, Italy</t>
  </si>
  <si>
    <t>Sapienza University Rome; University of Naples Federico II</t>
  </si>
  <si>
    <t>Vito, P (corresponding author), Sapienza Univ Rome, Dept Management, Via Castro Laurenziano, I-00161 Rome 9, Italy.</t>
  </si>
  <si>
    <t>pietro.vito@uniroma1.it</t>
  </si>
  <si>
    <t>Iandolo, Francesca/AFK-0311-2022; Iandolo, Francesca/AAF-7345-2022</t>
  </si>
  <si>
    <t>Iandolo, Francesca/0000-0002-2366-4892; Iandolo, Francesca/0000-0002-2366-4892; FULCO, IRENE/0000-0003-0907-6450</t>
  </si>
  <si>
    <t>1092-7026</t>
  </si>
  <si>
    <t>1099-1743</t>
  </si>
  <si>
    <t>SYST RES BEHAV SCI</t>
  </si>
  <si>
    <t>Syst. Res. Behav. Sci.</t>
  </si>
  <si>
    <t>10.1002/sres.2731</t>
  </si>
  <si>
    <t>Management; Social Sciences, Interdisciplinary</t>
  </si>
  <si>
    <t>XM0AA</t>
  </si>
  <si>
    <t>WOS:000558699600001</t>
  </si>
  <si>
    <t>Rejeb, A; Simske, S; Rejeb, K; Treiblmaier, H; Zailani, S</t>
  </si>
  <si>
    <t>Rejeb, Abderahman; Simske, Steve; Rejeb, Karim; Treiblmaier, Horst; Zailani, Suhaiza</t>
  </si>
  <si>
    <t>Internet of Things research in supply chain management and logistics: A bibliometric analysis</t>
  </si>
  <si>
    <t>INTERNET OF THINGS</t>
  </si>
  <si>
    <t>Internet of Things; Supply chain management; Literature review; Bibliometrics</t>
  </si>
  <si>
    <t>RFID TECHNOLOGY; BIG-DATA; SENSOR TECHNOLOGIES; INDUSTRY 4.0; FOOD SAFETY; RETAIL; SYSTEM; IMPACT; IOT; PERFORMANCE</t>
  </si>
  <si>
    <t>This study reviews Internet of Things (IoT) research in supply chain management (SCM) and logistics. A thorough review and bibliometric analysis were conducted to analytically and objectively unearth the knowledge development in IoT research within the context of SCM and logistics. The analysis started with the selection of 807 journal articles published over a two-decade period. Then, the articles were analyzed according to bibliometric parameters such as year of publication, sources, authors, and institutions. A keyword co-occurrence network was used to cluster the pertinent literature. Results of the review and bibliometric analysis reveal that IoT research has attracted significant attention from the SCM and logistics community. Three leading journals published widely on IoT and the fifteen most productive authors are identified. Based on the keyword co-occurrence clustering, the IoT literature in SCM and logistics is focalized on RFID technology, Industry 4.0 technologies, reverse logistics, and additionally covers various industries, such as the food, retailing, construction, and the pharmaceutical sector. The study provides researchers with a better understanding of IoT research in SCM and logistics and existing knowledge gaps for further research. Practitioners may benefit from the review to keep abreast of the current discussions and applications of IoT in diverse industrial sectors. To the best of the authors' knowledge, the current review is one of the few attempts to investigate IoT research in SCM and logistics using a comprehensive set of articles published during the past two decades. (C) 2020 The Authors. Published by Elsevier B.V.</t>
  </si>
  <si>
    <t>[Rejeb, Abderahman] Szechenyi Istvan Univ, Doctoral Sch Reg Sci &amp; Business Adm, H-9026 Gyor, Hungary; [Simske, Steve] Colorado State Univ, Syst Engn Dept, Ft Collins, CO 80523 USA; [Rejeb, Karim] Higher Inst Comp Sci El Manar, 2 Rue Abou Raihan El Bayrouni, Ariana 2080, Tunisia; [Treiblmaier, Horst] Modul Univ Vienna, Kahlenberg 1, A-1190 Vienna, Austria; [Zailani, Suhaiza] Univ Malaya, Fac Business &amp; Accountancy, Dept Operat Management &amp; Informat Syst, Kuala Lumpur 50203, Malaysia</t>
  </si>
  <si>
    <t>University of Istvan Szechenyi; Colorado State University; Universiti Malaya</t>
  </si>
  <si>
    <t>Rejeb, A (corresponding author), Szechenyi Istvan Univ, Doctoral Sch Reg Sci &amp; Business Adm, H-9026 Gyor, Hungary.</t>
  </si>
  <si>
    <t>abderrahmen.rejeb@gmail.com; Steve.Simske@colostate.edu; karim.rejeb@etudiant-isi.utm.tn; horst.treiblmaier@modul.ac.at; shmz@um.edu.my</t>
  </si>
  <si>
    <t>Zailani, Suhaiza/A-2968-2013; Treiblmaier, Horst/X-1282-2019</t>
  </si>
  <si>
    <t>Zailani, Suhaiza/0000-0002-8484-1821; Treiblmaier, Horst/0000-0002-0755-5223</t>
  </si>
  <si>
    <t>2543-1536</t>
  </si>
  <si>
    <t>2542-6605</t>
  </si>
  <si>
    <t>INTERNET THINGS-NETH</t>
  </si>
  <si>
    <t>Internet Things</t>
  </si>
  <si>
    <t>10.1016/j.iot.2020.100318</t>
  </si>
  <si>
    <t>UP9MC</t>
  </si>
  <si>
    <t>WOS:000695695600029</t>
  </si>
  <si>
    <t>Lawson, B; Potter, A; Pil, FK; Holweg, M</t>
  </si>
  <si>
    <t>Lawson, Benn; Potter, Antony; Pil, Frits K.; Holweg, Matthias</t>
  </si>
  <si>
    <t>Supply chain disruptions: the influence of industry and geography on firm reaction speed</t>
  </si>
  <si>
    <t>Cluster; Supply risk; Geographic distance; Supply chain disruption; Cross-classified HLM; Inter-industry relatedness index</t>
  </si>
  <si>
    <t>PRODUCT RECALLS; ABSORPTIVE-CAPACITY; CLUSTER TEMPLATES; OPPORTUNITY COSTS; RISK-MANAGEMENT; OR/MS RESEARCH; KNOWLEDGE; PROXIMITY; PERFORMANCE; SAFETY</t>
  </si>
  <si>
    <t>Purpose Responding in a timely manner to product recalls emanating from the supply chain presents tremendous challenges for most firms. The source might be a supplier from the same industry located next door, or one from a completely different sector of the economy situated thousands of miles away. Yet the speed of the firm's response is crucial to mitigating the consequences of the recall both for the firm, and consumer health and well-being. The purpose of this paper is to investigate the effects of geographic distance, industry relatedness and clustering on firm response time to a supplier-initiated product recall. Design/methodology/approach The authors test the theoretical framework via an examination of food recall announcements registered with the US Food and Drug Administration over a ten-year period. The authors develop a data set comprising 407 pairs of supplier and affected downstream manufacturing firms, and utilize cross-classified hierarchical linear modeling to understand the drivers of organizational responsiveness. Findings The results suggest that firm response time is lengthened by geographic distance but reduced when the supplier and affected firm operate in related industry sectors. The authors further find that as more firms in a given industry are affected by the same recall, response time deteriorates. Originality/value Product recalls in the agri-food industry are significant events initiated to protect consumer health and ensure the safety of the farm-to-fork food chain. The findings highlight how both geographic- and industry-related factors determine the speed of firm responsiveness to these events.</t>
  </si>
  <si>
    <t>[Lawson, Benn] Univ Cambridge, Cambridge Judge Business Sch, Cambridge, England; [Potter, Antony] Univ Manchester, Alliance Manchester Business Sch, Manchester, Lancs, England; [Pil, Frits K.] Univ Pittsburgh, Katz Grad Sch Business, Pittsburgh, PA 15260 USA; [Pil, Frits K.] Univ Pittsburgh, Learning Res &amp; Dev Ctr, Pittsburgh, PA 15260 USA; [Holweg, Matthias] Univ Oxford, Said Business Sch, Oxford, England</t>
  </si>
  <si>
    <t>University of Cambridge; University of Manchester; Alliance Manchester Business School; Pennsylvania Commonwealth System of Higher Education (PCSHE); University of Pittsburgh; Pennsylvania Commonwealth System of Higher Education (PCSHE); University of Pittsburgh; University of Oxford</t>
  </si>
  <si>
    <t>Lawson, B (corresponding author), Univ Cambridge, Cambridge Judge Business Sch, Cambridge, England.</t>
  </si>
  <si>
    <t>b.lawson@jbs.cam.ac.uk</t>
  </si>
  <si>
    <t>pil, frits/AAT-6025-2021</t>
  </si>
  <si>
    <t>pil, frits/0000-0001-5267-2042; Lawson, Benn/0000-0002-8489-1984; Potter, Antony/0000-0001-7918-8576</t>
  </si>
  <si>
    <t>DEC 6</t>
  </si>
  <si>
    <t>9/10</t>
  </si>
  <si>
    <t>10.1108/IJOPM-04-2018-0225</t>
  </si>
  <si>
    <t>JO7ZZ</t>
  </si>
  <si>
    <t>WOS:000497795200003</t>
  </si>
  <si>
    <t>Lyu, YZ; Liu, YJ; Guo, Y; Sang, J; Tian, JP; Chen, YJ</t>
  </si>
  <si>
    <t>Lyu, Yizheng; Liu, Yingjie; Guo, Yang; Sang, Jing; Tian, Jinping; Chen, Lyujun</t>
  </si>
  <si>
    <t>Review of green development of Chinese industrial parks</t>
  </si>
  <si>
    <t>ENERGY STRATEGY REVIEWS</t>
  </si>
  <si>
    <t>Industrial park; Green development; Circular economy; Eco-industrial development; China; Bibliometric analysis</t>
  </si>
  <si>
    <t>TARGETING ENERGY INFRASTRUCTURE; SUPPLY CHAIN MANAGEMENT; CIRCULAR ECONOMY; GAS-MITIGATION; ECO-EFFICIENCY; CARBON FOOTPRINT; SYMBIOSIS; STRATEGIES; TRANSFORMATION; OPTIMIZATION</t>
  </si>
  <si>
    <t>China has posed great importance on green development, a model for economic transformation that enhances public welfare while sustaining environment and resources. Meanwhile, China has the largest number of industrial parks which is crucial for both the global supply chain and national economy. Diversified green development demonstration programs have been promoted with a top-down paradigm facilitated by the central government due to the parks' important roles in industrial development and pollution control. There is a growing knowledge body about the green development of the parks, and Chinese cases accounted for the largest share of peer-reviewed publications. This article provides a review of academic papers and grey documents on the topic since 2000 by descriptive and bibliometric analysis. We extract five major research focuses by keyword clustering of 129 peer-reviewed articles, namely, the planning of eco-industrial parks, the improvement of environmental management, the evolution of industrial symbiosis and supply chain networks, the optimization of infrastructure, and the assessment of economic-environmental performance. Then, diversified practices of green development in Chinese industrial parks are further enriched by supplementing grey literature and practice. Based on the literature and ongoing practice, we explain the green development model for Chinese IPs and conclude inadequate dissemination of concept and knowledge, heterogeneity of interest, untargeted assessment and guidance, and backward management system are the five major challenges in the field. The review can inspire the scientific community, policymakers, and practitioners in China and other developing countries to further promote green development by targeting industrial parks.</t>
  </si>
  <si>
    <t>[Lyu, Yizheng; Liu, Yingjie; Guo, Yang; Sang, Jing; Tian, Jinping; Chen, Lyujun] Tsinghua Univ, Sch Environm, Beijing 100084, Peoples R China; [Tian, Jinping; Chen, Lyujun] Tsinghua Univ, Ctr Ecol Civilizat, Beijing 100084, Peoples R China; [Guo, Yang] Princeton Univ, Princeton Sch Publ &amp; Int Affairs, Princeton, NJ 08544 USA</t>
  </si>
  <si>
    <t>Tsinghua University; Tsinghua University; Princeton University</t>
  </si>
  <si>
    <t>Tian, JP; Chen, YJ (corresponding author), Tsinghua Univ, Sch Environm, Beijing 100084, Peoples R China.</t>
  </si>
  <si>
    <t>tianjp@tsinghua.edu.cn; chenlj@tsinghua.edu.cn</t>
  </si>
  <si>
    <t>Guo, Yang/0000-0003-3633-040X; Tian, Jinping/0000-0002-8955-5154</t>
  </si>
  <si>
    <t>National Natural Science Foundation of China [41971267]; National Social Science Foundation of China [18ZDA046]</t>
  </si>
  <si>
    <t>National Natural Science Foundation of China(National Natural Science Foundation of China (NSFC)); National Social Science Foundation of China(National Office of Philosophy and Social Sciences)</t>
  </si>
  <si>
    <t>This study is financially supported by the National Natural Science Foundation of China through project 41971267 and by the National Social Science Foundation of China through project 18ZDA046.</t>
  </si>
  <si>
    <t>2211-467X</t>
  </si>
  <si>
    <t>2211-4688</t>
  </si>
  <si>
    <t>ENERGY STRATEG REV</t>
  </si>
  <si>
    <t>Energy Strateg. Rev.</t>
  </si>
  <si>
    <t>10.1016/j.esr.2022.100867</t>
  </si>
  <si>
    <t>5U9JG</t>
  </si>
  <si>
    <t>WOS:000876855500003</t>
  </si>
  <si>
    <t>Özener, OÖ; Ekici, A</t>
  </si>
  <si>
    <t>Ozener, Okan Orsan; Ekici, Ali</t>
  </si>
  <si>
    <t>Managing platelet supply through improved routing of blood collection vehicles</t>
  </si>
  <si>
    <t>Blood supply chain; Platelet production; Processing time limit; Vehicle routing</t>
  </si>
  <si>
    <t>TEAM ORIENTEERING PROBLEM; OPTIMIZATION; ALGORITHM; SOLVE; HEURISTICS; SIMULATION; CENTERS</t>
  </si>
  <si>
    <t>In this paper, we study the routing of blood collection vehicles for improving the platelet supply in the blood supply chain. In order to extract platelets, donated blood has to be processed at a central processing facility within six hours of donation time. Blood collection organizations have to dispatch collection vehicles and schedule pickups from the donation sites so that the donated units can be used in platelet production. Because of the accumulating behavior of donations and the six-hour processing time limit, routing of blood collection vehicles is a time-sensitive routing problem. We analyze the routing decisions in such a setting and propose an integrated clustering and routing framework to collect and process the maximum number of donations for platelet production. In our analysis, motivated by the practices in real-life, we cluster the donation sites so that only a single vehicle serves the donation sites in each cluster. In the proposed framework, we make the clustering and routing decisions in an integrated manner so that we can foresee the impact of adding a donation site to a cluster on the routing decisions. For the routing step, we propose several heuristic algorithms, two of which have a greedy nature and the others are based on a priori tour generation and selection scheme. To evaluate the performances of the proposed heuristics, we develop an upper bound by relaxing the number of vehicles so that one vehicle is available for each donation site. Using the proposed heuristic algorithms, we obtain solutions with around 15% optimality gaps with respect to the upper bound. (C) 2018 Elsevier Ltd. All rights reserved.</t>
  </si>
  <si>
    <t>[Ozener, Okan Orsan; Ekici, Ali] Ozyegin Univ, Dept Ind Engn, Istanbul, Turkey</t>
  </si>
  <si>
    <t>Ozyegin University</t>
  </si>
  <si>
    <t>Ekici, A (corresponding author), Ozyegin Univ, Dept Ind Engn, Istanbul, Turkey.</t>
  </si>
  <si>
    <t>orsan.ozener@ozyegin.edu.tr; ali.ekici@ozyegin.edu.tr</t>
  </si>
  <si>
    <t>Ozener, Okan/CAA-1479-2022; Ekici, Ali/A-5388-2015</t>
  </si>
  <si>
    <t>Ozener, Okan/0000-0002-9291-1877; Ekici, Ali/0000-0002-9627-4780</t>
  </si>
  <si>
    <t>TUBITAK [112M945]</t>
  </si>
  <si>
    <t>This research is supported in part by TUBITAK grant 112M945.</t>
  </si>
  <si>
    <t>10.1016/j.cor.2018.05.011</t>
  </si>
  <si>
    <t>WOS:000440526800009</t>
  </si>
  <si>
    <t>Loger, B; Dolgui, A; Lehuédé, F; Massonnet, G</t>
  </si>
  <si>
    <t>Loger, Benoit; Dolgui, Alexandre; Lehuede, Fabien; Massonnet, Guillaume</t>
  </si>
  <si>
    <t>A Robust Data Driven Approach to Supply Planning</t>
  </si>
  <si>
    <t>Supply chain; Data-driven optimization; Robust optimization</t>
  </si>
  <si>
    <t>TO-ORDER SYSTEMS; OPTIMIZATION; UNCERTAINTY</t>
  </si>
  <si>
    <t>We develop two robust optimization models to plan the supply operations of an assembly line when the latter are subcontracted to an external service provider. The uncertainty sets are constructed from available information on picking times both in a classical budget-based robust approach and by using Support Vector Clustering. Numerical experiments are conducted on test instances derived from a practical case to illustrate the effectiveness of the proposed approach. The results show that the robust optimization approach is efficient to reduce the impact of picking time uncertainties on production and that the SVC-based model outperforms the classical budget-based model.</t>
  </si>
  <si>
    <t>[Loger, Benoit; Dolgui, Alexandre; Lehuede, Fabien; Massonnet, Guillaume] IMT Atlantique, LS2N, 4 Rue Alfred Kastler Chantrerie, F-44307 Nantes, France</t>
  </si>
  <si>
    <t>IMT - Institut Mines-Telecom; IMT Atlantique</t>
  </si>
  <si>
    <t>Loger, B (corresponding author), IMT Atlantique, LS2N, 4 Rue Alfred Kastler Chantrerie, F-44307 Nantes, France.</t>
  </si>
  <si>
    <t>benoit.loger@imt-atlantique.fr</t>
  </si>
  <si>
    <t>Dolgui, Alexandre/K-1688-2013</t>
  </si>
  <si>
    <t>Dolgui, Alexandre/0000-0003-0527-4716</t>
  </si>
  <si>
    <t>10.1007/978-3-030-85910-7_18</t>
  </si>
  <si>
    <t>WOS:000717519900018</t>
  </si>
  <si>
    <t>Cooke, P</t>
  </si>
  <si>
    <t>Rational drug design, the knowledge value chain and bioscience megacentres</t>
  </si>
  <si>
    <t>CAMBRIDGE JOURNAL OF ECONOMICS</t>
  </si>
  <si>
    <t>International Workshop on Clusters in High-Technology - Aerospace, Biotechnology and Software Compared</t>
  </si>
  <si>
    <t>NOV, 2002</t>
  </si>
  <si>
    <t>Univ Quebec, Dept Management &amp; Technol, Montreal, CANADA</t>
  </si>
  <si>
    <t>Univ Quebec, Dept Management &amp; Technol</t>
  </si>
  <si>
    <t>bioscience; knowledge transfer; clustering; regional innovation; science policy</t>
  </si>
  <si>
    <t>SPILLOVERS; INNOVATION; SCIENCE</t>
  </si>
  <si>
    <t>This paper seeks to trace important shifts and cluster evolution in the healthcare industry. Its key aim is to examine the implications of the rise of science-based clusters for economic geography and related policies. A special focus is biosciences and the rise of 'biologics' more generally at the expense of fine chemistry in drug development. The old agglomerations of pharmacy are no longer leaders in knowledge exploration, as universities, research laboratories and medical schools take over research, they are beginning to lose prominence to dedicated biotechnology firms (DBFs) in knowledge examination, and retain their most important involvement as financiers and marketers of DBF exploitation knowledge. This has profound geographical as well as industry organisation equilibrium effects. Over-concentration of the bioscientific knowledge value chain has given rise to the new spatial policy practice of developing regional science strategies. Aspects of these are commented upon.</t>
  </si>
  <si>
    <t>Cardiff Univ, Ctr Adv Studies, Cardiff, S Glam, Wales</t>
  </si>
  <si>
    <t>Cardiff University</t>
  </si>
  <si>
    <t>Cooke, P (corresponding author), Cardiff Univ, Ctr Adv Studies, 44-45 Pk Pl, Cardiff, S Glam, Wales.</t>
  </si>
  <si>
    <t>cookepn@cf.ac.uk</t>
  </si>
  <si>
    <t>Cooke, Philip/GRO-1618-2022</t>
  </si>
  <si>
    <t>Economic and Social Research Council [RES-145-28-1003] Funding Source: researchfish</t>
  </si>
  <si>
    <t>Economic and Social Research Council(UK Research &amp; Innovation (UKRI)Economic &amp; Social Research Council (ESRC))</t>
  </si>
  <si>
    <t>0309-166X</t>
  </si>
  <si>
    <t>1464-3545</t>
  </si>
  <si>
    <t>CAMB J ECON</t>
  </si>
  <si>
    <t>Cambr. J. Econ.</t>
  </si>
  <si>
    <t>10.1093/cje/bei045</t>
  </si>
  <si>
    <t>Social Science Citation Index (SSCI); Conference Proceedings Citation Index - Social Science &amp; Humanities (CPCI-SSH)</t>
  </si>
  <si>
    <t>919RS</t>
  </si>
  <si>
    <t>WOS:000228635900001</t>
  </si>
  <si>
    <t>Aydogan-Cremaschi, S; Orcun, S; Blau, G; Pekny, JE; Reklaitis, GV</t>
  </si>
  <si>
    <t>Aydogan-Cremaschi, Selen; Orcun, Seza; Blau, Gary; Pekny, Joseph E.; Reklaitis, Gintaras V.</t>
  </si>
  <si>
    <t>A novel approach for life-support-system design for manned space missions</t>
  </si>
  <si>
    <t>ACTA ASTRONAUTICA</t>
  </si>
  <si>
    <t>Simulation-based optimization; Life-support-system design; Mars mission</t>
  </si>
  <si>
    <t>SIMULATION-OPTIMIZATION FRAMEWORK; DEVELOPMENT PIPELINE MANAGEMENT; SUPPLY CHAIN MANAGEMENT; UNCERTAINTY</t>
  </si>
  <si>
    <t>In this paper, a simulation-based optimization approach is proposed to study design of life-support systems, i.e., systems that provide basic life-support elements such as potable water and oxygen, for manned space missions. The method integrates deterministic mathematical programming models, which set tactical control parameters, stochastic discrete-event simulation, which accounts for the uncertainty, and a time-series data-mining approach, which calculates strategic set points for tactical control. Total cost distributions of the system, probabilistic capacities of the technologies in the system and the basic life-support element amounts that are needed to support crew life and activities for the duration of a given mission are determined using the proposed framework. The methodology is demonstrated using four different technology levels for a mission scenario at which a crew of six spends 600 days on the Martian surface. (C) 2009 Elsevier Ltd. All rights reserved.</t>
  </si>
  <si>
    <t>[Aydogan-Cremaschi, Selen; Pekny, Joseph E.; Reklaitis, Gintaras V.] Purdue Univ, Sch Chem Engn, W Lafayette, IN 47907 USA; [Orcun, Seza; Blau, Gary] Purdue Univ, e Enterprise Ctr, W Lafayette, IN 47907 USA</t>
  </si>
  <si>
    <t>Purdue University System; Purdue University; Purdue University West Lafayette Campus; Purdue University System; Purdue University West Lafayette Campus; Purdue University</t>
  </si>
  <si>
    <t>Aydogan-Cremaschi, S (corresponding author), Univ Tulsa, Dept Chem Engn, Tulsa, OK 74104 USA.</t>
  </si>
  <si>
    <t>selen-cremaschi@utulsa.edu</t>
  </si>
  <si>
    <t>Cremaschi, Selen/AAG-8455-2020; Reklaitis, Gintaras/AAJ-5106-2020</t>
  </si>
  <si>
    <t>Cremaschi, Selen/0000-0002-9333-344X;</t>
  </si>
  <si>
    <t>NASA Specialized Center of Research and Training in Advanced Life Support [NAG5-12686]</t>
  </si>
  <si>
    <t>NASA Specialized Center of Research and Training in Advanced Life Support</t>
  </si>
  <si>
    <t>This work is supported by the NASA Specialized Center of Research and Training in Advanced Life Support (NASA Grant NAG5-12686).</t>
  </si>
  <si>
    <t>0094-5765</t>
  </si>
  <si>
    <t>ACTA ASTRONAUT</t>
  </si>
  <si>
    <t>Acta Astronaut.</t>
  </si>
  <si>
    <t>AUG-SEP</t>
  </si>
  <si>
    <t>10.1016/j.actaastro.2009.02.017</t>
  </si>
  <si>
    <t>Engineering, Aerospace</t>
  </si>
  <si>
    <t>461IF</t>
  </si>
  <si>
    <t>WOS:000267257600005</t>
  </si>
  <si>
    <t>Reong, S; Wee, HM; Hsiao, YL</t>
  </si>
  <si>
    <t>Reong, Samuel; Wee, Hui-Ming; Hsiao, Yu-Lin</t>
  </si>
  <si>
    <t>20 Years of Particle Swarm Optimization Strategies for the Vehicle Routing Problem: A Bibliometric Analysis</t>
  </si>
  <si>
    <t>particle swarm optimization; vehicle routing problem; bibliometric analysis; supply chain management; metaheuristics; combinatorial optimization; data mining</t>
  </si>
  <si>
    <t>TIME WINDOWS; DELIVERY; IMPACT; PICKUP; FIELD; PSO</t>
  </si>
  <si>
    <t>This study uses bibliometric analysis to examine the scientific evolution of particle swarm optimization (PSO) for the vehicle routing problem (VRP) over the past 20 years. Analyses were conducted to discover and characterize emerging trends in the research related to these topics and to examine the relationships between key publications. Through queries of the Web of Science and Scopus databases, the metadata for these particle swarm optimization (PSO) and vehicle routing problem (VRP) solution strategies were compared using bibliographic coupling and co-citation analysis using the Bibliometrix R software package, and secondly with VOSViewer. The bibliometric study's purpose was to identify the most relevant thematic clusters and publications where PSO and VRP research intersect. The findings of this study can guide future VRP research and underscore the importance of developing effective PSO metaheuristics.</t>
  </si>
  <si>
    <t>[Reong, Samuel; Wee, Hui-Ming; Hsiao, Yu-Lin] Chung Yuan Christian Univ, Dept Ind &amp; Syst Engn, Taoyuan 320, Taiwan</t>
  </si>
  <si>
    <t>Chung Yuan Christian University</t>
  </si>
  <si>
    <t>Wee, HM (corresponding author), Chung Yuan Christian Univ, Dept Ind &amp; Syst Engn, Taoyuan 320, Taiwan.</t>
  </si>
  <si>
    <t>weehm@cycu.edu.tw</t>
  </si>
  <si>
    <t>wee, hui ming/0000-0002-2935-9506</t>
  </si>
  <si>
    <t>10.3390/math10193669</t>
  </si>
  <si>
    <t>5G6HI</t>
  </si>
  <si>
    <t>WOS:000867097500001</t>
  </si>
  <si>
    <t>Yu, CC; Wang, CS</t>
  </si>
  <si>
    <t>Yu, Chien-Chih; Wang, Chen-Shu</t>
  </si>
  <si>
    <t>A hybrid mining approach for optimizing returns policies in e-retailing</t>
  </si>
  <si>
    <t>returns policies; e-retailing; hybrid data mining approach</t>
  </si>
  <si>
    <t>DEMAND UNCERTAINTY; PRODUCT; CHANNEL; DESIGN</t>
  </si>
  <si>
    <t>The returns policy has long been considered as a critical yet controversial issue in the development of supply chain and marketing strategies. Up-stream manufacturers or distributors may offer returns policies to the down-stream retailers or customers to increase order and sales quantities. There are trade-offs between returns policies and customer satisfaction, product sales, and operating costs. The goal of this paper is to use a hybrid mining approach for analyzing return patterns from both the customer and product perspectives, classifying customers and products into levels, and then for adopting proper returns policies and marketing strategies to these customer classes for sustaining better profits. A multi-dimensional framework and an associated model for the hybrid mining approach are provided with a demonstrated example for validation. It is expected that by adopting suitable returns policies, benefits can be created and shared by both e-retailers and customers. (C) 2007 Elsevier Ltd. All rights reserved.</t>
  </si>
  <si>
    <t>[Yu, Chien-Chih; Wang, Chen-Shu] Natl Chengchi Univ, Dept Management Informat Syst, Taipei 116, Taiwan</t>
  </si>
  <si>
    <t>National Chengchi University</t>
  </si>
  <si>
    <t>Yu, CC (corresponding author), Natl Chengchi Univ, Dept Management Informat Syst, 64 Sect 2,Chihnan Rd, Taipei 116, Taiwan.</t>
  </si>
  <si>
    <t>ccyu@nccu.edu.tw; 93356506@nccu.edu.tw</t>
  </si>
  <si>
    <t>Yu, Chien-Chih/0000-0001-6596-2938</t>
  </si>
  <si>
    <t>10.1016/j.eswa.2007.08.099</t>
  </si>
  <si>
    <t>351OB</t>
  </si>
  <si>
    <t>WOS:000259432600008</t>
  </si>
  <si>
    <t>Foreman, AM; Friedel, JE; Ludwig, TD; Ezerins, ME; Açikgöz, Y; Bergman, SM; Wirth, O</t>
  </si>
  <si>
    <t>Foreman, Anne M.; Friedel, Jonathan E.; Ludwig, Timothy D.; Ezerins, Maira E.; Acikgoz, Yalcin; Bergman, Shawn M.; Wirth, Oliver</t>
  </si>
  <si>
    <t>Establishment-level occupational safety analytics: Challenges and opportunities</t>
  </si>
  <si>
    <t>INTERNATIONAL JOURNAL OF INDUSTRIAL ERGONOMICS</t>
  </si>
  <si>
    <t>Safety analytics; Big data; Occupational safety; Injuries; Near misses; Data culture</t>
  </si>
  <si>
    <t>DATA MINING TECHNIQUES; BIG-DATA; PREDICTIVE ANALYTICS; HEALTH; ACCIDENTS; INDUSTRY; CLIMATE; INDICATORS; FRAMEWORK; INJURIES</t>
  </si>
  <si>
    <t>In occupational safety and health, big data and analytics show promise for the prediction and prevention of workplace injuries. Advances in computing power and analytical methods have allowed companies to reveal insights from the big data that previously would have gone undetected. Despite the promise, occupational safety has lagged behind other industries, such as supply chain management and healthcare, in terms of exploiting the potential of analytics and much of the data collected by organizations goes unanalyzed. The purpose of the present paper is to argue for the broader application of establishment-level safety analytics. This is accomplished by defining the terms, describing previous research, outlining the necessary components required, and describing knowledge gaps and future directions. The knowledge gaps and future directions for research in establishment-level analytics are categorized into readiness for analytics, analytics methods, technology integration, data culture, and impact of analytics.</t>
  </si>
  <si>
    <t>[Foreman, Anne M.; Friedel, Jonathan E.; Wirth, Oliver] NIOSH, Washington, DC 20024 USA; [Friedel, Jonathan E.] Georgia Southern Univ, Statesboro, GA USA; [Ludwig, Timothy D.; Acikgoz, Yalcin; Bergman, Shawn M.] Appalachian State Univ, Boone, NC USA; [Ezerins, Maira E.] Univ Arkansas, Fayetteville, AR USA</t>
  </si>
  <si>
    <t>Centers for Disease Control &amp; Prevention - USA; National Institute for Occupational Safety &amp; Health (NIOSH); University System of Georgia; Georgia Southern University; University of North Carolina; Appalachian State University; University of Arkansas System; University of Arkansas Fayetteville</t>
  </si>
  <si>
    <t>Foreman, AM (corresponding author), NIOSH, Washington, DC 20024 USA.</t>
  </si>
  <si>
    <t>vpc3@cdc.gov</t>
  </si>
  <si>
    <t>0169-8141</t>
  </si>
  <si>
    <t>1872-8219</t>
  </si>
  <si>
    <t>INT J IND ERGONOM</t>
  </si>
  <si>
    <t>Int. J. Ind. Ergon.</t>
  </si>
  <si>
    <t>10.1016/j.ergon.2023.103428</t>
  </si>
  <si>
    <t>Engineering, Industrial; Ergonomics</t>
  </si>
  <si>
    <t>H0KP3</t>
  </si>
  <si>
    <t>WOS:000992941200001</t>
  </si>
  <si>
    <t>Weiss, SM; Dhurandhar, A; Baseman, RJ; White, BF; Logan, R; Winslow, JK; Poindexter, D</t>
  </si>
  <si>
    <t>Weiss, Sholom M.; Dhurandhar, Amit; Baseman, Robert J.; White, Brian F.; Logan, Ronald; Winslow, Jonathan K.; Poindexter, Daniel</t>
  </si>
  <si>
    <t>Continuous prediction of manufacturing performance throughout the production lifecycle</t>
  </si>
  <si>
    <t>Manufacturing; Data mining; Prediction</t>
  </si>
  <si>
    <t>YIELD; INTELLIGENCE</t>
  </si>
  <si>
    <t>We describe methods for continual prediction of manufactured product quality prior to final testing. In our most expansive modeling approach, an estimated final characteristic of a product is updated after each manufacturing operation. Our initial application is for the manufacture of microprocessors, and we predict final microprocessor speed. Using these predictions, early corrective manufacturing actions may be taken to increase the speed of expected slow wafers (a collection of microprocessors) or reduce the speed of fast wafers. Such predictions may also be used to initiate corrective supply chain management actions. Developing statistical learning models for this task has many complicating factors: (a) a temporally unstable population (b) missing data that is a result of sparsely sampled measurements and (c) relatively few available measurements prior to corrective action opportunities. In a real manufacturing pilot application, our automated models selected 125 fast wafers in real-time. As predicted, those wafers were significantly faster than average. During manufacture, downstream corrective processing restored 25 nominally unacceptable wafers to normal operation.</t>
  </si>
  <si>
    <t>[Weiss, Sholom M.; Dhurandhar, Amit; Baseman, Robert J.; White, Brian F.] IBM Res, Yorktown Hts, NY 10598 USA; [Logan, Ronald; Winslow, Jonathan K.; Poindexter, Daniel] IBM Microelect, Fishkill, NY 12533 USA</t>
  </si>
  <si>
    <t>International Business Machines (IBM); International Business Machines (IBM)</t>
  </si>
  <si>
    <t>Weiss, SM (corresponding author), IBM Res, Yorktown Hts, NY 10598 USA.</t>
  </si>
  <si>
    <t>sholom@data-miner.com; adhuran@us.ibm.com; baseman@us.ibm.com; bfwhite@us.ibm.com; llogan@us.ibm.com; jkwinslo@us.ibm.com; poindext@us.ibm.com</t>
  </si>
  <si>
    <t>10.1007/s10845-014-0911-x</t>
  </si>
  <si>
    <t>DQ5FQ</t>
  </si>
  <si>
    <t>WOS:000379230800004</t>
  </si>
  <si>
    <t>Moran, MA; Ferrer-González, FX; Fu, H; Nowinski, B; Olofsson, M; Powers, MA; Schreier, JE; Schroer, WF; Smith, CB; Uchimiya, M</t>
  </si>
  <si>
    <t>Moran, Mary Ann; Ferrer-Gonzalez, Frank X.; Fu, He; Nowinski, Brent; Olofsson, Malin; Powers, McKenzie A.; Schreier, Jeremy E.; Schroer, William F.; Smith, Christa B.; Uchimiya, Mario</t>
  </si>
  <si>
    <t>The Ocean's labile DOC supply chain</t>
  </si>
  <si>
    <t>LIMNOLOGY AND OCEANOGRAPHY</t>
  </si>
  <si>
    <t>DISSOLVED ORGANIC-CARBON; BACTERIAL-GROWTH EFFICIENCY; PHYTOPLANKTON CELL-LYSIS; COPEPOD FECAL PELLETS; MARINE-PHYTOPLANKTON; MICROBIAL LOOP; HETEROTROPHIC BACTERIA; ACARTIA-TONSA; MATTER; VIRUSES</t>
  </si>
  <si>
    <t>Microbes of the surface ocean release, consume, and exchange labile metabolites at time scales of minutes to days. The details of this important step in the global carbon cycle remain poorly resolved, largely due to the methodological challenges of studying a diverse pool of metabolites that are produced and consumed nearly simultaneously. In this perspective, a new compilation of published data builds on previous studies to obtain an updated estimate of the fraction of marine net primary production that passes through the labile dissolved organic carbon (DOC) pool. In agreement with previous studies, our data mining and modeling approaches hypothesize that about half of ocean net primary production is processed through the labile DOC pool. The fractional contributions from three major sources are estimated at 0.4 for living phytoplankton, 0.4 for dead and dying phytoplankton, and 0.2 for heterotrophic microbes and mesoplankton.</t>
  </si>
  <si>
    <t>[Moran, Mary Ann; Ferrer-Gonzalez, Frank X.; Fu, He; Nowinski, Brent; Olofsson, Malin; Powers, McKenzie A.; Schreier, Jeremy E.; Schroer, William F.; Smith, Christa B.; Uchimiya, Mario] Univ Georgia, Dept Marine Sci, Athens, GA 30602 USA; [Olofsson, Malin] Swedish Univ Agr Sci, Dept Aquat Sci &amp; Assessment, Uppsala, Sweden; [Uchimiya, Mario] Univ Georgia, Complex Carbohydrate Res Ctr, Athens, GA 30602 USA</t>
  </si>
  <si>
    <t>University System of Georgia; University of Georgia; Swedish University of Agricultural Sciences; University System of Georgia; University of Georgia</t>
  </si>
  <si>
    <t>Moran, MA (corresponding author), Univ Georgia, Dept Marine Sci, Athens, GA 30602 USA.</t>
  </si>
  <si>
    <t>mmoran@uga.edu</t>
  </si>
  <si>
    <t>Uchimiya, Mario/AID-7666-2022; Moran, Mary Ann/B-6939-2012</t>
  </si>
  <si>
    <t>Uchimiya, Mario/0000-0003-4802-1428; Moran, Mary Ann/0000-0002-0702-8167; Ferrer Gonzalez, Frank/0000-0003-0570-5168; Schreier, Jeremy/0000-0001-8864-5599</t>
  </si>
  <si>
    <t>Simons Foundation [542391]; NSF [OCE-2019589, OCE-1948104, GRFP-1445117, GRFP-1842396]; Swedish Research Council [2018-06571]; JSPS; Swedish Research Council [2018-06571] Funding Source: Swedish Research Council</t>
  </si>
  <si>
    <t>Simons Foundation; NSF(National Science Foundation (NSF)); Swedish Research Council(Swedish Research Council); JSPS(Ministry of Education, Culture, Sports, Science and Technology, Japan (MEXT)Japan Society for the Promotion of Science); Swedish Research Council(Swedish Research CouncilSwedish Research Council for Health Working Life &amp; Welfare (Forte)Swedish Research Council Formas)</t>
  </si>
  <si>
    <t>This work was supported by The Simons Foundation (grant 542391 to M.A.M.) within the Principles of Microbial Ecosystems (PriME) Collaborative, NSF (OCE-2019589 and OCE-1948104 to M.A.M., GRFP-1445117 to J.E.S., GRFP-1842396 to M.A.P.), the Swedish Research Council (2018-06571 to M.O.), and the JSPS (Research Fellowship for Young Scientists and Grant-in-Aid for JSPS Fellows to M.U.). This is NSF Center for Chemical Currencies of a Microbial Planet (C-CoMP) Publication #003.</t>
  </si>
  <si>
    <t>0024-3590</t>
  </si>
  <si>
    <t>1939-5590</t>
  </si>
  <si>
    <t>LIMNOL OCEANOGR</t>
  </si>
  <si>
    <t>Limnol. Oceanogr.</t>
  </si>
  <si>
    <t>10.1002/lno.12053</t>
  </si>
  <si>
    <t>Limnology; Oceanography</t>
  </si>
  <si>
    <t>Marine &amp; Freshwater Biology; Oceanography</t>
  </si>
  <si>
    <t>1F4UH</t>
  </si>
  <si>
    <t>WOS:000764985300001</t>
  </si>
  <si>
    <t>Yang, Y; Zhu, LD</t>
  </si>
  <si>
    <t>Yang, Ying; Zhu, Lidong</t>
  </si>
  <si>
    <t>A high-efficient information extraction mechanism based on complex convolution for wireless signal recognition</t>
  </si>
  <si>
    <t>ELECTRONICS LETTERS</t>
  </si>
  <si>
    <t>cognitive radio; feature extraction; neural net architecture; radiofrequency identification</t>
  </si>
  <si>
    <t>In the integration of terrestrial and non-terrestrial networks, massive access to wireless signals poses a significant threat to communication systems. However, existing signal recognition models cannot accurately identify signals with low signal-to-noise ratios (SNRs). To alleviate this issue, this paper proposes a high-efficient information extraction mechanism based on complex convolution. Specifically, complex convolution and complex max-pooling operations have been integrated into a real-value network to efficiently acquire anti-noise information. The extracted features contain both in-phase and quadrature (IQ) structure information and complex relationship information. Experiments on the public RML2016.04C dataset indicated that the model exhibits rapid convergence and superior noise-robustness under low SNRs. When SNR =0 dB, the model outperforms the suboptimal model by 4.05%. Furthermore, our model demonstrates excellent generalization performance at high SNRs.</t>
  </si>
  <si>
    <t>[Yang, Ying; Zhu, Lidong] Univ Elect Sci &amp; Technol China, Natl Key Lab Wireless Commun, Chengdu, Peoples R China</t>
  </si>
  <si>
    <t>University of Electronic Science &amp; Technology of China</t>
  </si>
  <si>
    <t>Yang, Y (corresponding author), Univ Elect Sci &amp; Technol China, Natl Key Lab Wireless Commun, Chengdu, Peoples R China.</t>
  </si>
  <si>
    <t>yangying914@163.com</t>
  </si>
  <si>
    <t>National Natural Science Foundation of China [61871422]; Natural Science Foundation of Sichuan Province [2023NSFSC1422]; Central Universities of Southwest Minzu University [ZYN2022032]; State Scholarship Fund of the China Scholarship Council [202008510081]</t>
  </si>
  <si>
    <t>National Natural Science Foundation of China(National Natural Science Foundation of China (NSFC)); Natural Science Foundation of Sichuan Province; Central Universities of Southwest Minzu University; State Scholarship Fund of the China Scholarship Council(China Scholarship Council)</t>
  </si>
  <si>
    <t>Acknowledgments This work is fully supported by National Natural Science Foundation of China (61871422), Natural Science Foundation of Sichuan Province (2023NSFSC1422), Central Universities of Southwest Minzu University (ZYN2022032), and the State Scholarship Fund of the China Scholarship Council (202008510081).</t>
  </si>
  <si>
    <t>0013-5194</t>
  </si>
  <si>
    <t>1350-911X</t>
  </si>
  <si>
    <t>ELECTRON LETT</t>
  </si>
  <si>
    <t>Electron. Lett.</t>
  </si>
  <si>
    <t>e12902</t>
  </si>
  <si>
    <t>10.1049/ell2.12902</t>
  </si>
  <si>
    <t>N4LC5</t>
  </si>
  <si>
    <t>WOS:001036736600001</t>
  </si>
  <si>
    <t>Kubik, C; Knauer, SM; Groche, P</t>
  </si>
  <si>
    <t>Kubik, Christian; Knauer, Sebastian Michael; Groche, Peter</t>
  </si>
  <si>
    <t>Smart sheet metal forming: importance of data acquisition, preprocessing and transformation on the performance of a multiclass support vector machine for predicting wear states during blanking</t>
  </si>
  <si>
    <t>Resilient manufacturing; Machine learning in blanking; Data driven process optimization</t>
  </si>
  <si>
    <t>TOOL WEAR; FEATURE-EXTRACTION; FAULT-DIAGNOSIS; SELECTION; SIGNALS; DESIGN; SUPERVISION; MAINTENANCE; CHALLENGES; PARAMETERS</t>
  </si>
  <si>
    <t>In consequence of high cost pressure and the progressive globalization of markets, blanking, which represents the most economical process in the value chain of manufacturing companies, is particularly dependent on reducing machine downtimes and increasing the degree of utilization. For this purpose, it is necessary to be able to make a real-time prediction about the current and future process conditions even at high production rates. Therefore, this study investigates the influence of data acquisition, preprocessing and transformation on the performance of a multiclass support vector machine to classify abrasive wear states during blanking based on force signals. The performance of the model was quantitatively evaluated based on the model accuracy and the separability of the classes. As a result, it was shown, that the deviation of time series represents the key parameter for the resulting performance of the classification model and strongly depends on the sensor type and position, the preprocessing procedure as well as the feature extraction and selection. Furthermore, it is shown that the consideration of domain knowledge in the phases of data acquisition, preprocessing and transformation improves the performance of the classification model and is essential to successfully implement AI projects. Summarizing the findings of this study, trustworthy data sets play a crucial role for implementing an automated process monitoring as a basis for resilient manufacturing systems.</t>
  </si>
  <si>
    <t>[Kubik, Christian; Knauer, Sebastian Michael; Groche, Peter] Tech Univ Darmstadt, Inst Prod Engn &amp; Forming Machines, Otto Berndt Str 2, D-64287 Darmstadt, Germany</t>
  </si>
  <si>
    <t>Technical University of Darmstadt</t>
  </si>
  <si>
    <t>Kubik, C (corresponding author), Tech Univ Darmstadt, Inst Prod Engn &amp; Forming Machines, Otto Berndt Str 2, D-64287 Darmstadt, Germany.</t>
  </si>
  <si>
    <t>kubik@ptu.tu.darmstadt.de</t>
  </si>
  <si>
    <t>Kubik, Christian/0000-0002-8695-714X</t>
  </si>
  <si>
    <t>Federal Ministry of Economics and Energy -Collaborative Project: Mittelstand Kompentenzzentrum 4.0 Darmstadt [01MF15005A]</t>
  </si>
  <si>
    <t>Federal Ministry of Economics and Energy -Collaborative Project: Mittelstand Kompentenzzentrum 4.0 Darmstadt</t>
  </si>
  <si>
    <t>Open Access funding enabled and organized by Projekt DEAL. The research leading to these results received funding from Federal Ministry of Economics and Energy -Collaborative Project: Mittelstand Kompentenzzentrum 4.0 Darmstadt under Grant Agreement No. 01MF15005A.</t>
  </si>
  <si>
    <t>10.1007/s10845-021-01789-w</t>
  </si>
  <si>
    <t>YC1KT</t>
  </si>
  <si>
    <t>WOS:000658085400001</t>
  </si>
  <si>
    <t>Perera, SS; Bell, MGH; Piraveenan, M; Kasthurirathna, D; Parhi, M</t>
  </si>
  <si>
    <t>Perera, Supun S.; Bell, Michael G. H.; Piraveenan, Mahendrarajah; Kasthurirathna, Dharshana; Parhi, Mamata</t>
  </si>
  <si>
    <t>Topological Structure of Manufacturing Industry Supply Chain Networks</t>
  </si>
  <si>
    <t>COMPLEXITY</t>
  </si>
  <si>
    <t>COMPLEX ADAPTIVE SYSTEMS; RESILIENCE</t>
  </si>
  <si>
    <t>Empirical analyses of supply chain networks (SCNs) in extant literature have been rare due to scarcity of data. As a result, theoretical research have relied on arbitrary growth models to generate network topologies supposedly representative of realworld SCNs. Our study is aimed at filling the above gap by systematically analysing a set of manufacturing sector SCNs to establish their topological characteristics. In particular, we compare the differences in topologies of undirected contractual relationships (UCR) and directed material flow (DMF) SCNs. The DMF SCNs are different from the typical UCR SCNs since they are characterised by a strictly tiered and an acyclic structure which does not permit clustering. Additionally, we investigate the SCNs for any self-organized topological features. We find that most SCNs indicate disassortative mixing and power law distribution in terms of interfirm connections. Furthermore, compared to randomised ensembles, self-organized topological features were evident in some SCNs in the form of either overrepresented regimes of moderate betweenness firms or underrepresented regimes of low betweenness firms. Finally, we introduce a simple and intuitive method for estimating the robustness of DMF SCNs, considering the loss of demand due to firm disruptions. Our work could be used as a benchmark for any future analyses of SCNs.</t>
  </si>
  <si>
    <t>[Perera, Supun S.; Bell, Michael G. H.] Univ Sydney, Sch Business, Inst Transport &amp; Logist Studies ITLS, Sydney, NSW, Australia; [Piraveenan, Mahendrarajah] Univ Sydney, Sch Civil Engn, Complex Syst Res Grp CSRG, Sydney, NSW, Australia; [Kasthurirathna, Dharshana] Sri Lanka Inst Informat Technol SLIIT, Fac Comp, Colombes, France; [Parhi, Mamata] Univ Roehampton, Roehampton Business Sch, London, England</t>
  </si>
  <si>
    <t>University of Sydney; University of Sydney; Roehampton University</t>
  </si>
  <si>
    <t>Perera, SS (corresponding author), Univ Sydney, Sch Business, Inst Transport &amp; Logist Studies ITLS, Sydney, NSW, Australia.</t>
  </si>
  <si>
    <t>supun.perera@sydney.edu.au</t>
  </si>
  <si>
    <t>Bell, Michael/0000-0001-8137-065X; perera, supun/0000-0003-4352-7403; Parhi, Mamata/0000-0003-4024-0431</t>
  </si>
  <si>
    <t>Australian Research Council (ARC) [DP140103643]</t>
  </si>
  <si>
    <t>Australian Research Council (ARC)(Australian Research Council)</t>
  </si>
  <si>
    <t>The authors acknowledge the Australian Research Council (ARC) for funding this work under grant DP140103643.</t>
  </si>
  <si>
    <t>1076-2787</t>
  </si>
  <si>
    <t>1099-0526</t>
  </si>
  <si>
    <t>Complexity</t>
  </si>
  <si>
    <t>10.1155/2018/3924361</t>
  </si>
  <si>
    <t>GX0YS</t>
  </si>
  <si>
    <t>WOS:000447439100001</t>
  </si>
  <si>
    <t>Kang, J; Wang, DH</t>
  </si>
  <si>
    <t>Kang, Jie; Wang, Dianhua</t>
  </si>
  <si>
    <t>FOOD SAFETY RISK PREDICTION METHOD BASED ON BRAIN NEURAL NETWORK</t>
  </si>
  <si>
    <t>FRESENIUS ENVIRONMENTAL BULLETIN</t>
  </si>
  <si>
    <t>Neural Network Algorithm; Food Safety; Risk Prediction; HACCP System</t>
  </si>
  <si>
    <t>Food safety exists in various links such as food production, processing, transportation and sales, which affects the stable development of society. It has become an urgent problem for all countries in the world as how to make effective use of various safety inspection techniques, optimize the food processing and storage safety, predict potential food safety factors, and accurately assess and predict food safety risks. This study proposes a food safety risk prediction method based on brain neural network algorithm. Firstly, the key control points and index factors in the food safety supply chain are analyzed from the perspective of the food supply chain. Then the SOM self-organizing map and the K-means clustering method are used to select the data sets with high aggregation and low coupling to be used as training samples of neural network algorithm. Finally, three kinds of data are verified by BP neural network algorithm. The experimental results show that in food safety risk assessment and prediction, the data processed by two stages have better mean square error convergence, which increases the accuracy of neural network algorithm and improves the prediction effect. It provides a new prediction method for food safety risk prediction, which is of important practical significance.</t>
  </si>
  <si>
    <t>[Kang, Jie; Wang, Dianhua] Tianjin Univ Sci &amp; Technol, Econ &amp; Management Coll, Safety Strategy &amp; Management Res Ctr, Tianjin 300222, Peoples R China</t>
  </si>
  <si>
    <t>Tianjin University Science &amp; Technology</t>
  </si>
  <si>
    <t>Wang, DH (corresponding author), Tianjin Univ Sci &amp; Technol, Econ &amp; Management Coll, Safety Strategy &amp; Management Res Ctr, Tianjin 300222, Peoples R China.</t>
  </si>
  <si>
    <t>wangdianhua8899@aliyun.com</t>
  </si>
  <si>
    <t>PARLAR SCIENTIFIC PUBLICATIONS (P S P)</t>
  </si>
  <si>
    <t>FREISING</t>
  </si>
  <si>
    <t>ANGERSTR. 12, 85354 FREISING, GERMANY</t>
  </si>
  <si>
    <t>1018-4619</t>
  </si>
  <si>
    <t>1610-2304</t>
  </si>
  <si>
    <t>FRESEN ENVIRON BULL</t>
  </si>
  <si>
    <t>Fresenius Environ. Bull.</t>
  </si>
  <si>
    <t>LR6ZB</t>
  </si>
  <si>
    <t>WOS:000535839500059</t>
  </si>
  <si>
    <t>Xuan, Q; Li, YJ; Wu, TJ</t>
  </si>
  <si>
    <t>Xuan, Qi; Li, Yanjun; Wu, Tie-Jun</t>
  </si>
  <si>
    <t>A local-world network model based on inter-node correlation degree</t>
  </si>
  <si>
    <t>complex network; local-world model; correlation degree; self-similarity; supply chain system</t>
  </si>
  <si>
    <t>SUPPLY NETWORKS; COMPLEX; DYNAMICS</t>
  </si>
  <si>
    <t>A new local-world model is proposed in this paper to improve and extend the descriptive ability of the first geometrical local-world network model, i.e., the Gardenes-Moreno (GM) model. A concept of correlation degree between nodes is introduced into the proposed model to build a local world of each node in a network. In consideration of the facts that each node has only a limited ability of information recognition and processing, and the improvement speed of this ability is normally far slower than the growth speed of a network, the local-world size is set limited and unchanged while the network grows. A series of theoretical analysis and numerical simulation are conducted in this paper, the results show that the correlation degrees follow a power-law distribution, and the proposed model can describe the small-world, scale-free, self-similarity and clustering properties for more comprehensive kinds of complex networks than the GM model and other existing local-world network models. The modelling and analysis of a supply chain system is discussed in this paper as a real-world example of our model. (c) 2006 Elsevier B.V. All rights reserved.</t>
  </si>
  <si>
    <t>Zhejiang Univ, Natl Lab Ind Control Technol, Hangzhou 310027, Peoples R China</t>
  </si>
  <si>
    <t>Li, YJ (corresponding author), Zhejiang Univ, Natl Lab Ind Control Technol, Hangzhou 310027, Peoples R China.</t>
  </si>
  <si>
    <t>yjlee@iipc.zju.edu.cn</t>
  </si>
  <si>
    <t>10.1016/j.physa.2006.11.070</t>
  </si>
  <si>
    <t>154TQ</t>
  </si>
  <si>
    <t>WOS:000245531100039</t>
  </si>
  <si>
    <t>Almuflih, AS; Sharma, J; Tyagi, M; Bhardwaj, A; Qureshi, MRNM; Khan, N</t>
  </si>
  <si>
    <t>Almuflih, Ali Saeed; Sharma, Janpriy; Tyagi, Mohit; Bhardwaj, Arvind; Qureshi, Mohamed Rafik Noor Mohamed; Khan, Nawaf</t>
  </si>
  <si>
    <t>Leveraging the Dynamics of Food Supply Chains towards Avenues of Sustainability</t>
  </si>
  <si>
    <t>food supply chain; sustainable food supply chains; Pythagorean fuzzy sets</t>
  </si>
  <si>
    <t>CRITERIA DECISION-MAKING; MANAGEMENT-PRACTICES; PERFORMANCE; DESIGN; FUTURE; PERSPECTIVES; CONSUMPTION; VEGETABLES; EXTENSION; ADOPTION</t>
  </si>
  <si>
    <t>Increased globalization and the surging count of the population across the world indicate the need for more sustainable supply chains, especially those allied with the food industry. Nowadays, the demand for processed food items is increasing and establishing new markets globally. The sequence of activities starting from the farm and ending at the fork determines the sustainability within processed food supply chain (FSC) dynamics. Emphasizing sustainability-based performance systems in the processed FSC marks an effective and efficient utilization of resources, strengthening the dimension of economic, environmental, and societal benefits. The presented work aimed to review the avenues for adopting sustainability in the actions of Indian processed FSCs. For the same relation hierarchical models, clustering the various key enactors of sustainability in processed FSCs, every functional tier was developed. This relational, hierarchical framework was contemplated by implying the Pythagorean fuzzy set. The proposed methodology handled the mutual interrelation between the enactors and the uncertainty associated with human judgments, establishing the sequence of sustainability enactors. Outcomes of the presented study have implications in developing the framework, policy formulation, decisional attributes, facilitating field practitioners in streamlining, and embedding sustainability within the actions of processed FSCs.</t>
  </si>
  <si>
    <t>[Almuflih, Ali Saeed; Qureshi, Mohamed Rafik Noor Mohamed] King Khalid Univ, Ind Engn Dept, Abha 62529, Saudi Arabia; [Sharma, Janpriy; Tyagi, Mohit; Bhardwaj, Arvind] Dr BR Ambedkar Natl Inst Technol, Dept Ind &amp; Prod Engn, Jalandhar 144011, Punjab, India; [Khan, Nawaf] Univ Jeddah, Dept Supply Chain Management, Alfiasaliyah St, Jeddah 21589, Saudi Arabia</t>
  </si>
  <si>
    <t>King Khalid University; National Institute of Technology (NIT System); Dr B R Ambedkar National Institute of Technology Jalandhar; University of Jeddah</t>
  </si>
  <si>
    <t>Tyagi, M (corresponding author), Dr BR Ambedkar Natl Inst Technol, Dept Ind &amp; Prod Engn, Jalandhar 144011, Punjab, India.</t>
  </si>
  <si>
    <t>asalmuflih@kku.edu.sa; janpriys.ip.18@nitj.ac.in; mohitmied@gmail.com; bhardwaja@nitj.ac.in; mrnoor@kku.edu.sa; nikan@uj.edu.sa</t>
  </si>
  <si>
    <t>Khan, Nawaf Ibrahim/GXZ-6861-2022; SHARMA, JANPRIY/AAI-9878-2021; Qureshi, Prof. (Dr) Mohamed Rafik Noor Mohamed/N-1745-2019; Tyagi, Dr Mohit/V-3660-2019</t>
  </si>
  <si>
    <t>Khan, Nawaf Ibrahim/0000-0002-0638-1110; SHARMA, JANPRIY/0000-0002-9826-1203; Qureshi, Prof. (Dr) Mohamed Rafik Noor Mohamed/0000-0002-9508-8724; Tyagi, Dr Mohit/0000-0002-7995-6990; Almuflih, Ali/0000-0001-5359-1519</t>
  </si>
  <si>
    <t>Deanship of Scientific Research, King Khalid University, Kingdom of Saudi Arabia [R.G.P.2/178/43]</t>
  </si>
  <si>
    <t>Deanship of Scientific Research, King Khalid University, Kingdom of Saudi Arabia</t>
  </si>
  <si>
    <t>This research was funded by the Deanship of Scientific Research, King Khalid University, Kingdom of Saudi Arabia, and the grant number is R.G.P.2/178/43.</t>
  </si>
  <si>
    <t>10.3390/su14126958</t>
  </si>
  <si>
    <t>2L1VL</t>
  </si>
  <si>
    <t>WOS:000816809600001</t>
  </si>
  <si>
    <t>Fiore, MC; Marchese, A; Mauceri, A; Digangi, I; Scialabba, A</t>
  </si>
  <si>
    <t>Fiore, Maria Carola; Marchese, Annalisa; Mauceri, Antonio; Digangi, Ignazio; Scialabba, Anna</t>
  </si>
  <si>
    <t>Diversity Assessment and DNA-Based Fingerprinting of Sicilian Hazelnut (Corylus avellana L.) Germplasm</t>
  </si>
  <si>
    <t>PLANTS-BASEL</t>
  </si>
  <si>
    <t>Corylus avellana L; germplasm conservation; genetic diversity; microsatellites; DNA fingerprint</t>
  </si>
  <si>
    <t>GENETIC DIVERSITY; CULTIVAR IDENTIFICATION; MICROSATELLITE MARKERS; LANDRACES; SOFTWARE; TRAITS; LOCI; WILD</t>
  </si>
  <si>
    <t>The characterization of plant genetic resources is a precondition for genetic improvement and germplasm management. The increasing use of molecular markers for DNA-based genotype signature is crucial for variety identification and traceability in the food supply chain. We collected 75 Sicilian hazelnut accessions from private and public field collections, including widely grown varieties from the Nebrodi Mountains in north east Sicily (Italy). The germplasm was fingerprinted through nine standardized microsatellites (SSR) for hazelnut identification to evaluate the genetic diversity of the collected accessions, validating SSR discrimination power. We identified cases of homonymy and synonymy among acquisitions and the unique profiles. The genetic relationships illustrated by hierarchical clustering, structure, and discriminant analyses revealed a clear distinction between local and commercial varieties. The comparative genetic analysis also showed that the Nebrodi genotypes are significantly different from the Northern Italian, Iberian, and Turkish genotypes. These results highlight the need and urgency to preserve Nebrodi germplasm as a useful and valuable source for traits of interest employable for breeding. Our study demonstrates the usefulness of molecular marker analysis to select a reference germplasm collection of Sicilian hazelnut varieties and to implement certified plants' production in the supply chain.</t>
  </si>
  <si>
    <t>[Fiore, Maria Carola] Res Ctr Plant Protect &amp; Certificat, Council Agr Res &amp; Economics, SS 113 km 245,500, I-90011 Bagheria, Italy; [Marchese, Annalisa] Univ Palermo, Dept Agr Food &amp; Forest Sci, Viale Sci Ed 4, I-90128 Palermo, Italy; [Mauceri, Antonio] Univ Mediterranea Reggio Calabria, Dept Agr, Loc Feo Vito Snc, I-89065 Reggio Di Calabria, Italy; [Digangi, Ignazio] Living Plants Germplasm Bank Nebrodi, Contrada Pirato, I-98060 Ucria, Italy; [Scialabba, Anna] Univ Palermo, Dept Biol Chem &amp; Pharmaceut Sci &amp; Technol STEBICE, Via Archirafi 38, I-90123 Palermo, Italy</t>
  </si>
  <si>
    <t>University of Palermo; Universita Mediterranea di Reggio Calabria; University of Palermo</t>
  </si>
  <si>
    <t>Fiore, MC (corresponding author), Res Ctr Plant Protect &amp; Certificat, Council Agr Res &amp; Economics, SS 113 km 245,500, I-90011 Bagheria, Italy.</t>
  </si>
  <si>
    <t>mariacarola.fiore@crea.gov.it; annalisa.marchese@unipa.it; antonio.mauceri87@unirc.it; ignazio.digangi62@gmail.com; anna.scialabba@unipa.it</t>
  </si>
  <si>
    <t>Fiore, Maria Carola/AAH-1558-2021; marchese, annalisa/V-5245-2019; Marchese, Annalisa/K-4128-2016; Mauceri, Antonio/AHE-1076-2022</t>
  </si>
  <si>
    <t>marchese, annalisa/0000-0002-6816-6184; Marchese, Annalisa/0000-0002-6816-6184; Mauceri, Antonio/0000-0001-8461-9959; Fiore, Maria Carola/0000-0001-9710-9499</t>
  </si>
  <si>
    <t>2223-7747</t>
  </si>
  <si>
    <t>Plants-Basel</t>
  </si>
  <si>
    <t>10.3390/plants11050631</t>
  </si>
  <si>
    <t>Plant Sciences</t>
  </si>
  <si>
    <t>ZT4CC</t>
  </si>
  <si>
    <t>WOS:000769105100001</t>
  </si>
  <si>
    <t>Bargoni, A; Bertoldi, B; Giachino, C; Santoro, G</t>
  </si>
  <si>
    <t>Bargoni, Augusto; Bertoldi, Bernardo; Giachino, Chiara; Santoro, Gabriele</t>
  </si>
  <si>
    <t>Competitive strategies in the agri-food industry in Italy during the COVID-19 pandemic: an application of K-means cluster analysis</t>
  </si>
  <si>
    <t>Cluster analysis; Agri-food industry; Competitive strategy; COVID-19</t>
  </si>
  <si>
    <t>MARKET POWER; INTEGRATION; INNOVATION; DESIGNS</t>
  </si>
  <si>
    <t>Purpose This paper aims at understanding how companies in the agri-food are reconfiguring their competitive strategies to face the coronavirus disease 2019 (COVID-19) pandemic. Literature has focused mainly on the effect of the pandemic on the supply chain or in its value chain but little has been said on the competitive strategies adopted to overcome the challenges posed by COVID-19 pandemic. Design/methodology/approach The study was conducted on Italian companies operating in the agri-food industry from May to September 2020, following a mixed method approach. First, a focus group with experts in competitive strategy and agri-food industry has been organized to identify the most important challenges that companies are facing. Second, through a structured questionnaire, data from 123 companies operating in the agri-food industry were gathered and analyzed with K-means clustering method. Findings Four clusters of companies were identified, each implementing different strategies to face the COVID-19 pandemic: the cost fanatics, the brand focused, the sales centered and the strategists. Furthermore, it was possible to identify new trends in competitive strategies to increase the added value that the Italian agri-food industry can provide to the customer. Originality/value The paper answers to the need for an investigation of the competitive strategies that agri-food companies have put in place to face the COVID-19 pandemic; moreover, it provides insights on how companies are adapting themselves to this rapidly changing environment. From a managerial point of view, it gives practitioners and managers useful insights on the different strategies that companies are undertaking to maintain a competitive advantage.</t>
  </si>
  <si>
    <t>[Bargoni, Augusto; Bertoldi, Bernardo; Giachino, Chiara; Santoro, Gabriele] Univ Torino, Dipartimento Management, Turin, Italy</t>
  </si>
  <si>
    <t>University of Turin</t>
  </si>
  <si>
    <t>Bargoni, A (corresponding author), Univ Torino, Dipartimento Management, Turin, Italy.</t>
  </si>
  <si>
    <t>augusto.bargoni@unito.it</t>
  </si>
  <si>
    <t>Bargoni, Augusto/0000-0002-1437-2994</t>
  </si>
  <si>
    <t>10.1108/BFJ-07-2021-0738</t>
  </si>
  <si>
    <t>5V8CW</t>
  </si>
  <si>
    <t>WOS:000763380300001</t>
  </si>
  <si>
    <t>Matrix-based hierarchical clustering for developing product architecture</t>
  </si>
  <si>
    <t>CONCURRENT ENGINEERING-RESEARCH AND APPLICATIONS</t>
  </si>
  <si>
    <t>design structure matrix; product architecture; cluster analysis; modular design; product variety</t>
  </si>
  <si>
    <t>DESIGN STRUCTURE MATRIX; PLATFORM DESIGN; IMPACT</t>
  </si>
  <si>
    <t>Product architecture can influence different aspects of product lifecycle including manufacturing, assembly, and supply chain. The purpose of this article is to employ hierarchical cluster analysis for developing product architecture to support product variety. Design structure matrix is used to visualize and analyze product architecture in view of product modules, overlapping modules, and bus components. The proposed method for design structure matrix clustering consists of three phases. The first phase is component filtering to identify components that should be classified as bus components. The second phase is approximate structure formation that preliminarily organizes similar components to form a diagonal matrix. The third phase is partitioning analysis that finalizes the modules' boundary to yield the structured matrix as the solution of design structure matrix clustering. To examine the solution's quality, minimum description length from literature is used. Then, the proposed method is demonstrated via two literature examples and compared with the solutions by the manual and genetic algorithm approaches. One unique advantage of the proposed method is that the user can obtain and inspect the approximate structure in view of the diagonal matrix before finalizing the structured solution (e.g. estimate the number of modules).</t>
  </si>
  <si>
    <t>[Daie, Pooya] Concordia Univ, Dept Mech &amp; Ind Engn, Montreal, PQ, Canada; [Li, Simon] Univ Calgary, Dept Mech &amp; Mfg Engn, 2500 Univ Dr NW, Calgary, AB T2N 1N4, Canada</t>
  </si>
  <si>
    <t>Li, S (corresponding author), Univ Calgary, Dept Mech &amp; Mfg Engn, 2500 Univ Dr NW, Calgary, AB T2N 1N4, Canada.</t>
  </si>
  <si>
    <t>1063-293X</t>
  </si>
  <si>
    <t>1531-2003</t>
  </si>
  <si>
    <t>CONCURRENT ENG-RES A</t>
  </si>
  <si>
    <t>Concurrent Eng.-Res. Appl.</t>
  </si>
  <si>
    <t>10.1177/1063293X16635721</t>
  </si>
  <si>
    <t>DO8LT</t>
  </si>
  <si>
    <t>WOS:000378035600004</t>
  </si>
  <si>
    <t>Xiao, H; Xu, HZ; Wang, XK; Hang, B</t>
  </si>
  <si>
    <t>Xiao, Hong; Xu, Huizhen; Wang, Xiaokun; Hang, Bo</t>
  </si>
  <si>
    <t>Optimization Model and Algorithm of Cigarette Distribution Route Based on Cluster Analysis</t>
  </si>
  <si>
    <t>Cigarette distribution is an important part of the tobacco logistics supply chain, and it will affect the distribution cost, efficiency, and service quality. In this paper?we choose a two-stage optimization method to analyze the cigarette distribution route across the Administrative Region in China. First, we use a K-means clustering algorithm to generate an initial center. Then, we optimize the clustering region with the vehicle load and workload as constraints. Finally, we establish the cigarette distribution route optimization model by taking the lowest distribution cost as the objective function. In the model calculation, we not only select the adaptive genetic algorithm as the solution algorithm but also use the scanning algorithm to generate the initial population ,design adaptive crossover and mutation probability, and also design inverse operator to correct the error, and we wish to improve the solution performance of the algorithm by this way.In addition, taking the cigarette distribution of Chongqing Tobacco Logistics as an example, this paper analyzes the number of vehicles, average loading rate, and total distribution distance and distribution cost, and finds that the cross-regional joint distribution route is better than independent distribution. And we also find that using clustering analysis and the genetic algorithm could reduce the amount of computation and solve the problem effectively.</t>
  </si>
  <si>
    <t>[Xiao, Hong; Xu, Huizhen] Chongqing Jiaotong Univ, Sch Econ &amp; Management, Chongqing 400074, Peoples R China; [Wang, Xiaokun] Dalian Jiaotong Univ, Res Inst Belt &amp; Rd, Dalian 116028, Peoples R China; [Wang, Xiaokun] Dalian Jiaotong Univ, Sch Econ &amp; Management, Dalian 116028, Peoples R China; [Hang, Bo] Hubei Univ Arts &amp; Sci, Comp Sch, Xiangyang 441053, Peoples R China</t>
  </si>
  <si>
    <t>Chongqing Jiaotong University; Dalian Jiaotong University; Dalian Jiaotong University; Hubei University of Arts &amp; Science</t>
  </si>
  <si>
    <t>Wang, XK (corresponding author), Dalian Jiaotong Univ, Res Inst Belt &amp; Rd, Dalian 116028, Peoples R China.;Wang, XK (corresponding author), Dalian Jiaotong Univ, Sch Econ &amp; Management, Dalian 116028, Peoples R China.</t>
  </si>
  <si>
    <t>wxk@djtu.edu.cn</t>
  </si>
  <si>
    <t>WANG, XIAOKUN/GQR-1904-2022; 许, 荟珍/GVR-7768-2022</t>
  </si>
  <si>
    <t>Chongqing Municipal Education Commission of China [21SKGH088]; Science and Technology Development Program of Central Guide to Local Government of China [2019ZYYD043]; Xiangyang Science and Technology Project</t>
  </si>
  <si>
    <t>Chongqing Municipal Education Commission of China; Science and Technology Development Program of Central Guide to Local Government of China; Xiangyang Science and Technology Project</t>
  </si>
  <si>
    <t>The authors wish to thank Chongqing Municipal Education Commission of China for its support of the project (No. 21SKGH088). We wish to thank the Science and Technology Development Program of Central Guide to Local Government of China (No. 2019ZYYD043) and Xiangyang Science and Technology Project.</t>
  </si>
  <si>
    <t>10.1155/2022/3830137</t>
  </si>
  <si>
    <t>1X2MU</t>
  </si>
  <si>
    <t>WOS:000807294700009</t>
  </si>
  <si>
    <t>Zhang, P; Xie, M; Zhu, XY</t>
  </si>
  <si>
    <t>Zhang, Ping; Xie, Min; Zhu, Xiaoyan</t>
  </si>
  <si>
    <t>Exploiting structural similarity in network reliability analysis using graph learning</t>
  </si>
  <si>
    <t>PROCEEDINGS OF THE INSTITUTION OF MECHANICAL ENGINEERS PART O-JOURNAL OF RISK AND RELIABILITY</t>
  </si>
  <si>
    <t>Structural similarity; component clustering; graph learning; spectral graph wavelet; network reliability</t>
  </si>
  <si>
    <t>Considering the large-scale networks that can represent construction of components in a unit, a transportation system, a supply chain, a social network system, and so on, some nodes have similar topological structures and thus play similar roles in the network and system analysis, usually complicating the analysis and resulting in considerable duplicated computations. In this paper, we present a graph learning approach to define and identify structural similarity between the nodes in a network or the components in a network system. Based on the structural similarity, we investigate component clustering at various significance levels that represent different extents of similarity. We further specify a spectral-graph-wavelet based graph learning method to measure the structural similarity and present its application in easing computation load of evaluating system survival signature and system reliability. The numerical examples and the application show the insights of structural similarity and effectiveness of the graph learning approach. Finally, we discuss potential applications of the graph-learning based structural similarity and conclude that the proposed structural similarity, component clustering, and graph learning approach are effective in simplifying the complexity of the network systems and reducing the computational cost for complex network analysis.</t>
  </si>
  <si>
    <t>[Zhang, Ping; Zhu, Xiaoyan] Univ Chinese Acad Sci, Sch Econ &amp; Management, Bldg 7,80 Zhongguancun East Rd, Beijing 100049, Peoples R China; [Zhang, Ping; Xie, Min] City Univ Hong Kong, Dept Syst Engn &amp; Engn Management, Hong Kong, Peoples R China; [Xie, Min] City Univ Hong Kong, Sch Data Sci, Hong Kong, Peoples R China</t>
  </si>
  <si>
    <t>Chinese Academy of Sciences; University of Chinese Academy of Sciences, CAS; City University of Hong Kong; City University of Hong Kong</t>
  </si>
  <si>
    <t>Zhu, XY (corresponding author), Univ Chinese Acad Sci, Sch Econ &amp; Management, Bldg 7,80 Zhongguancun East Rd, Beijing 100049, Peoples R China.</t>
  </si>
  <si>
    <t>xzhu5@ucas.ac.cn</t>
  </si>
  <si>
    <t>zhu, y x/IVU-7833-2023; Xie, Min/IUQ-1412-2023; Xie, Min/A-5552-2011</t>
  </si>
  <si>
    <t>Xie, Min/0000-0002-8500-8364; Xie, Min/0000-0002-8500-8364; Zhang, Ping/0000-0002-1933-9886</t>
  </si>
  <si>
    <t>National Natural Science Foundation of China (NSFC) [71971206, 71571178, 7197118]; NSFC [71731008]; Research Grant Council of Hong Kong [T32-101/15-R]; GRF [CityU 11203519]</t>
  </si>
  <si>
    <t>National Natural Science Foundation of China (NSFC)(National Natural Science Foundation of China (NSFC)); NSFC(National Natural Science Foundation of China (NSFC)); Research Grant Council of Hong Kong(Hong Kong Research Grants Council); GRF</t>
  </si>
  <si>
    <t>The author(s) disclosed receipt of the following financial support for the research, authorship, and/or publication of this article: This work was supported in part by the National Natural Science Foundation of China (NSFC) under grants #71971206, #71571178, #7197118, and NSFC under a key project grant #71731008, and also by Research Grant Council of Hong Kong under a themebased project grant (T32-101/15-R) and a GRF (CityU 11203519).</t>
  </si>
  <si>
    <t>1748-006X</t>
  </si>
  <si>
    <t>1748-0078</t>
  </si>
  <si>
    <t>P I MECH ENG O-J RIS</t>
  </si>
  <si>
    <t>Proc. Inst. Mech. Eng. Part O-J. Risk Reliab.</t>
  </si>
  <si>
    <t>1748006X211009329</t>
  </si>
  <si>
    <t>10.1177/1748006X211009329</t>
  </si>
  <si>
    <t>Engineering, Multidisciplinary; Engineering, Industrial; Operations Research &amp; Management Science</t>
  </si>
  <si>
    <t>WF5QJ</t>
  </si>
  <si>
    <t>WOS:000641115800001</t>
  </si>
  <si>
    <t>Joubert, JW; Meintjes, S</t>
  </si>
  <si>
    <t>Joubert, Johan W.; Meintjes, Sumarie</t>
  </si>
  <si>
    <t>Computational considerations in building inter-firm networks</t>
  </si>
  <si>
    <t>TRANSPORTATION</t>
  </si>
  <si>
    <t>Social network analysis; Clustering; Freight; Complex network</t>
  </si>
  <si>
    <t>MOBILITY; SYSTEMS; TRAVEL</t>
  </si>
  <si>
    <t>We rarely associate social networks with the movement of freight vehicles. Yet, taking a network perspective on supply chains has seen a strong interest in recent literature. It allows for a variety of system-level analysis that is not possible when taking a single focal firm view as is often the case in more classical supply chain approaches. Creating the network of connectivity on which the analyses are based can be quite a daunting and computationally challenging task. In this paper we create a large-scale network from the movement of commercial vehicles in a metropolitan area in South Africa, using the direct trip between consecutive facilities as a proxy for a tie, or dyad, in the network. We analyse how density-based clustering parameters influence the completeness of the network-that is the number of nodes included-as well as the computational burden of extracting the network. The results of the multi-objective analysis confirm the sensitivity of the resulting network, and suggest much smaller search radii and fewer points per cluster. We also report on a number of node- and network-level properties of the complex network using the proposed clustering configuration on the Nelson Mandela Bay Metropole network in South Africa.</t>
  </si>
  <si>
    <t>[Joubert, Johan W.; Meintjes, Sumarie] Univ Pretoria, Ctr Transport Dev Ind &amp; Syst Engn, ZA-0028 Hatfield, South Africa</t>
  </si>
  <si>
    <t>University of Pretoria</t>
  </si>
  <si>
    <t>Joubert, JW (corresponding author), Univ Pretoria, Ctr Transport Dev Ind &amp; Syst Engn, Private Bag X20, ZA-0028 Hatfield, South Africa.</t>
  </si>
  <si>
    <t>johan.joubert@up.ac.za; sumarie.meintjes@gmail.com</t>
  </si>
  <si>
    <t>Joubert, Johan W/ABD-4187-2021</t>
  </si>
  <si>
    <t>Joubert, Johan W/0000-0001-6631-1803</t>
  </si>
  <si>
    <t>0049-4488</t>
  </si>
  <si>
    <t>1572-9435</t>
  </si>
  <si>
    <t>10.1007/s11116-015-9650-x</t>
  </si>
  <si>
    <t>CS2GX</t>
  </si>
  <si>
    <t>WOS:000361888300008</t>
  </si>
  <si>
    <t>Heins, C</t>
  </si>
  <si>
    <t>Heins, Caroline</t>
  </si>
  <si>
    <t>Artificial intelligence in retail - a systematic literature review</t>
  </si>
  <si>
    <t>FORESIGHT</t>
  </si>
  <si>
    <t>Artificial intelligence; Systematic literature review; Data clustering; Retailing</t>
  </si>
  <si>
    <t>DECISION-SUPPORT-SYSTEM; SUPPLY CHAIN MANAGEMENT; E-COMMERCE; GENETIC ALGORITHM; GROCERY RETAIL; B2B; DEMAND; AI; PERFORMANCE; FUTURE</t>
  </si>
  <si>
    <t>Purpose The purpose of this study is to present a systematic literature review of academic peer-reviewed articles in English published between 2005 and 2021. The articles were reviewed based on the following features: research topic, conceptual and theoretical characterization, artificial intelligence (AI) methods and techniques. Design/methodology/approach This study examines the extent to which AI features within academic research in retail industry and aims to consolidate existing knowledge, analyse the development on this topic, clarify key trends and highlight gaps in the scientific literature concerning the role of AI in retail. Findings The findings of this study indicate an increase in AI literature within the field of retailing in the past five years. However, this research field is fairly fragmented in scope and limited in methodologies, and it has several gaps. On the basis of a structured topic allocation, a total of eight priority topics were identified and highlighted that (1) optimizing the retail value chain and (2) improving customer expectations with the help of AI are key topics in published research in this field. Research limitations/implications This study is based on academic peer-reviewed articles published before July 2021; hence, scientific outputs published after the moment of writing have not been included. Originality/value This study contributes to the in-depth and systematic exploration of the extent to which retail scholars are aware of and working on AI. To the best of the author's knowledge, this study is the first systematic literature review within retailing research dealing with AI technology.</t>
  </si>
  <si>
    <t>[Heins, Caroline] Zeppelin Univ, Dept Mobil Trade &amp; Logist, Friedrichshafen, Germany</t>
  </si>
  <si>
    <t>Zeppelin University</t>
  </si>
  <si>
    <t>Heins, C (corresponding author), Zeppelin Univ, Dept Mobil Trade &amp; Logist, Friedrichshafen, Germany.</t>
  </si>
  <si>
    <t>c.grabellus@zeppelin-university.net</t>
  </si>
  <si>
    <t>1463-6689</t>
  </si>
  <si>
    <t>1465-9832</t>
  </si>
  <si>
    <t>Foresight</t>
  </si>
  <si>
    <t>APR 4</t>
  </si>
  <si>
    <t>10.1108/FS-10-2021-0210</t>
  </si>
  <si>
    <t>Regional &amp; Urban Planning</t>
  </si>
  <si>
    <t>C8EU3</t>
  </si>
  <si>
    <t>WOS:000854169100001</t>
  </si>
  <si>
    <t>Salami, M; Niakan, MR; Marzoon, MH; Heydari, K</t>
  </si>
  <si>
    <t>Salami, Mesbaholdin; Niakan, Masoumeh Rostam; Marzoon, Masoud Hasani; Heydari, Kioumars</t>
  </si>
  <si>
    <t>A New Hybrid Model using WTBPNN-EHO and LSTM with EMD-WOA Signal Decomposition for mid and Long-Term Electricity Load Forecasting</t>
  </si>
  <si>
    <t>INTERNATIONAL ENERGY JOURNAL</t>
  </si>
  <si>
    <t>Deep learning; Electricity demand forecasting; LSTM; Signal decomposition; WOA</t>
  </si>
  <si>
    <t>SUPPORT VECTOR REGRESSION; NEURAL-NETWORK; FEATURE-EXTRACTION; ALGORITHM; ARIMA; PRICES</t>
  </si>
  <si>
    <t>The manager of the electricity supply chain needs to correctly forecast one of the most important variables affecting the management of the electricity chain. This article has proposed a hybrid model for electricity demand forecasting using deep learning. Firstly, the historical electricity demand data is decomposed using empirical mode decomposition (EMD) algorithm. Then, whale optimization algorithm (WOA) is used to determine signal decomposition levels rounds by EMD and the allocation of signals to neural networks. Parameters that promote accuracy of the forecast are selected using principal component analysis (PCA). A group of signals are fed into a back propagation neural network, whose components are decomposed by wavelet transform. The weights of this neural network are determined by using elephant herding optimization (EHO) algorithm (WTBPNN-EHO). The rest of the signals with higher levels of complexity are fed into the long short-term memory (LSTM) neural network. Finally, the load is calculated by aggregating the results of these two neural networks. Finally, the performance of this model has been compared with other existing models.</t>
  </si>
  <si>
    <t>[Salami, Mesbaholdin; Niakan, Masoumeh Rostam; Marzoon, Masoud Hasani; Heydari, Kioumars] Niroo Res Inst, Dept Elect &amp; Energy Econ, Tehran, Iran</t>
  </si>
  <si>
    <t>Salami, M (corresponding author), Niroo Res Inst, Dept Elect &amp; Energy Econ, Tehran, Iran.</t>
  </si>
  <si>
    <t>Mesbah.salami@yahoo.com</t>
  </si>
  <si>
    <t>REGIONAL ENERGY RESOURCES INFO CENTER</t>
  </si>
  <si>
    <t>PATHUM THANI</t>
  </si>
  <si>
    <t>ASIAN INST TECHNOLOGY, PO BOX 4, KLONG LUANG, PATHUM THANI 12120, THAILAND</t>
  </si>
  <si>
    <t>1513-718X</t>
  </si>
  <si>
    <t>INT ENERGY J</t>
  </si>
  <si>
    <t>Int. Energy J.</t>
  </si>
  <si>
    <t>9U7TO</t>
  </si>
  <si>
    <t>WOS:000947909300003</t>
  </si>
  <si>
    <t>MacLachlan, I</t>
  </si>
  <si>
    <t>MacLachlan, Ian</t>
  </si>
  <si>
    <t>Kwinana Industrial Area: agglomeration economies and industrial symbiosis on Western Australia's Cockburn Sound</t>
  </si>
  <si>
    <t>AUSTRALIAN GEOGRAPHER</t>
  </si>
  <si>
    <t>Kwinana; Western Australia; industrial location; agglomeration economies; industrial ecology; regional synergies; transfer economies; localisation economies; urbanisation economies</t>
  </si>
  <si>
    <t>REGIONAL-DEVELOPMENT; CLUSTER POLICY; UNITED-STATES; ECOLOGY; GEOGRAPHY; DISTRICTS; WASTE; PARKS</t>
  </si>
  <si>
    <t>The Kwinana Industrial Area is nearing its 60th anniversary as a resource-processing industrial cluster. Its longevity may be understood in the traditional terms of industrial inertia resulting from three types of agglomeration economies: localisation, transfer, and urbanisation economies. However, industrial ecology provides an alternative approach to describe the environmental impacts of interplant linkages: utility/infrastructure sharing, supply-chain synergies, by-product exchanges, and joint provision of services. The agglomeration economies and industrial symbiosis approaches to clustering are compared using interplant relationships drawn from the case of Kwinana.</t>
  </si>
  <si>
    <t>Univ Lethbridge, Dept Geog, Lethbridge, AB T1K 3M4, Canada</t>
  </si>
  <si>
    <t>University of Lethbridge</t>
  </si>
  <si>
    <t>MacLachlan, I (corresponding author), Univ Lethbridge, Dept Geog, 4401 Univ Dr, Lethbridge, AB T1K 3M4, Canada.</t>
  </si>
  <si>
    <t>maclachlan@uleth.ca</t>
  </si>
  <si>
    <t>MacLachlan, Ian/J-1839-2012</t>
  </si>
  <si>
    <t>MacLachlan, Ian/0000-0002-8584-4063</t>
  </si>
  <si>
    <t>4 PARK SQUARE, MILTON PARK, ABINGDON OX14 4RN, OXFORDSHIRE, ENGLAND</t>
  </si>
  <si>
    <t>0004-9182</t>
  </si>
  <si>
    <t>1465-3311</t>
  </si>
  <si>
    <t>AUST GEOGR</t>
  </si>
  <si>
    <t>Aust. Geogr.</t>
  </si>
  <si>
    <t>10.1080/00049182.2013.852505</t>
  </si>
  <si>
    <t>Geography</t>
  </si>
  <si>
    <t>265DH</t>
  </si>
  <si>
    <t>WOS:000327929400003</t>
  </si>
  <si>
    <t>Arora, M; Mangipudi, P; Dutta, MK</t>
  </si>
  <si>
    <t>Arora, Monika; Mangipudi, Parthasarathi; Dutta, Malay Kishore</t>
  </si>
  <si>
    <t>A low-cost imaging framework for freshness evaluation from multifocal fish tissues</t>
  </si>
  <si>
    <t>Computer vision; Feature extraction; Freshness coefficient; Multifocal fish tissues; Weighted features; Q-score</t>
  </si>
  <si>
    <t>COMPUTER VISION; QUALITY; SPOILAGE; FOOD</t>
  </si>
  <si>
    <t>Fish is one of the most nutritive food products whose quality gets affected along the food supply chain from harvesting to consumption. Freshness of fish, during that time, gets affected owing to the chemical decomposition of focal tissues like gills, eyes and skin. A novel mathematical model, is being proposed in this article, for the computation of a distinct freshness coefficient, Q-score, obtained by fusing the information from relevant focal tissues like gills, eyes, and skin of the fish. The mathematical model was designed by employing a meta-heuristic approach, where computationally optimized weights have been assigned to the features derived from the focal tissues. These multifocal tissues have been thoroughly investigated and assertive efforts have been made to normalize and integrate the extracted features into a single score. Implementation of the framework, provides an accuracy of 98.07%, indicating the efficacy of the proposed work. The proposed method is automatic and rapid for food quality evaluation. Imaging-based framework for the identification of fish freshness makes the proposed approach non-destructive which upholds its capability to be used in real-time situations.</t>
  </si>
  <si>
    <t>[Arora, Monika; Mangipudi, Parthasarathi] Amity Univ, Amity Sch Engn &amp; Technol, Noida, India; [Dutta, Malay Kishore] Ctr Adv Studies, Lucknow, Uttar Pradesh, India</t>
  </si>
  <si>
    <t>Dutta, MK (corresponding author), Dr APJ Abdul Kalam Tech Univ, Ctr Adv Studies, Lucknow 226031, Uttar Pradesh, India.</t>
  </si>
  <si>
    <t>monika4dec@gmail.com; psmangipudi@amity.edu; malaykishoredutta@gmail.com</t>
  </si>
  <si>
    <t>Mangipudi, Parthasarathi/AAI-1805-2021; Arora, Monika/ABI-1965-2020</t>
  </si>
  <si>
    <t>Mangipudi, Parthasarathi/0000-0002-6186-6567; Arora, Monika/0000-0001-8302-2640; Dutta, Malay Kishore/0000-0003-2462-737X</t>
  </si>
  <si>
    <t>10.1016/j.jfoodeng.2021.110777</t>
  </si>
  <si>
    <t>WB9OF</t>
  </si>
  <si>
    <t>WOS:000703894000009</t>
  </si>
  <si>
    <t>Bahaghighat, M; Akbari, L; Xin, Q</t>
  </si>
  <si>
    <t>Bahaghighat, Mahdi; Akbari, Leila; Xin, Qin</t>
  </si>
  <si>
    <t>A Machine Learning-Based Approach for Counting Blister Cards Within Drug Packages</t>
  </si>
  <si>
    <t>Machine vision; quality control; object detection; object counting; Blister counting; SVM; KNN; Radon transform</t>
  </si>
  <si>
    <t>RADON-TRANSFORM DOMAIN; VISION SYSTEM; GABOR WAVELET; HOG FEATURES; INSPECTION; SVM; CLASSIFICATION; SEGMENTATION; ALGORITHM; RETRIEVAL</t>
  </si>
  <si>
    <t>Nowadays with the rapid development of technologies, machine vision has been used widely in various industries. The main applications of machine vision in industrial product lines are quality control (QC) and quality assurance (QA). The intelligent defects and anomalies recognition throughout the supply chain have come to be an integral part of quality control systems, in particular, in the food and pharmaceutical industries. In these industries, it is a legal requirement in manufacturing processes which can lead to minimizing the total number of defected products as well as maximizing the performance. In this paper, the machine vision has been utilized to monitor and control the proper packaging of drugs in pharmaceutical product lines. The main goal is counting the number of blister cards within a drug package. To tackle this problem, a new model based on object detection, feature extraction, and classification is proposed. Thanks to several strong approaches, such as the Haar cascade, HOG, ORG, Gabor wavelet, Radon transform, KNN, and SVM, and the accuracy over 88% is achieved in our experiments.</t>
  </si>
  <si>
    <t>[Bahaghighat, Mahdi; Akbari, Leila] Raja Univ, Dept Elect Engn, Qazvin 95834, Iran; [Xin, Qin] Univ Faroe Isl, Fac Sci &amp; Technol, FO-100 Torshavn, Faroe Islands, Denmark</t>
  </si>
  <si>
    <t>Bahaghighat, M (corresponding author), Raja Univ, Dept Elect Engn, Qazvin 95834, Iran.</t>
  </si>
  <si>
    <t>m.bahaghighat@raja.ac.ir</t>
  </si>
  <si>
    <t>Bahaghighat/ABB-4778-2020</t>
  </si>
  <si>
    <t>Bahaghighat, Mahdi/0000-0002-1813-8417; Xin, Qin/0000-0002-6178-8538</t>
  </si>
  <si>
    <t>EU COST grants from European Network for Cost Containment and Improved Quality of Health Care [CA15222]</t>
  </si>
  <si>
    <t>EU COST grants from European Network for Cost Containment and Improved Quality of Health Care</t>
  </si>
  <si>
    <t>The work of Q. Xin was supported in part by the EU COST grants from European Network for Cost Containment and Improved Quality of Health Care under Grant CA15222.</t>
  </si>
  <si>
    <t>10.1109/ACCESS.2019.2924445</t>
  </si>
  <si>
    <t>IJ3KI</t>
  </si>
  <si>
    <t>WOS:000475803200001</t>
  </si>
  <si>
    <t>Parrenin, L; Danjou, C; Agard, B; Beauchemin, R</t>
  </si>
  <si>
    <t>Parrenin, Loic; Danjou, Christophe; Agard, Bruno; Beauchemin, Robert</t>
  </si>
  <si>
    <t>Future trends in organic flour milling: the role of AI</t>
  </si>
  <si>
    <t>AIMS AGRICULTURE AND FOOD</t>
  </si>
  <si>
    <t>industry 4; 0; organic wheat grains; flour milling optimization; flour quality; artificial intelligence; machine learning; data mining</t>
  </si>
  <si>
    <t>PARTICLE-SIZE DISTRIBUTION; BREAD-MAKING QUALITY; MOISTURE-CONTENT; WHEAT-FLOUR; BAKING QUALITY; PERFORMANCE; STORAGE; KERNEL; TEMPERATURE; BREAKAGE</t>
  </si>
  <si>
    <t>The milling of wheat flour is a process that has existed since ancient times. In the course of history, the techniques have improved, the equipment modernized. The interest of the miller in charge of the mill is still to ensure that a mill is functional and profitable, as well as to provide a consistent quality of flour. The production of organic flour means that methods of adding chemicals and unnatural agents are not possible. In organic flour production, it is necessary to work with the raw material. A grain of wheat is a living material, and its quality varies according to a multitude of factors. Challenges are therefore present at each stage of the value chain. The use of artificial intelligence techniques offers solutions and new perspectives to meet the different objectives of the miller. A literature review of artificial intelligence techniques developed at each stage of the value chain surrounding the issues of quality and yield is conducted. An analysis of a large number of variables, including process factors, process parameters and wheat grain quality from data collected on the value chain enables the development and training of artificial intelligence models. From these models, it is possible to develop decision support tools and optimize the wheat flour milling process. Several major research directions, other than constant quality, are to be studied to optimize the process and move towards a smart mill. This includes energy savings, resource optimization and mill performance.</t>
  </si>
  <si>
    <t>[Parrenin, Loic; Danjou, Christophe; Agard, Bruno] Lab Intelligence Donnees LID, Montreal, PQ, Canada; [Parrenin, Loic; Danjou, Christophe; Agard, Bruno] Lab Poly Ind 4 0, Montreal, PQ, Canada; [Parrenin, Loic; Danjou, Christophe; Agard, Bruno] Ecole Polytech Montreal, Dept Math &amp; Genie Ind, CP 6079,Succursale Ctr Ville, Montreal, PQ, Canada; [Beauchemin, Robert] La Meunerie Milanaise, St Jean, PQ J2X 5V5, Canada</t>
  </si>
  <si>
    <t>Universite de Montreal; Polytechnique Montreal</t>
  </si>
  <si>
    <t>Parrenin, L (corresponding author), Lab Intelligence Donnees LID, Montreal, PQ, Canada.;Parrenin, L (corresponding author), Lab Poly Ind 4 0, Montreal, PQ, Canada.;Parrenin, L (corresponding author), Ecole Polytech Montreal, Dept Math &amp; Genie Ind, CP 6079,Succursale Ctr Ville, Montreal, PQ, Canada.</t>
  </si>
  <si>
    <t>loic.parrenin@polymtl.ca</t>
  </si>
  <si>
    <t>Parrenin, Loic/IWU-9716-2023</t>
  </si>
  <si>
    <t>Parrenin, Loic/0000-0003-3232-4299</t>
  </si>
  <si>
    <t>MAPAQ [IA119053]</t>
  </si>
  <si>
    <t>MAPAQ</t>
  </si>
  <si>
    <t>We would like to thank our industrial partner, La Milanaise, for their support and collaboration in this project as well as MAPAQ (project IA119053) for their financial support.</t>
  </si>
  <si>
    <t>2471-2086</t>
  </si>
  <si>
    <t>AIMS AGRIC FOOD</t>
  </si>
  <si>
    <t>AIMS AGRIC. FOOD</t>
  </si>
  <si>
    <t>10.3934/agrfood.2023003</t>
  </si>
  <si>
    <t>Agriculture, Multidisciplinary; Agronomy; Food Science &amp; Technology</t>
  </si>
  <si>
    <t>6U8XD</t>
  </si>
  <si>
    <t>WOS:000894644400001</t>
  </si>
  <si>
    <t>Fuentes-Medina, ML; Hernández-Estárico, E; Morini-Marrero, S</t>
  </si>
  <si>
    <t>Lilibeth Fuentes-Medina, M.; Hernandez-Estarico, Estefania; Morini-Marrero, Sandra</t>
  </si>
  <si>
    <t>Study of the critical success factors of emblematic hotels through the analysis of content of online opinions The case of the Spanish Tourist Paradors</t>
  </si>
  <si>
    <t>EUROPEAN JOURNAL OF MANAGEMENT AND BUSINESS ECONOMICS</t>
  </si>
  <si>
    <t>Critical success factors; Sentiment analysis; Analysis of content; Emblematic hotels; Spanish Tourist Paradors</t>
  </si>
  <si>
    <t>WORD-OF-MOUTH; REVIEWS; INFORMATION; HOSPITALITY; MANAGEMENT; SENTIMENT; RATINGS; IMPACT</t>
  </si>
  <si>
    <t>Purpose - The purpose of this paper is to identify the critical success factors of emblematic hotels from the perspective of the guest, by analysing the direct activities that make up the value chain of these types of establishments. Design/methodology/approach - The authors use the case study methodology to derive conclusions that contribute to the development of a theory about the success factors of emblematic hotels. The case selected is the Spanish Tourist Parador chain. The authors carried out over a period of two years a data mining analysis of the online comments posted by its guests. Findings - The results indicate that the attributes of location and facilities are critical success factors expected a priori given the nature of the business of such establishments, based on the singular nature of the buildings. Another critical success factor is personnel, which seems to indicate that the Paradors support their business model by employing highly qualified staff, but give less attention to restaurant services or the room, according to guest perceptions. Originality/value - The paper provides required evidence on the critical success factors of emblematic hotels adapting Porter's value chain, for the tourism accommodation sector, through the analysis of direct value chain activities. In addition, the existing literature is broadened by taking a perspective scarcely studied, the guest perception of hotel establishments, online content posted by the user on the establishment's website, rather than simply considering the traditional views of the experts/managers, through structures questionnaires. Besides, the results provide practical and useful implications for the managements of the emblematic hotels under study.</t>
  </si>
  <si>
    <t>[Lilibeth Fuentes-Medina, M.; Hernandez-Estarico, Estefania; Morini-Marrero, Sandra] Univ La Laguna, Dept Econ Accounting &amp; Finance, San Cristobal De La Lagu, Spain</t>
  </si>
  <si>
    <t>Universidad de la Laguna</t>
  </si>
  <si>
    <t>Morini-Marrero, S (corresponding author), Univ La Laguna, Dept Econ Accounting &amp; Finance, San Cristobal De La Lagu, Spain.</t>
  </si>
  <si>
    <t>smorini@ull.edu.es</t>
  </si>
  <si>
    <t>MARRERO, SANDRA MORINI/S-5731-2017; Morini-Marrero, Sandra/AAB-2390-2021</t>
  </si>
  <si>
    <t>MARRERO, SANDRA MORINI/0000-0003-1579-8134; Morini-Marrero, Sandra/0000-0003-1579-8134</t>
  </si>
  <si>
    <t>2444-8451</t>
  </si>
  <si>
    <t>2444-8494</t>
  </si>
  <si>
    <t>EUR J MANAG BUS ECON</t>
  </si>
  <si>
    <t>Eur. J. Manag. Bus. Econ.</t>
  </si>
  <si>
    <t>10.1108/EJMBE-11-2017-0052</t>
  </si>
  <si>
    <t>GP2CU</t>
  </si>
  <si>
    <t>WOS:000440629700004</t>
  </si>
  <si>
    <t>El-Zahab, S; Asaad, A; Abdelkader, EM; Zayed, T</t>
  </si>
  <si>
    <t>El-Zahab, Samer; Asaad, Ahmed; Abdelkader, Eslam Mohammed; Zayed, Tarek</t>
  </si>
  <si>
    <t>Development of a clustering-based model for enhancing acoustic leak detection</t>
  </si>
  <si>
    <t>CANADIAN JOURNAL OF CIVIL ENGINEERING</t>
  </si>
  <si>
    <t>infrastructure systems; automated leak detection; leaks; noise loggers; water networks</t>
  </si>
  <si>
    <t>According to the Canadian Infrastructure Report of 2016, Canada's water and wastewater infrastructures are in a declining state. One of the problems plaguing water systems is leakage. Leaks are costly as they create losses in precious water resources as well as treatment chemicals and energy required to produce drinking water. Therefore, the city of Montreal has implemented a pilot project to detect the leaks in a portion of its water supply network using noise loggers. The main shortcoming tackled is the inaccuracy of the current system as it can regularly present false rulings on new events. This article presents a novel approach for the analysis of the signals using k-means clustering and provides a set of models for leak detection. The developed model was tested against real-life conditions and detected two possible leaks that were undetected by the current system in addition to its ability to detect all confirmed leak conditions.</t>
  </si>
  <si>
    <t>[El-Zahab, Samer] Beirut Arab Univ, Dept Civil &amp; Environm Engn, Tripoli, Libya; [Asaad, Ahmed; Abdelkader, Eslam Mohammed] Concordia Univ, Dept Bldg Civil &amp; Environm Engn, 1455 De Maisonneuve Blvd W, Montreal, PQ H3G 1M8, Canada; [Zayed, Tarek] Hong Kong Polytech Univ, Dept Bldg &amp; Real Estate BRE, Kowloon, Hong Kong, Peoples R China</t>
  </si>
  <si>
    <t>Concordia University - Canada; Hong Kong Polytechnic University</t>
  </si>
  <si>
    <t>Abdelkader, EM (corresponding author), Concordia Univ, Dept Bldg Civil &amp; Environm Engn, 1455 De Maisonneuve Blvd W, Montreal, PQ H3G 1M8, Canada.</t>
  </si>
  <si>
    <t>eslam_ahmed1990@hotmail.com</t>
  </si>
  <si>
    <t>El-Zahab, Samer/AAD-3560-2020; Zayed, Tarek/L-6437-2018</t>
  </si>
  <si>
    <t>Zayed, Tarek/0000-0003-3249-7712; Mohammed Abdelkader, Eslam/0000-0003-0460-7582</t>
  </si>
  <si>
    <t>CANADIAN SCIENCE PUBLISHING, NRC RESEARCH PRESS</t>
  </si>
  <si>
    <t>OTTAWA</t>
  </si>
  <si>
    <t>65 AURIGA DR, SUITE 203, OTTAWA, ON K2E 7W6, CANADA</t>
  </si>
  <si>
    <t>0315-1468</t>
  </si>
  <si>
    <t>1208-6029</t>
  </si>
  <si>
    <t>CAN J CIVIL ENG</t>
  </si>
  <si>
    <t>Can. J. Civ. Eng.</t>
  </si>
  <si>
    <t>10.1139/cjce-2018-0229</t>
  </si>
  <si>
    <t>Engineering, Civil</t>
  </si>
  <si>
    <t>HR9HN</t>
  </si>
  <si>
    <t>WOS:000463470000004</t>
  </si>
  <si>
    <t>Aguilera-Prado, M; Parra, OJS; Fernández, EA</t>
  </si>
  <si>
    <t>Aguilera-Prado, Marco; Salcedo Parra, Octavio Jose; Avendalio Fernandez, Eduardo</t>
  </si>
  <si>
    <t>Recent Themes of Colombian Scientific Engineering Journals in Scopus</t>
  </si>
  <si>
    <t>Co-occurrence words; bibliometric analysis; bibliometrics; Colombian journals</t>
  </si>
  <si>
    <t>Through a co-occurrence bibliometric and citation analysis of 1.272 texts published in the four Colombian engineering journals available in Scopus between 2014 and 2018, this paper identified that most articles belong to supply chain optimization and logistics and involve work with information that requires minimal laboratory experimentation. Works applying artificial neural networks, clustering, and genetic algorithms are also prominent. Results from researching on biomass analysis on bioenergy and sustainability are more recent and are present to a lesser extent. Most of the reference texts of the articles published come from Spanish-speaking countries and mostly cite DYNA, the European Journal of Operational Research, the Journal of Food Engineering, and Ingenieria e Investigacion.</t>
  </si>
  <si>
    <t>[Aguilera-Prado, Marco] Univ Agustiniana, Res, Bogota, Colombia; [Salcedo Parra, Octavio Jose] Univ Dist Francisco Jose de Caldas, Fac Engn, Bogota, Colombia; [Avendalio Fernandez, Eduardo] Univ Pedag &amp; Tecnol Colombia, Fac Engn, Tunja, Colombia</t>
  </si>
  <si>
    <t>Universidad Distrital Francisco Jose de Caldas; Universidad Pedagogica y Tecnologica de Colombia (UPTC)</t>
  </si>
  <si>
    <t>Aguilera-Prado, M (corresponding author), Univ Agustiniana, Res, Bogota, Colombia.</t>
  </si>
  <si>
    <t>Aguilera-Prado, Marco/0000-0003-0017-6121</t>
  </si>
  <si>
    <t>RZ8RQ</t>
  </si>
  <si>
    <t>WOS:000648867700026</t>
  </si>
  <si>
    <t>Bertazzi, L; Coelho, LC; Maio, A; Laganà, D</t>
  </si>
  <si>
    <t>Bertazzi, Luca; Coelho, Leandro C.; De Maio, Annarita; Lagana, Demetrio</t>
  </si>
  <si>
    <t>A matheuristic algorithm for the multi-depot inventory routing problem</t>
  </si>
  <si>
    <t>Multi-depot inventory routing problem; Mixed-integer linear programming; Matheuristic; Clustering</t>
  </si>
  <si>
    <t>CUT ALGORITHM; NEIGHBORHOOD SEARCH; SUPPLY CHAIN</t>
  </si>
  <si>
    <t>In this paper we solve a practical Multi-Depot Inventory Routing Problem (MDIRP). One minimizes routing costs by determining how to serve the customers from different depots, managing their inventory levels to avoid stock-outs. The MDIRP optimizes the trade-off between inventory and routing decisions in an integrated way. We formulate this problem as a mixed-integer linear programming model and design a three-phase matheuristic to solve the problem. The solutions of our matheuristic are compared with those from a branch-and-cut algorithm on classical IRP instances, new instances and a real case study, showing to be very effective.</t>
  </si>
  <si>
    <t>[Bertazzi, Luca] Univ Brescia, Dept Econ &amp; Management, Brescia, Italy; [Coelho, Leandro C.] Laval Univ, CIRRELT, Quebec City, PQ, Canada; [Coelho, Leandro C.] Laval Univ, Canada Res Chair Integrated Logist, Quebec City, PQ, Canada; [De Maio, Annarita; Lagana, Demetrio] Univ Calabria, Dept Mech Energy &amp; Management Engn DIMEG, Commenda Di Rende, Italy</t>
  </si>
  <si>
    <t>University of Brescia; Laval University; Universite de Montreal; Laval University; University of Calabria</t>
  </si>
  <si>
    <t>Maio, A (corresponding author), Univ Calabria, Dept Mech Energy &amp; Management Engn DIMEG, Commenda Di Rende, Italy.</t>
  </si>
  <si>
    <t>luca.bertazzi@unibs.it; leandro.coelho@cirrelt.ca; annarita.demaio@unical.it; demetrio.lagana@unical.it</t>
  </si>
  <si>
    <t>De Maio, Annarita/GRR-1773-2022; Coelho, Leandro C./I-4959-2012</t>
  </si>
  <si>
    <t>De Maio, Annarita/0000-0002-4650-3362; Coelho, Leandro C./0000-0002-9797-1019</t>
  </si>
  <si>
    <t>Canadian Natural Sciences and Engineering Research Council [2014-05764]</t>
  </si>
  <si>
    <t>Canadian Natural Sciences and Engineering Research Council(Natural Sciences and Engineering Research Council of Canada (NSERC))</t>
  </si>
  <si>
    <t>The work by Leandro C. Coelho was partly supported by the Canadian Natural Sciences and Engineering Research Council under grant 201405764. This support is gratefully acknowledged. The work by Leandro C. Coelho was partly supported by the Canadian Natural Sciences and Engineering Research Council under grant 2014-05764.</t>
  </si>
  <si>
    <t>10.1016/j.tre.2019.01.005</t>
  </si>
  <si>
    <t>HL3DT</t>
  </si>
  <si>
    <t>WOS:000458593800029</t>
  </si>
  <si>
    <t>Giuliani, E; Pietrobelli, C; Rabellotti, R</t>
  </si>
  <si>
    <t>Upgrading in global value chains: Lessons from Latin American clusters</t>
  </si>
  <si>
    <t>WORLD DEVELOPMENT</t>
  </si>
  <si>
    <t>Meeting on Clusters, Value Chains and Competitiveness</t>
  </si>
  <si>
    <t>Rome, ITALY</t>
  </si>
  <si>
    <t>Micr &amp; SME Div,Inter Amer Dev Bank, Dept SDS, MSM</t>
  </si>
  <si>
    <t>Latin America; small enterprise; industrial policy; clusters; global value chain; innovation</t>
  </si>
  <si>
    <t>INDUSTRIAL DISTRICTS; COLLECTIVE EFFICIENCY; DEVELOPING-COUNTRIES; TECHNICAL CHANGE; TECHNOLOGICAL REGIMES; ENTERPRISE CLUSTERS; INNOVATION; COMPETITIVENESS; ORGANIZATION; COOPERATION</t>
  </si>
  <si>
    <t>It has been shown that clustering helps local enterprises in industrial districts overcome growth constraints and compete in distant markets in advanced and less developed countries. Nevertheless, recent contributions have stressed that more attention needs to be paid to external linkages and to the role played by global buyers to foster upgrading at cluster levels. In this study, we contribute to this debate focusing on the analysis of the relationships existing between clustering, global value chains, upgrading, and sectoral patterns of innovation in Latin America. We find that sectoral specificities matter and influence the mode and the extent of upgrading in clusters integrated in global value chains. (c) 2005 Elsevier Ltd. All rights reserved.</t>
  </si>
  <si>
    <t>Univ Sussex, Brighton BN1 9RH, E Sussex, England; Univ Roma Tre, Rome, Italy</t>
  </si>
  <si>
    <t>University of Sussex; Roma Tre University</t>
  </si>
  <si>
    <t>Giuliani, E (corresponding author), Univ Sussex, Brighton BN1 9RH, E Sussex, England.</t>
  </si>
  <si>
    <t>Rabellotti, Roberta/D-3162-2013; Cuadros, Renzo/B-8684-2012; Rabellotti, Roberta/AAX-1086-2020; Pietrobelli, Carlo/O-1938-2017</t>
  </si>
  <si>
    <t>Rabellotti, Roberta/0000-0001-7637-3645; Rabellotti, Roberta/0000-0001-7637-3645; Pietrobelli, Carlo/0000-0002-3989-8642; Giuliani, Elisa/0000-0002-3813-1861</t>
  </si>
  <si>
    <t>0305-750X</t>
  </si>
  <si>
    <t>WORLD DEV</t>
  </si>
  <si>
    <t>World Dev.</t>
  </si>
  <si>
    <t>10.1016/j.worlddev.2005.01.002</t>
  </si>
  <si>
    <t>Development Studies; Economics</t>
  </si>
  <si>
    <t>Development Studies; Business &amp; Economics</t>
  </si>
  <si>
    <t>920TV</t>
  </si>
  <si>
    <t>WOS:000228713900002</t>
  </si>
  <si>
    <t>Nugroho, PA; Anna, NEV; Ismail, N</t>
  </si>
  <si>
    <t>Nugroho, Prasetyo Adi; Anna, Nove E. Variant; Ismail, Noraini</t>
  </si>
  <si>
    <t>The shift in research trends related to artificial intelligence in library repositories during the coronavirus pandemic</t>
  </si>
  <si>
    <t>LIBRARY HI TECH</t>
  </si>
  <si>
    <t>Artificial intelligence (AI); Coronavirus (COVID-19); Library; Repository; Knowledge sharing; Developing countries</t>
  </si>
  <si>
    <t>SUPPLY CHAIN MANAGEMENT; SMART; AGE</t>
  </si>
  <si>
    <t>Purpose - This study sought to analyze the correlation between artificial intelligence (AI) and libraries and examine whether there were any shifts in research trends related to these two topics during the coronavirus pandemic.Design/methodology/approach - The study gathered secondary data from the Scopus website using the keywords AI, library and repository, from 1993 to 2022. Data were re-analyzed using the bibliometric software VOSviewer to examine the trending country's keyword relations and appearance and Biblioshiny to study the publication metadata.Findings - Index keywords, such as human, deep learning, machine learning, surveys and open-source software, became popular during 2020, being closely related to digital libraries. Additionally, the annual scientific production of papers increased significantly in 2021. Words related to data mining also had the most significant growth from 2019 to 2022 because of the importance of data mining for library services during the pandemic.Practical implications - This study provides insight for librarians for the implementation of AI to support repositories during the pandemic. Librarians can learn how to maximize the AI-based repository services in academic libraries during the pandemic. Furthermore, academic libraries can create policies for repository services using AI.Social implications - This study can lead researchers, academicians and practitioners in conducting research on AI in library repositories.Originality/value - As research on AI and digital repositories remains limited, the study identifies themes and highlights the knowledge gap existing in the field.</t>
  </si>
  <si>
    <t>[Nugroho, Prasetyo Adi] Univ Airlangga, UNAIR Lib, Surabaya, Indonesia; [Anna, Nove E. Variant] Univ Airlangga, Fac Vocat Studies, Surabaya, Indonesia; [Ismail, Noraini] Univ Malaysia Terengganu, Fac Ocean Engn Technol &amp; Informat, Terengganu, Malaysia</t>
  </si>
  <si>
    <t>Airlangga University; Airlangga University; Universiti Malaysia Terengganu</t>
  </si>
  <si>
    <t>Anna, NEV (corresponding author), Univ Airlangga, Fac Vocat Studies, Surabaya, Indonesia.</t>
  </si>
  <si>
    <t>adi.unair@gmail.com; nove.anna@vokasi.unair.ac.id; noraini@umt.edu.my</t>
  </si>
  <si>
    <t>0737-8831</t>
  </si>
  <si>
    <t>LIBR HI TECH</t>
  </si>
  <si>
    <t>Libr. Hi Tech</t>
  </si>
  <si>
    <t>2023 APR 17</t>
  </si>
  <si>
    <t>10.1108/LHT-07-2022-0326</t>
  </si>
  <si>
    <t>D7VB4</t>
  </si>
  <si>
    <t>WOS:000970756900001</t>
  </si>
  <si>
    <t>Lai, JF; Cai, S</t>
  </si>
  <si>
    <t>Lai Junfang; Cai Shan</t>
  </si>
  <si>
    <t>Design of Sino-Japanese cross border e-commerce platform based on FPGA and data mining</t>
  </si>
  <si>
    <t>MICROPROCESSORS AND MICROSYSTEMS</t>
  </si>
  <si>
    <t>Business2Business [B2B]; Field programmable gate of array [FPGA]; Data mining; E-commerce; Cross-border; Online product</t>
  </si>
  <si>
    <t>COLLABORATIVE SUPPLY CHAIN; MANAGEMENT</t>
  </si>
  <si>
    <t>China and Japan have the third-largest Internet companies in the world market. Nevertheless, it is often through online dealers who are not familiar with several different paths to deal with the mysterious low cross-outs and ignore online shopping, about e-business (Web-Based Enterprise). Fast service coordination of logical contradiction between the E-management is analyzed. The technology and Internet companies the local business community to be considering style quick-service industry chain. However, Japanese buyers to buy products from unfamiliar sites. Information Mining is using various rules to cover the majority of the data set or data, many of which are hidden, the method of connecting the computer to find segments where possible. With great personal residents of these works, due to the general Internet penetration on the Internet, by doing so, Japan is attractive to businesses conducting cross stripes online distributors. Exploration of statistical forecasting financial adds up to reduce the Japanese Internet business transactions of the year. A transaction does not like hose incremental consumer spending further charge after the contraction in the last quarter, when the Japanese economy that this is incredible brand loyalty, it is more cost-conscious than it is now and directed for expansion to try new brands, as they continue to look ready. We're dealing with and who will have it in the contract in the main quarter Japanese consumers.</t>
  </si>
  <si>
    <t>[Lai Junfang] Changsha Univ, Foreign Languages Coll, Changsha 410022, Peoples R China; [Cai Shan] Hunan Prov Publ Secur Dept, Changsha 410001, Peoples R China</t>
  </si>
  <si>
    <t>Changsha University</t>
  </si>
  <si>
    <t>Lai, JF (corresponding author), Changsha Univ, Foreign Languages Coll, Changsha 410022, Peoples R China.</t>
  </si>
  <si>
    <t>lai82228@163.com</t>
  </si>
  <si>
    <t>Hengbo, Jing/AAN-2586-2021</t>
  </si>
  <si>
    <t>0141-9331</t>
  </si>
  <si>
    <t>1872-9436</t>
  </si>
  <si>
    <t>MICROPROCESS MICROSY</t>
  </si>
  <si>
    <t>Microprocess. Microsyst.</t>
  </si>
  <si>
    <t>10.1016/j.micpro.2020.103360</t>
  </si>
  <si>
    <t>Computer Science, Hardware &amp; Architecture; Computer Science, Theory &amp; Methods; Engineering, Electrical &amp; Electronic</t>
  </si>
  <si>
    <t>PY7KG</t>
  </si>
  <si>
    <t>WOS:000612220300010</t>
  </si>
  <si>
    <t>Ozgormus, E; Smith, AE</t>
  </si>
  <si>
    <t>Ozgormus, Elif; Smith, Alice E.</t>
  </si>
  <si>
    <t>A data-driven approach to grocery store block layout</t>
  </si>
  <si>
    <t>Facilities planning and design; Grocery store design; Multi-objective optimization; Tabu search; Data mining; Supply chain</t>
  </si>
  <si>
    <t>SHELF SPACE; RETAIL; MODEL; OPTIMIZATION; ALLOCATION; DESIGN</t>
  </si>
  <si>
    <t>Retailers are a major component of almost any supply chain and are the interface between customers and goods. A ubiquitous and important retailing segment is grocery stores, yet almost no analytical work in the block design can be found in the literature. This paper uses a data-driven approach coupled with optimization to address block layout in grocery stores with the participation of Migros, the largest retailer in Turkey. The goal is to develop an effective analytical method for solving realistic grocery store block layout problems considering data which describes revenue generation and adjacency of departments. Historic market basket data is used to characterize certain important aspects that relate to customer sales and these are used in a tabu search meta-heuristic to find layouts which are likely to enhance revenue. To consider the objectives of revenue and adjacency simultaneously, a bi-objective approach is used. A set of non-dominated designs is generated for a decision maker to consider further and the generated designs have been validated with a detailed stochastic simulation model and by the marketing experts at Migros. According to the computational results and the feedback from the industry partner, this approach is both effective and pragmatic for a data-driven, analytic design of grocery store block layouts. Layout designs which improve revenues and desired adjacencies relative to the existing store layouts are identified. While this paper focuses on a single retailer, the approach is general and given that grocery layout is similar worldwide, the method and results should be easily translatable to other retailers.</t>
  </si>
  <si>
    <t>[Ozgormus, Elif] Pamukkale Univ, Fac Engn, Dept Ind Engn, TR-20070 Denizli, Turkey; [Smith, Alice E.] Auburn Univ, Coll Engn, Dept Ind &amp; Syst Engn, Auburn, AL 36849 USA</t>
  </si>
  <si>
    <t>Pamukkale University; Auburn University System; Auburn University</t>
  </si>
  <si>
    <t>Smith, AE (corresponding author), Auburn Univ, Coll Engn, Dept Ind &amp; Syst Engn, Auburn, AL 36849 USA.</t>
  </si>
  <si>
    <t>smithae@auburn.edu</t>
  </si>
  <si>
    <t>, Alice/AAK-2318-2021; Ozgormus, Elif/A-8587-2019; ozgormus, elif/AAF-9213-2020</t>
  </si>
  <si>
    <t>, Alice/0000-0001-8808-0663; Ozgormus, Elif/0000-0002-7793-8457;</t>
  </si>
  <si>
    <t>10.1016/j.cie.2018.12.009</t>
  </si>
  <si>
    <t>WOS:000509784000080</t>
  </si>
  <si>
    <t>Kabra, G; Ramesh, A; Akhtar, P; Dash, MK</t>
  </si>
  <si>
    <t>Kabra, Gaurav; Ramesh, A.; Akhtar, Pervaiz; Dash, Manoj Kumar</t>
  </si>
  <si>
    <t>Understanding behavioural intention to use information technology: Insights from humanitarian practitioners</t>
  </si>
  <si>
    <t>TELEMATICS AND INFORMATICS</t>
  </si>
  <si>
    <t>Information technology; Humanitarian logistics; Humanitarian supply chain management; Supply chain management; Technology adoption; Unified theory of acceptance and use of technology</t>
  </si>
  <si>
    <t>MOBILE BANKING; ACCEPTANCE; ADOPTION; COORDINATION; MANAGEMENT; UTAUT; TRUST; RISK; INNOVATIVENESS; LOGISTICS</t>
  </si>
  <si>
    <t>The contemporary research in the area of individual technology adoption mainly focuses on commercial supply chains. However, limited research focuses on the context of humanitarian supply chains. This calls to develop structural models that can scrutinize the technology adoption behaviour of the users in the humanitarian context. Therefore, this study is an attempt to empirically examine the technology adoption behaviour of humanitarian organizations. It extends the unified theory of the acceptance and use of technology (UTAUT) model by integrating personal innovativeness and trust in technology with the behavioural intention to adopt technology in the humanitarian context. Data from 192 humanitarian practitioners, who have experienced a large number of disasters, is utilized to empirically validate the conceptual model. The structural equation modelling results show that - out of four constructs namely performance expectancy, effort expectancy, social influence and facilitating conditions under UTAUT - performance expectancy and effort expectancy significantly affect the IT adoption. Contrary to expectations, trust and personal innovation do not affect the behavioural intention. Also, personal innovation does not moderate the relationship between performance expectancy and effort expectancy. This underlines the need to foster a learning culture within these organizations. The efforts made by involved humanitarian organizations may be directed towards improving the level of education, skills and facilitating them with other resources such as appropriate IT and data mining training, so that the technology adoption becomes an integral part of their daily activities. Finally, detailed implications for humanitarian organizations are discussed. (C) 2017 Published by Elsevier Ltd.</t>
  </si>
  <si>
    <t>[Kabra, Gaurav] Xavier Inst Management, Dept Operat Management, Bhubaneswar, Odisha, India; [Ramesh, A.] Indian Inst Technol Roorkee, Dept Management Studies, Roorkee, Uttarakhand, India; [Akhtar, Pervaiz] Univ Hull, Business Sch, Logist Inst, Kingston Upon Hull, N Humberside, England; [Dash, Manoj Kumar] Indian Inst Informat Technol &amp; Management, Behav Econ Expt &amp; Analyt Lab, Gwalior, Madhya Pradesh, India</t>
  </si>
  <si>
    <t>Indian Institute of Technology System (IIT System); Indian Institute of Technology (IIT) - Roorkee; University of Hull; ABV-Indian Institute of Information Technology &amp; Management, Gwalior</t>
  </si>
  <si>
    <t>Kabra, G (corresponding author), Xavier Inst Management, Dept Operat Management, Bhubaneswar, Odisha, India.</t>
  </si>
  <si>
    <t>kabraiiitm@gmail.com; ram77fdm@iitr.ac.in; Pervaiz.Akhtar@hull.ac.uk; manojdash@iiitm.ac.in</t>
  </si>
  <si>
    <t>Kabra, Gaurav/AAZ-9649-2021; Anbanandam, Ramesh/O-8736-2019</t>
  </si>
  <si>
    <t>Kabra, Gaurav/0000-0002-4258-808X; Anbanandam, Ramesh/0000-0002-2040-3064; Dash, Manoj Kumar/0000-0002-1885-3517</t>
  </si>
  <si>
    <t>0736-5853</t>
  </si>
  <si>
    <t>TELEMAT INFORM</t>
  </si>
  <si>
    <t>Telemat. Inform.</t>
  </si>
  <si>
    <t>10.1016/j.tele.2017.05.010</t>
  </si>
  <si>
    <t>FK3KS</t>
  </si>
  <si>
    <t>WOS:000413384600024</t>
  </si>
  <si>
    <t>Shankar, S; Punia, S; Singh, SP; Dong, JX</t>
  </si>
  <si>
    <t>Shankar, Sonali; Punia, Sushil; Singh, Surya Prakash; Dong, Jingxin</t>
  </si>
  <si>
    <t>Trajectory of research on maritime transportation in the era of digitization</t>
  </si>
  <si>
    <t>Maritime transportation; Maritime supply chain; Systematic literature review; Network analytics; Text analytics</t>
  </si>
  <si>
    <t>INTERMODAL TRANSPORT; INFORMATION-SYSTEMS; COMMUNITY STRUCTURE; NETWORK DESIGN; MANAGEMENT; MODELS; LOGISTICS; EVOLUTION; PORTS; ASSIGNMENT</t>
  </si>
  <si>
    <t>Purpose The literature on Maritime Transportation (MT) is experiencing a transition phase where the focus of the research is repositioning. It registered steep growth in recent years with its beginning articles on the concepts of cost minimization to the current focus on achieving sustainable operational effectiveness using Information and Communication Technologies (ICTs). Thus, this becomes a right time to investigate the trajectory of research on MT. Design/methodology/approach The proposed study aims to explore the potential of data analytics techniques such as data mining and network analytics to reflect the trajectory of research in the maritime supply chain over time. This study identifies the eight main dimensions of the research published under maritime paradigm through network analytics. The in-depth review of these dimensions rendered us to segregate them further into sub-dimensions for the ease of understanding and interpretability. Further, the text mining is employed to extract thematic evolution of the research. Findings The evolved themes are completely exclusive from the conventional MT research with artificial intelligence, digital storage, waste management and biofuels emerging as contemporary themes. It is found that although there are a sufficient amount of literature on sustainable port practices but their policy implications are still underexplored. The inter-dimension research is needed to achieve the motive of economic efficiency and environmental sustainability simultaneously. Originality/value The study has contributed on the methodology side of conducting literature reviews. The dimensions, sub-dimensions and themes are obtained using data analytics tools and techniques. This omits the possibility of personal bias and thus making the results verifiable.</t>
  </si>
  <si>
    <t>[Shankar, Sonali] Indian Inst Technol Delhi, New Delhi, India; [Punia, Sushil] FORE Sch Management, New Delhi, India; [Singh, Surya Prakash] Indian Inst Technol Delhi, Management Studies, New Delhi, India; [Dong, Jingxin] Newcastle Univ, Newcastle Upon Tyne, Tyne &amp; Wear, England</t>
  </si>
  <si>
    <t>Indian Institute of Technology System (IIT System); Indian Institute of Technology (IIT) - Delhi; FORE School of Management; Indian Institute of Technology System (IIT System); Indian Institute of Technology (IIT) - Delhi; Newcastle University - UK</t>
  </si>
  <si>
    <t>Shankar, S (corresponding author), Indian Inst Technol Delhi, New Delhi, India.</t>
  </si>
  <si>
    <t>03shankarsonali@gmail.com; s.punia.official@gmail.com; surya.singh@gmail.com; jingxin.dong@newcastle.ac.uk</t>
  </si>
  <si>
    <t>Singh, Surya Prakash/O-4087-2014; Punia, Sushil/Z-1707-2018</t>
  </si>
  <si>
    <t>Singh, Surya Prakash/0000-0002-3867-6845; Punia, Sushil/0000-0001-8468-7994</t>
  </si>
  <si>
    <t>UGC-UKIERI [RP03411]</t>
  </si>
  <si>
    <t>UGC-UKIERI</t>
  </si>
  <si>
    <t>This work was supported by the UGC-UKIERI under grant number RP03411. Authors would like to thank Prof. P. Vigneswara Ilavarasan, Department of Management Studies, Indian Institute of Technology Delhi, for helping us to finalize the project. Sushil Punia acknowledges the infrastructural support provided by the FORE School of Management, New Delhi in completing this work.</t>
  </si>
  <si>
    <t>JAN 14</t>
  </si>
  <si>
    <t>10.1108/BIJ-05-2020-0272</t>
  </si>
  <si>
    <t>YN4PU</t>
  </si>
  <si>
    <t>WOS:000645270600001</t>
  </si>
  <si>
    <t>Sharifi, Z; Shokouhyar, S</t>
  </si>
  <si>
    <t>Sharifi, Zahra; Shokouhyar, Sajjad</t>
  </si>
  <si>
    <t>Promoting consumer's attitude toward refurbished mobile phones: A social media analytics approach</t>
  </si>
  <si>
    <t>Opinion mining; Refurbishing; Closed-loop supply chain; Twitter analysis; Customer's behavior; Sentiment analysis</t>
  </si>
  <si>
    <t>REMANUFACTURED PRODUCTS; SUSTAINABLE CONSUMPTION; PURCHASING BEHAVIOR; SENTIMENT ANALYSIS; DELPHI METHOD; BUSINESS INTELLIGENCE; WEEE COLLECTION; MANAGEMENT; MARKET; DETERMINANTS</t>
  </si>
  <si>
    <t>Resource depletion and environmental issues persuade manufacturers to reuse and recycle electronic products. One green strategy in mobile device manufacturing is to refurbish and reuse these products. Consumer feedback in the secondary market impress decision-makers and manufacturer strategies. This research provides a framework that focuses on data mining techniques to investigate consumer attitudes toward refurbished phones by one of the reverse supply chain practices: refurbishment. Furthermore, the consumer's opinions on refurbished mobile phones found on Twitter have been analyzed, and the most appropriate selling strategy has been proposed. Accordingly, the customer's strong motivating factors were identified by assessing approximately 25,000 tweets. The obtained data are analyzed according to three categories: environmental versus financial motivators, refurbished mobile phone features, and main components of refurbished mobile phones. The results indicate that the environmental factor is slightly higher motivating when compared to the financial factor. Other important features were prioritized from the consumer's point of view (highest to lowest): price, product warranty, quality, and seller's reputation. In a separate analysis, camera, display, battery, performance, innovative technologies, and internal memory were found to be the top components of a mobile device that customers pay attention to the most. Interrelationships between identified features were established using interpretive structural modeling (ISM) to accomplish a comprehensive framework. Classification analysis was performed by the matrix of cross-impact multiplications applied to classifications (MICMAC) technique to identify these features based on their driving and dependence power. Camera, screen, battery, internal storage, and performance were significant features that affected customer's attitudes.</t>
  </si>
  <si>
    <t>[Sharifi, Zahra; Shokouhyar, Sajjad] Shahid Beheshti Univ, Fac Management &amp; Accounting, Dept Ind &amp; Informat Management, Tehran, Iran</t>
  </si>
  <si>
    <t>zahra.sharifi2004@gmail.com; s_shokouhyar@sbu.ac.ir</t>
  </si>
  <si>
    <t>shokouhyar, sajjad/0000-0001-8875-0006; Sharifi, Zahra/0000-0002-1203-502X</t>
  </si>
  <si>
    <t>10.1016/j.resconrec.2021.105398</t>
  </si>
  <si>
    <t>SE4CF</t>
  </si>
  <si>
    <t>WOS:000652020200048</t>
  </si>
  <si>
    <t>Casaburi, L; Minerva, GA</t>
  </si>
  <si>
    <t>Casaburi, Lorenzo; Minerva, G. Alfredo</t>
  </si>
  <si>
    <t>Production in advance versus production to order: The role of downstream spatial clustering and product differentiation</t>
  </si>
  <si>
    <t>JOURNAL OF URBAN ECONOMICS</t>
  </si>
  <si>
    <t>Production to order; Production in advance; Downstream spatial clustering; Product differentiation; Organized exchange markets; Supply chain management</t>
  </si>
  <si>
    <t>TO-ORDER; INDUSTRY; AGGLOMERATION; INVENTORY; STOCK</t>
  </si>
  <si>
    <t>In every production process, suppliers have to decide whether an item should be produced and stored as inventory before an explicit purchase order is received (production in advance), or whether it should be produced only after such an order is received (production to order). We study the determinants of this firm-level choice. We present a simple conceptual framework to derive predictions that we subsequently test in the empirical analysis. We argue that an increment in buyers' spatial concentration benefits production in advance more in homogenous industries than in differentiated ones, while the benefits for production to order are larger as product differentiation increases. Consequently, the propensity to adopt one of the two production modes, following an increase in the number of local downstream buyers, changes according to the degree of product differentiation of the goods. Relying on a large data set of Italian manufacturing firms, we find empirical support to our ideas. (C) 2011 Elsevier Inc. All rights reserved.</t>
  </si>
  <si>
    <t>[Minerva, G. Alfredo] Univ Bologna, Dept Econ, I-40125 Bologna, Italy; [Casaburi, Lorenzo] Harvard Univ, Dept Econ, Littauer Ctr, Cambridge, MA 02138 USA</t>
  </si>
  <si>
    <t>University of Bologna; Harvard University</t>
  </si>
  <si>
    <t>Minerva, GA (corresponding author), Univ Bologna, Dept Econ, Str Maggiore 45, I-40125 Bologna, Italy.</t>
  </si>
  <si>
    <t>casaburi@fas.harvard.edu; ga.minerva@unibo.it</t>
  </si>
  <si>
    <t>Casaburi, Lorenzo/AAM-7956-2020; Minerva, Gaetano Alfredo/AAD-4113-2022</t>
  </si>
  <si>
    <t>MINERVA, GAETANO ALFREDO/0000-0002-8146-1858</t>
  </si>
  <si>
    <t>ACADEMIC PRESS INC ELSEVIER SCIENCE</t>
  </si>
  <si>
    <t>SAN DIEGO</t>
  </si>
  <si>
    <t>525 B ST, STE 1900, SAN DIEGO, CA 92101-4495 USA</t>
  </si>
  <si>
    <t>0094-1190</t>
  </si>
  <si>
    <t>1095-9068</t>
  </si>
  <si>
    <t>J URBAN ECON</t>
  </si>
  <si>
    <t>J. Urban Econ.</t>
  </si>
  <si>
    <t>10.1016/j.jue.2011.01.003</t>
  </si>
  <si>
    <t>Economics; Urban Studies</t>
  </si>
  <si>
    <t>Business &amp; Economics; Urban Studies</t>
  </si>
  <si>
    <t>766KK</t>
  </si>
  <si>
    <t>WOS:000290780800004</t>
  </si>
  <si>
    <t>Hosseini, S; Al Khaled, A</t>
  </si>
  <si>
    <t>Hosseini, Seyedmohsen; Al Khaled, Abdullah</t>
  </si>
  <si>
    <t>A hybrid ensemble and AHP approach for resilient supplier selection</t>
  </si>
  <si>
    <t>IMPERIALIST COMPETITIVE ALGORITHM; DECISION-SUPPORT-SYSTEM; INTEGRATED APPROACH; ORDER ALLOCATION; MODEL; PORTFOLIO; CHAINS; DEA</t>
  </si>
  <si>
    <t>Suppliers play a crucial role in achieving the supply chain goals. In the context of risk management, suppliers are the most common source of external risks in modern supply chains. The recognition that continuity of supply chain flow under disruptive event is a critical issue has brought the attention of companies to the selection of resilient suppliers. In contrast to the extensive number of researches on traditional and green criteria of supplier selection, the criteria associated with resilient supplier selection are not well explored yet. This paper first seeks to explore the resilience criteria for supplier selection based on the notion of resilience capacities which can be divided into three categories: absorptive capacity, adaptive capacity, and restorative capacity. Absorptive capacity refers to the capability of system to withstand against disruptive event in prior or called as preparedness of supplier, while adaptive and restoration capacities imply the capability of supplier to adopt itself and restore from disruption or recoverability of supplier. We identified eight effective elements for resilience capacities which contribute to the resilience of suppliers. Advanced data mining approaches like predictive analytics models are used to predict the resilience value of each supplier. We applied ensemble methods by combining binomial logistics regression, classification and regression trees, and neural network to obtain better predictive performance than individual algorithm from the historical data to predict individual supplier's resiliency. This resilience value, obtained from ensemble methods, is coupled with additional four variables to assess the suppliers' overall performance and rank them using different supplier selection models. Finally, a case study has been performed on international plastic raw material suppliers for a U.S. based manufacturer.</t>
  </si>
  <si>
    <t>[Hosseini, Seyedmohsen] Univ Oklahoma, Sch Ind &amp; Syst Engn, Norman, OK 73019 USA; [Al Khaled, Abdullah] Influence Hlth, Birmingham, AL USA</t>
  </si>
  <si>
    <t>University of Oklahoma System; University of Oklahoma - Norman</t>
  </si>
  <si>
    <t>Hosseini, S (corresponding author), Univ Oklahoma, Sch Ind &amp; Syst Engn, Norman, OK 73019 USA.</t>
  </si>
  <si>
    <t>m.hosseini@ou.edu; shimulkhaled@gmail.com</t>
  </si>
  <si>
    <t>jam, amir/O-6460-2019</t>
  </si>
  <si>
    <t>10.1007/s10845-016-1241-y</t>
  </si>
  <si>
    <t>HI6TR</t>
  </si>
  <si>
    <t>WOS:000456588800017</t>
  </si>
  <si>
    <t>Abushaikha, I; Al-Weshah, G; Alsharairi, M</t>
  </si>
  <si>
    <t>Abushaikha, Ismail; Al-Weshah, Ghazi; Alsharairi, Malek</t>
  </si>
  <si>
    <t>How do retail firms benefit from co-locating in logistics-intensive clusters? A focus on the inbound supply function</t>
  </si>
  <si>
    <t>Cluster; geographical concentration; logistics; inbound supply performance; retail logistics; Jordan</t>
  </si>
  <si>
    <t>COMPETITIVE ADVANTAGE; ECONOMIC-DEVELOPMENT; PERFORMANCE; CHAIN; AGGLOMERATION; CAPABILITIES; FLEXIBILITY; IMPACT; INTEGRATION; TRANSPORTATION</t>
  </si>
  <si>
    <t>Recent years have witnessed major developments in the field of retail logistics in search of new practices that would improve competitiveness. This study contributes to the developing body of research in retail logistics through evaluating the role of logistics clustering in improving inbound supply performance. Qualitative data were collected through 26 interviews from various actors inside a logistics cluster in Jordan. Results show how close coordination in logistics clusters contributed to improved inbound supply performance through achieving delivery velocity, physical supply flexibility, reduced inbound transport cost and inventory carrying cost. Residing in logistics clusters has led to improved operational efficiencies, reduced inbound response time and smoothed flow of material in the retail channel. The study also provides insights on how logistics clustering has improved supply resiliency of the Jordanian vulnerable supply chains through joint knowledge creation. Finally, this study provides implications for logistics and retail supply chain managers.</t>
  </si>
  <si>
    <t>[Abushaikha, Ismail; Alsharairi, Malek] German Jordanian Univ, Sch Management &amp; Logist Sci, Amman, Jordan; [Al-Weshah, Ghazi] Al Balqa Appl Univ, Fac Business, Al Salt, Jordan</t>
  </si>
  <si>
    <t>German-Jordanian University; Al-Balqa Applied University</t>
  </si>
  <si>
    <t>Abushaikha, I (corresponding author), German Jordanian Univ, Sch Management &amp; Logist Sci, Amman, Jordan.</t>
  </si>
  <si>
    <t>ismail.abushaikha@gju.edu.jo</t>
  </si>
  <si>
    <t>Al-Weshah, Ghazi A./GYU-9386-2022; Al-Weshah, Ghazi A./E-5512-2017; Abushaikha, Ismail/AAC-3965-2019</t>
  </si>
  <si>
    <t>Al-Weshah, Ghazi A./0000-0002-8091-4720; Alsharairi, Malek/0000-0002-3048-1525</t>
  </si>
  <si>
    <t>10.1080/09593969.2019.1635906</t>
  </si>
  <si>
    <t>LE0DR</t>
  </si>
  <si>
    <t>WOS:000526395400002</t>
  </si>
  <si>
    <t>Higgins, AJ; Laredo, LA</t>
  </si>
  <si>
    <t>Improving harvesting and transport planning within a sugar value chain</t>
  </si>
  <si>
    <t>agriculture; strategic planning; location; transport</t>
  </si>
  <si>
    <t>PARTICIPATORY RESEARCH; DECISION-MAKING; OPTIMIZATION; SYSTEMS; SEARCH; MODEL</t>
  </si>
  <si>
    <t>Recent economic pressures have forced the Australian sugar industry to achieve better integration and optimization of the cane harvesting and transport sectors of the value chain. The logistical and economic complexity of the harvesting and transport system was captured through the development of a modelling framework that effectively links several component models that describe the parts of the system. Through engaging in participatory research with representatives of a sugar region located at the north-east coast of Australia, we use this modelling framework to address some key industry issues in rationalizing rail track infrastructure and re-organizing harvesting. These issues were addressed by building component models for the modelling framework in the field of location science, namely the capacitated P-Median problem and spatial clustering. By applying the modelling framework and its component models to the case-study region, we explored a range of scenarios with a net cost reduction of up to AU$2260000 per year.</t>
  </si>
  <si>
    <t>CSIRO, St Lucia, Qld 4067, Australia</t>
  </si>
  <si>
    <t>Commonwealth Scientific &amp; Industrial Research Organisation (CSIRO)</t>
  </si>
  <si>
    <t>Higgins, AJ (corresponding author), CSIRO, Level 3,Queensland Biosci Precinct,306 Carmody Rd, St Lucia, Qld 4067, Australia.</t>
  </si>
  <si>
    <t>Andrew.Higgins@csiro.au</t>
  </si>
  <si>
    <t>Laredo, Luis/I-1107-2012; Higgins, A J/B-5951-2011</t>
  </si>
  <si>
    <t>10.1057/palgrave.jors.2602024</t>
  </si>
  <si>
    <t>023MO</t>
  </si>
  <si>
    <t>WOS:000236131000004</t>
  </si>
  <si>
    <t>Beerepoot, N</t>
  </si>
  <si>
    <t>Collective learning by artisanal subcontractors in a Philippine furniture cluster</t>
  </si>
  <si>
    <t>clustering; value chain; collective learning; Philippines; subcontracting</t>
  </si>
  <si>
    <t>INDUSTRIAL DISTRICTS; DEVELOPING-COUNTRIES; ENTERPRISE CLUSTERS</t>
  </si>
  <si>
    <t>This paper stresses the importance of subcontractors for the circulation of knowledge in industrial clusters. In studies on collective learning processes in clusters it often remains unclear who is involved and in which area a local knowledge base is built up. This study contributes to filling this gap by unravelling the learning process and focusing on how learning takes place at the level of artisanal subcontractors. Empirical evidence from two sub-sectors in the furniture cluster in Pampanga (the Philippines) is used to identify learning processes among subcontractors, indicating how knowledge is transferred along the value chain and diffused among them. The paper demonstrates that knowledge hardly trickles down from exporters, but that subcontractors are a major source of feedback to them. However, despite possessing the key strategic product knowledge, the subcontractors' absence of knowledge in other areas (i.e. technical, managerial and market knowledge) weakens their bargaining position in this cluster.</t>
  </si>
  <si>
    <t>Univ Amsterdam, AMIDSt Amsterdam Inst Metropolitan &amp; Int Dev Stud, Dept Geog Planning &amp; Int Dev Studies, NL-1018 VZ Amsterdam, Netherlands</t>
  </si>
  <si>
    <t>University of Amsterdam</t>
  </si>
  <si>
    <t>Beerepoot, N (corresponding author), Univ Amsterdam, AMIDSt Amsterdam Inst Metropolitan &amp; Int Dev Stud, Dept Geog Planning &amp; Int Dev Studies, Nieuwe Prinsengracht 130, NL-1018 VZ Amsterdam, Netherlands.</t>
  </si>
  <si>
    <t>n.p.c.beerepoot@uva.nl</t>
  </si>
  <si>
    <t>BLACKWELL PUBLISHING</t>
  </si>
  <si>
    <t>9600 GARSINGTON RD, OXFORD OX4 2DQ, OXON, ENGLAND</t>
  </si>
  <si>
    <t>10.1111/j.1467-9663.2005.00487.x</t>
  </si>
  <si>
    <t>983AB</t>
  </si>
  <si>
    <t>WOS:000233202400009</t>
  </si>
  <si>
    <t>Abedpour, K; Shirvani, MH; Abedpour, E</t>
  </si>
  <si>
    <t>Abedpour, Kimia; Shirvani, Mirsaeid Hosseini; Abedpour, Elmira</t>
  </si>
  <si>
    <t>A genetic-based clustering algorithm for efficient resource allocating of IoT applications in layered fog heterogeneous platforms</t>
  </si>
  <si>
    <t>Fog computing; Internet of Things; k-means clustering method; Jaccard measurement; Genetic optimization algorithm</t>
  </si>
  <si>
    <t>WORKLOAD ALLOCATION; INTERNET; OPTIMIZATION; MANAGEMENT</t>
  </si>
  <si>
    <t>Fog Computing paradigm that provisions low-latency computing services at the edge network, is a bonanza for supply chain computing resources in Internet of Things (IoT) applications. In different scenarios such as smart homes/healthcare systems, multiple IoT applications are distributed simultaneously in cloud and fog nodes to provide different IoT-based services. In addition, each program requires resources and has its desired quality of service (QoS) which should be met. One of the key challenges in fog computing environment is how to efficiently allocate resources to IoT applications because inefficient resource allocation leads to burdening providers high costs and it lowers down the delivered QoS to users. Since the majority of IoT applications are time-sensitive, the low delay and near physically allocated resources improve the amount of delivered QoS. Therefore, the resource clustering algorithms with the lowest distance error rate and the lowest delay as a consequence are favorable. The aim is to reduce clustering errors and improve the overall performance of the system. This paper formulates resource allocation to IoT applications in heterogeneous 4-layered fog platforms to an optimization problem. To solve this problem, a fusion approach incorporating a genetic algorithm (GA) and the k-means clustering approach is presented. Firstly, it utilizes the k-means approach and Jaccard measurement to cluster fog nodes with a minimum clustering rate. Then, the resources of fog clusters are allocated to IoT devices with the minimum error rate by incorporating GA algorithm. This selection of processing nodes in a fog layer helps to minimize latency and allows applications to access resources simultaneously. The simulation results in extensive scenarios prove the superiority of the proposed algorithm against other successful meta-heuristic approaches in terms of the objective function and lowest error/delay rate.</t>
  </si>
  <si>
    <t>[Abedpour, Kimia] Tabarestan Chalus Inst, Dept Comp Engn, Chalus, Iran; [Shirvani, Mirsaeid Hosseini] Islamic Azad Univ, Dept Comp Engn, Sari Branch, Sari, Iran; [Abedpour, Elmira] Univ Turin, Interuniv Dept Terr Sci Project &amp; Polit, Polytech, Turin, Italy</t>
  </si>
  <si>
    <t>Islamic Azad University; University of Turin</t>
  </si>
  <si>
    <t>Shirvani, MH (corresponding author), Islamic Azad Univ, Dept Comp Engn, Sari Branch, Sari, Iran.</t>
  </si>
  <si>
    <t>mirsaeid_hosseini@iausari.ac.ir</t>
  </si>
  <si>
    <t>2023 MAY 10</t>
  </si>
  <si>
    <t>10.1007/s10586-023-04005-x</t>
  </si>
  <si>
    <t>F9AO9</t>
  </si>
  <si>
    <t>WOS:000985203300001</t>
  </si>
  <si>
    <t>Wang, Y; Assogba, K; Liu, Y; Ma, XL; Xu, MZ; Wang, YH</t>
  </si>
  <si>
    <t>Wang, Yong; Assogba, Kevin; Liu, Yong; Ma, Xiaolei; Xu, Maozeng; Wang, Yinhai</t>
  </si>
  <si>
    <t>Two-echelon location-routing optimization with time windows based on customer clustering</t>
  </si>
  <si>
    <t>Location routing optimization with time windows; Periodic demand forecasting; Customer clustering; Validity measurement function; Non-dominated Sorting Genetic Algorithm-II (NSGA-II)</t>
  </si>
  <si>
    <t>BIG DATA; CHAIN MANAGEMENT; SUPPLY CHAIN; LOGISTICS; MODEL; VEHICLE; SATISFACTION; CONSTRAINTS; ALLOCATION; ALGORITHM</t>
  </si>
  <si>
    <t>This paper develops a three-step customer clustering based approach to solve two-echelon location routing problems with time windows. A bi-objective model minimizing costs and maximizing customer satisfaction is formulated along with an innovative measurement function to rank optimal solutions. The proposed methodology is a knowledge-based approach which considers customers locations and purchase behaviors, discovers similar characteristics among them through clustering, and applies exponential smoothing method to forecast periodic customers demands. We introduce a Modified Non-dominated Sorting Genetic Algorithm-II (M-NSGA-II) to simultaneously locate logistics facilities, allocate customers, and optimize the vehicle routing network. Different from many existing version of NSGA-II, our algorithm applies partial-mapped crossover as genetic operator, instead of simulated binary crossover, in order to properly handle chromosomes. The initial population is generated through a nodes scanning algorithm which eliminates sub-tours. Finally, to demonstrate the applicability of our mathematical model and approach, we conduct two empirical studies on generated benchmarks and the distribution network of a company in Chongqing city, China. Further comparative analyses with multi-objective genetic algorithm (MOGA) and multi-objective particle swarm optimization (MOPSO) algorithm indicate that M-NSGA-II performs better in terms of solution quality and computation time. Results also support that: (1) the formation of clusters containing highly similar customers improves service reliability, and favors a productive customer relationship management; (2) considering product preference contributes to maximizing customer satisfaction degree and the effective control of inventories at each distribution center; (3) clustering, instead of helping to improve services, proves detrimental when too many groups are formed. Thus, decision makers need to conduct series of simulations to observe appropriate clustering scenarios. (C) 2018 Elsevier Ltd. All rights reserved.</t>
  </si>
  <si>
    <t>[Wang, Yong; Assogba, Kevin; Liu, Yong; Xu, Maozeng] Chongqing Jiaotong Univ, Sch Econ &amp; Management, Chongqing 400074, Peoples R China; [Wang, Yong] Univ Elect Sci &amp; Technol, Sch Management &amp; Econ, Chengdu 610054, Sichuan, Peoples R China; [Ma, Xiaolei] Beihang Univ, Beijing Adv Innovat Ctr Big Data &amp; Brain Comp, Beijing 100191, Peoples R China; [Ma, Xiaolei] Beihang Univ, Sch Transportat Sci &amp; Engn, Beijing Key Lab Cooperat Vehicle Infrastruct Syst, Beijing 100191, Peoples R China;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</si>
  <si>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Beihang University; Beihang University; University of Washington; University of Washington Seattle; Tongji University</t>
  </si>
  <si>
    <t>Wang, Y; Assogba, K (corresponding author), Chongqing Jiaotong Univ, Sch Econ &amp; Management, Chongqing 400074, Peoples R China.;Wang, Y (corresponding author), Univ Elect Sci &amp; Technol, Sch Management &amp; Econ, Chengdu 610054, Sichuan, Peoples R China.</t>
  </si>
  <si>
    <t>yongwx6@gmail.com; kevinassogba@gmail.com; liuevery@gmail.com; xiaolei@buaa.edu.cn; xmzzrxhy@cqjtu.edu.cn; yinhai@uw.edu</t>
  </si>
  <si>
    <t>Assogba, Kevin/M-9366-2018; Li, Wang/M-1612-2019; Wang, Yong/IQV-5647-2023; Ma, Xiaolei/J-4069-2014</t>
  </si>
  <si>
    <t>Assogba, Kevin/0000-0002-0377-4576; Ma, Xiaolei/0000-0002-3841-5792; XU, Maozeng/0000-0003-2231-4222</t>
  </si>
  <si>
    <t>National Natural Science Foundation of China [71402011, 71471024, 51408019, 71432003, 51329801]; National Social Science Foundation of Chongqing China [2017YBGL133]; China Postdoctoral Science Foundation [2017T100692, 2016M600735]; Natural Science Foundation of Chongqing of China [cstc2015jcyjA30012, cstc2016jcyjA0023]; Fundamental Research Funds for Central Universities [YWF-17-BJ-Y-04]; key project of human social science of Chongqing Municipal Education Commission [17SKG067, 16SKGH067]; China Society of logistics surface project [2017CSLKT3-104]</t>
  </si>
  <si>
    <t>National Natural Science Foundation of China(National Natural Science Foundation of China (NSFC)); National Social Science Foundation of Chongqing China; China Postdoctoral Science Foundation(China Postdoctoral Science Foundation); Natural Science Foundation of Chongqing of China(Natural Science Foundation of Chongqing); Fundamental Research Funds for Central Universities(Fundamental Research Funds for the Central Universities); key project of human social science of Chongqing Municipal Education Commission; China Society of logistics surface project</t>
  </si>
  <si>
    <t>This research is supported by the National Natural Science Foundation of China (Project No. 71402011, 71471024, 51408019, 71432003, 51329801), National Social Science Foundation of Chongqing China (2017YBGL133), the China Postdoctoral Science Foundation (Project No. 2017T100692 and 2016M600735), the Natural Science Foundation of Chongqing of China (No. cstc2015jcyjA30012, cstc2016jcyjA0023), and the research is partly supported by the Fundamental Research Funds for Central Universities (YWF-17-BJ-Y-04), in addition, this research is partly supported by the key project of human social science of Chongqing Municipal Education Commission (17SKG067, 16SKGH067), and China Society of logistics surface project (2017CSLKT3-104).</t>
  </si>
  <si>
    <t>10.1016/j.eswa.2018.03.018</t>
  </si>
  <si>
    <t>GI2ZG</t>
  </si>
  <si>
    <t>WOS:000434239800017</t>
  </si>
  <si>
    <t>Abushaikha, I</t>
  </si>
  <si>
    <t>Abushaikha, Ismail</t>
  </si>
  <si>
    <t>The influence of logistics clustering on distribution capabilities: a qualitative study</t>
  </si>
  <si>
    <t>INTERNATIONAL JOURNAL OF RETAIL &amp; DISTRIBUTION MANAGEMENT</t>
  </si>
  <si>
    <t>Middle East; Logistics; Distribution; Capabilities; Clustering; FMCG</t>
  </si>
  <si>
    <t>SUPPLY CHAIN MANAGEMENT; AGGLOMERATION ECONOMIES; COMPETITIVE ADVANTAGE; OPERATIONS MANAGEMENT; INDUSTRY CLUSTERS; FIRM PERFORMANCE; IMPACT; PERSPECTIVE; INTEGRATION; INNOVATION</t>
  </si>
  <si>
    <t>Purpose The purpose of this paper is to explore why and how firms with logistics-intensive operations such as fast-moving consumer good (FMCG) distributors benefit from residing in logistics clusters. In particular, this study seeks to fill a gap in the understanding of how logistics clustering may influence FMCG firms' distribution capabilities. Design/methodology/approach Three case studies of FMCG distributors geographically agglomerated within Q Logistics Cluster in Jordan serve to elaborate the existing theory of clustering. Data were collected from 24 interviews as well as observational evidence of the FMCG distributors' outbound logistics operations. The unit of analysis was the interaction between FMCG distributors and other agents in the logistics cluster. Findings FMCG distributors tend to gravitate to clusters where logistics service providers and other FMCG firms co-locate. FMCG distributors interact intensively and benefit greatly from building ties with non-competitor distributors in a cluster. Informal personal relations, collaborative activities and knowledge sharing, learning opportunities and resource availability were found to act as mechanisms for generating distribution capabilities within a logistics cluster. Practical implications This study provides practical implications for FMCG logistics and distribution managers who make distribution centre (DC) location decisions. The study provides such managers and their firms with a deeper understanding of the importance of co-locating DCs in logistics clusters, and may help them in designing their supply networks. Originality/value This is the first scholarly work to uncover the various ways in which FMCG distributors benefit from logistics clustering and explain why they may differ in performance, building on observations of their capabilities. The study provides insight from an emerging market and encourages future researchers to conduct further studies on logistics clustering in order to bring relevant theory forward.</t>
  </si>
  <si>
    <t>[Abushaikha, Ismail] German Jordanian Univ, Dept Logist Sci, Amman, Jordan</t>
  </si>
  <si>
    <t>Abushaikha, I (corresponding author), German Jordanian Univ, Dept Logist Sci, Amman, Jordan.</t>
  </si>
  <si>
    <t>Abushaikha, Ismail/AAC-3965-2019</t>
  </si>
  <si>
    <t>0959-0552</t>
  </si>
  <si>
    <t>1758-6690</t>
  </si>
  <si>
    <t>INT J RETAIL DISTRIB</t>
  </si>
  <si>
    <t>Int. J. Retail Distrib. Manag.</t>
  </si>
  <si>
    <t>10.1108/IJRDM-01-2018-0018</t>
  </si>
  <si>
    <t>GM5YK</t>
  </si>
  <si>
    <t>WOS:000438226000004</t>
  </si>
  <si>
    <t>Sajadiyan, SM; Hosnavi, R; Karbasian, M; Abbasi, M</t>
  </si>
  <si>
    <t>Sajadiyan, Seyed Mohammad; Hosnavi, Reza; Karbasian, Mahdi; Abbasi, Morteza</t>
  </si>
  <si>
    <t>An approach for reliable circular supplier selection and circular closed-loop supply chain network design focusing on the collaborative costs, shortage, and circular criteria</t>
  </si>
  <si>
    <t>ENVIRONMENT DEVELOPMENT AND SUSTAINABILITY</t>
  </si>
  <si>
    <t>Product modules assignment; Supplier network design; Collaboration network; Reliable circular supplier selection and order allocation (RCSS&amp;OA); Backup suppliers; Collaborative costs</t>
  </si>
  <si>
    <t>Faced with new supply chain challenges, modern companies collaborate with suppliers and consider backup suppliers and circular supplier selection criteria. To resolve this problem, a hybrid approach of DSM clustering and a multi-objective model is developed for the issue of reliable circular supplier selection and order allocation in a circular closed-loop supply chain. The approach considered collaborative costs, circular criteria, shortage, collaboration network reliability, order allocation, competencies, module assignment, capacity, and backup suppliers at the same time and specified the optimal configuration of modules at the early stages of product design. We modeled collaborative costs as a quadratic function. The model maximized suppliers' circularity, skill level, and network reliability. We used the augmented epsilon constraint method to validate the model. The model was evaluated through numerical experiments on real and artificial datasets. The approach was applied to the electro-optical camera. With the implementation of the approach on the artificial network (15 suppliers), the optimal number of modules was equal to four, and the main suppliers = [1, 2, 3, 4, 9, 15], backup suppliers = [3, 4, 8], and optimal orders = [6, 2, 1, 1, 1, 3] were obtained. When it came to the electro-optical camera (10 suppliers), six modules were computed according to experts' opinions; the main suppliers = [1, 2, 3, 8, 9, 10] and the backup supplier = [4] were achieved. The results demonstrate the applicability and efficiency of the approach and effectively design a main and backup reliable circular supplier network with efficient costs, optimal modules, and backup suppliers. It is suggested that the approach be applied to other products and metaheuristic algorithms be employed to solve large-scale problems.</t>
  </si>
  <si>
    <t>[Sajadiyan, Seyed Mohammad] Payame Noor Univ, Dept Ind Engn, Tehran, Iran; [Hosnavi, Reza; Karbasian, Mahdi; Abbasi, Morteza] Malek Ashtar Univ Technol, Fac Management &amp; Ind Engn, Tehran, Iran</t>
  </si>
  <si>
    <t>Payame Noor University; Malek Ashtar University of Technology</t>
  </si>
  <si>
    <t>Sajadiyan, SM (corresponding author), Payame Noor Univ, Dept Ind Engn, Tehran, Iran.</t>
  </si>
  <si>
    <t>sajadiyan@pnu.ac.ir; hosnavi@mut.ac.ir; mkarbasi@mut-es.ac.ir; mabbasi@mut.ac.ir</t>
  </si>
  <si>
    <t>sajadiyan, seyed mohammad/AEL-2243-2022; Abbasi, Morteza/D-5529-2014</t>
  </si>
  <si>
    <t>sajadiyan, seyed mohammad/0000-0002-6654-142X;</t>
  </si>
  <si>
    <t>1387-585X</t>
  </si>
  <si>
    <t>1573-2975</t>
  </si>
  <si>
    <t>ENVIRON DEV SUSTAIN</t>
  </si>
  <si>
    <t>Environ. Dev. Sustain.</t>
  </si>
  <si>
    <t>2022 SEP 17</t>
  </si>
  <si>
    <t>10.1007/s10668-022-02668-x</t>
  </si>
  <si>
    <t>Green &amp; Sustainable Science &amp; Technology; Environmental Sciences</t>
  </si>
  <si>
    <t>4O6UP</t>
  </si>
  <si>
    <t>WOS:000854830600003</t>
  </si>
  <si>
    <t>Sila, I; Dobni, D</t>
  </si>
  <si>
    <t>Sila, Ismail; Dobni, Dawn</t>
  </si>
  <si>
    <t>Patterns of B2B e-commerce usage in SMEs</t>
  </si>
  <si>
    <t>Internet; Supply chain management; B2B electronic commerce; E-business; Contextual factors; Information technology; Small to medium-sized enterprises; Survey; Electronic commerce; United States of America</t>
  </si>
  <si>
    <t>SUPPLY-CHAIN MANAGEMENT; E-BUSINESS; INFORMATION-TECHNOLOGY; ADOPTION; SYSTEMS; PERFORMANCE; DETERMINANTS; ASSIMILATION; INNOVATION; COMPANIES</t>
  </si>
  <si>
    <t>Purpose - The purpose of this paper is to identify the B2B e-commerce (B2BEC) usage patterns of North American small- and medium-sized enterprises (SMEs) in their supply chains, the contextual factors that influence usage patterns, and the subsequent effects of these patterns on firm performance. Design/methodology/approach - The authors conducted an online survey of North American SMEs and obtained 229 responses. They utilized several statistical methods, including cluster analysis and profile analysis, to test five hypotheses. Findings - The TOE framework, supplemented with interorganizational factors, provides a valid theoretical guideline to study firms' B2BEC usage patterns. Three distinct types of B2BEC usage patterns - E-Limiteds, E-Leaders, and E-Laggards - emerged. Different sets of contextual factors contribute to the formation of these three patterns of B2BEC adoption. Higher levels of B2BEC usage result in stronger firm performance. Research limitations/implications - Future clustering variables could be more specific. The effects of other potential contextual factors should also be explored by future studies. This study can be replicated in other countries to determine whether the findings can be generalized. Practical implications - In light of the potential performance improvements that B2BEC adoption offers, managers should assess the risks associated with maintaining their current speed of e-business deployment versus the risks associated with escalating it. Organizations that have been more reactive should consider how well or ill their sluggish approach prepares them for navigating the inevitability of increasing sophistication in supply chain management. Originality/value - Limited empirical research exists on the B2BEC usage patterns of North American SMEs, the contextual factors that motivate them to adopt different B2BEC technologies in their supply chains, and how each of these usage patterns affects their performance. The current study contributes to the literature by shedding light on these issues.</t>
  </si>
  <si>
    <t>[Sila, Ismail] Girne Amer Univ, Fac Business &amp; Econ, Girne, Cyprus; [Dobni, Dawn] Univ Saskatchewan, Dept Management &amp; Mkt, Saskatoon, SK, Canada</t>
  </si>
  <si>
    <t>University of Saskatchewan</t>
  </si>
  <si>
    <t>Sila, I (corresponding author), Girne Amer Univ, Fac Business &amp; Econ, Girne, Cyprus.</t>
  </si>
  <si>
    <t>ismail.02908@yahoo.com</t>
  </si>
  <si>
    <t>8-9</t>
  </si>
  <si>
    <t>10.1108/02635571211264654</t>
  </si>
  <si>
    <t>047CN</t>
  </si>
  <si>
    <t>WOS:000311815400006</t>
  </si>
  <si>
    <t>Bai, XW; Ma, ZJ; Hou, Y; Li, YL; Yang, D</t>
  </si>
  <si>
    <t>Bai, Xiwen; Ma, Zhongjun; Hou, Yao; Li, Yiliang; Yang, Dong</t>
  </si>
  <si>
    <t>A Data-Driven Iterative Multi-Attribute Clustering Algorithm and Its Application in Port Congestion Estimation</t>
  </si>
  <si>
    <t>IEEE TRANSACTIONS ON INTELLIGENT TRANSPORTATION SYSTEMS</t>
  </si>
  <si>
    <t>Index Terms-Port congestion; ship trajectory; clustering algorithm; AIS; domain knowledge</t>
  </si>
  <si>
    <t>Container port congestion threatens the effectiveness and sustainability of the global supply chain because it stagnates cargo flows and triggers ripple effects across connected, multimodal freight transport networks. This study aims to develop a novel and tangible method to measure port congestion by investigating ship behaviors between different zones in port waters. Different port zones have varying ship densities because ships moor in the anchorage area randomly but dock at berths in an orderly and close fashion. This observation leads us to apply the density-based clustering method for port zone identification and differentiation. In order to ensure the method is globally applicable and accurate, we develop a new clustering algorithm, an iterative, multi-attribute DBSCAN (IMA-DBSCAN), which incorporates an iterative process, together with both spatial information and domain knowledge. The necessary input data for the algorithm is extracted from the Automatic Identification System (AIS), a satellite-based tracking system with real-time ship positioning and sailing data. An illustrative case suggests that our algorithm can rapidly and precisely identify anchorage areas and individual berths (even in a port with complicated geographic features), while other methods cannot. The algorithm is applied to measure congestion at 20 major container ports in the world. The results show a significant increase in congestion at the Port of Los Angeles from August to December 2020, which matches the realistic statistics and proves the efficiency and practical applicability of the proposed algorithm.</t>
  </si>
  <si>
    <t>[Bai, Xiwen; Ma, Zhongjun; Hou, Yao] Tsinghua Univ, Dept Ind Engn, Beijing 100084, Peoples R China; [Li, Yiliang] Univ Int Business &amp; Econ, Sch Int Trade &amp; Econ, Beijing 100029, Peoples R China; [Yang, Dong] Hong Kong Polytech Univ, Dept Logist &amp; Maritime Studies, Hong Kong 999077, Peoples R China</t>
  </si>
  <si>
    <t>Tsinghua University; University of International Business &amp; Economics; Hong Kong Polytechnic University</t>
  </si>
  <si>
    <t>Yang, D (corresponding author), Hong Kong Polytech Univ, Dept Logist &amp; Maritime Studies, Hong Kong 999077, Peoples R China.</t>
  </si>
  <si>
    <t>xiwenbai@mail.tsinghua.edu.cn; mazj21@mails.tsinghua.edu.cn; houy20@mails.tsinghua.edu.cn; yiliang_li@uibe.edu.cn; dong.yang@connect.polyu.hk</t>
  </si>
  <si>
    <t>Ma, Zhongjun/0000-0002-6790-4106; Li, Yiliang/0000-0002-2690-8493</t>
  </si>
  <si>
    <t>Research Grants Council of the Hong Kong Special Administrative Region, China [PolyU 15201722]; National Natural Science Foundation of China [72001123, 71971185]</t>
  </si>
  <si>
    <t>Research Grants Council of the Hong Kong Special Administrative Region, China(Hong Kong Research Grants Council); National Natural Science Foundation of China(National Natural Science Foundation of China (NSFC))</t>
  </si>
  <si>
    <t>This work was supported in part by the Research Grants Council of the Hong Kong Special Administrative Region, China, under Grant PolyU 15201722 and in part by the National Natural Science Foundation of China under Project 72001123 and Project 71971185. The Associate Editor for this article was E. Kaisar.~</t>
  </si>
  <si>
    <t>1524-9050</t>
  </si>
  <si>
    <t>1558-0016</t>
  </si>
  <si>
    <t>IEEE T INTELL TRANSP</t>
  </si>
  <si>
    <t>IEEE Trans. Intell. Transp. Syst.</t>
  </si>
  <si>
    <t>2023 JUL 17</t>
  </si>
  <si>
    <t>10.1109/TITS.2023.3286477</t>
  </si>
  <si>
    <t>Engineering, Civil; Engineering, Electrical &amp; Electronic; Transportation Science &amp; Technology</t>
  </si>
  <si>
    <t>N3CF1</t>
  </si>
  <si>
    <t>WOS:001035826900001</t>
  </si>
  <si>
    <t>Ozcan, S; Corum, A</t>
  </si>
  <si>
    <t>Ozcan, Sercan; Corum, Adnan</t>
  </si>
  <si>
    <t>A Scientometric Analysis of Remanufacturing by Mapping Scientific, Organizational, and National Concentration Zones</t>
  </si>
  <si>
    <t>Bibliometrics; Manufacturing; Economics; Sustainable development; Industries; Organizations; Data visualization; remanufacturing; sciento-metrics; tech-mining; technology analysis</t>
  </si>
  <si>
    <t>LOOP SUPPLY CHAIN; REVERSE LOGISTICS; PRODUCT RECOVERY; INVENTORY MODEL; IMPACT; NANOTECHNOLOGY; TECHNOLOGY; BULLWHIP; JOURNALS; SCIENCE</t>
  </si>
  <si>
    <t>The considerations of global sustainability have dramatically increased the importance of the remanufacturing process. Many scholars have started focusing on this vital area from both a management and an engineering point of view. Previous studies have aimed to categorize this area using traditional review approaches, using a smaller body of literature and mostly focusing on the managerial aspects of remanufacturing. Our paper is the only study for which tech-mining and scientometric methods are used to examine remanufacturing research, for the purpose of identifying top actors and key trends with regard to business and technological approaches. We combine both management- and engineering-related studies in this scientometric study. The results shed light on the principal actors, nations, organizations, and scientific domains in this field. Remanufacturing research is categorized using the co-occurrence-based clustering method. This paper identifies four broad research clusters: production planning and control of remanufacturing, material and remanufacturing engineering, supply chain management of remanufacturing process, and remanufacturing applications and new trends. This paper offers benefits to numerous parties: policymakers in the remanufacturing field, academics who wish to see the research domains, and those practitioners interested in the key management, processes, and technologies of remanufacturing activities.</t>
  </si>
  <si>
    <t>[Ozcan, Sercan] Univ Portsmouth, Portsmouth Business Sch, Portsmouth PO1 2UP, Hants, England; [Ozcan, Sercan] Bahcesehir Univ, Dept Engn Management, TR-34349 Istanbul, Turkey; [Corum, Adnan] Bahcesehir Univ, Dept Ind Engn, TR-34349 Istanbul, Turkey</t>
  </si>
  <si>
    <t>University of Portsmouth; Bahcesehir University; Bahcesehir University</t>
  </si>
  <si>
    <t>Ozcan, S (corresponding author), Univ Portsmouth, Portsmouth Business Sch, Portsmouth PO1 2UP, Hants, England.</t>
  </si>
  <si>
    <t>sercan.ozcan@port.ac.uk; adnan.corum@eng.bau.edu.tr</t>
  </si>
  <si>
    <t>Ozcan, Sercan/AAU-9012-2020</t>
  </si>
  <si>
    <t>Ozcan, Sercan/0000-0002-0482-7529</t>
  </si>
  <si>
    <t>10.1109/TEM.2019.2924199</t>
  </si>
  <si>
    <t>SF5KW</t>
  </si>
  <si>
    <t>WOS:000652795400011</t>
  </si>
  <si>
    <t>Gonzalez-Feliu, J; Morana, J; Grau, JMS; Ma, TY</t>
  </si>
  <si>
    <t>Gonzalez-Feliu, Jesus; Morana, Joelle; Grau, Josep-Maria Salanova; Ma, Tai-Yu</t>
  </si>
  <si>
    <t>DESIGN AND SCENARIO ASSESSMENT FOR COLLABORATIVE LOGISTICS AND FREIGHT TRANSPORT SYSTEMS</t>
  </si>
  <si>
    <t>INTERNATIONAL JOURNAL OF TRANSPORT ECONOMICS</t>
  </si>
  <si>
    <t>collaboration; resource sharing; logistics and transport design; simulation; scenario assessment</t>
  </si>
  <si>
    <t>GOODS TRANSPORT; COST-BENEFIT; MODEL; PREFERENCES; LOCATION; CHOICE</t>
  </si>
  <si>
    <t>Collaboration between partners is a very popular subject in both logistics and decision support research. However, transport management is often taken into account only as an external cost, without integration in collaborative reasoning. This paper proposes a framework to assess collaborative solutions in the context of logistics and freight transport, as well as to describe the links between freight transport and supply chain management in terms of collaboration techniques. First the main concepts of collaborative logistics in the distribution and transport fields are presented, highlighting the links between collaboration, freight transport and supply chain management. Then, the method to assess collaborative logistics and freight transport solutions is proposed. This method includes a design scheme, a hierarchic clustering technique and a dominance analysis method to unify the assessment of each individual and prepare collaborative research for a common solution. After that, the method is applied to the assessment of five scenarios derived from a real situation for the urban area of Lyon (France) to illustrate how difficult convergence towards consensus is. The results show that a global optimal solution for the entire set of stakeholders is not easy to identify and how the proposed method can be helpful for decision makers to achieve a consensus of common objectives.</t>
  </si>
  <si>
    <t>[Gonzalez-Feliu, Jesus; Ma, Tai-Yu] CNRS, Lab Econ Transports, F-69363 Lyon 07, France; [Morana, Joelle] Univ Lyon 2, Lab Econ Transports, F-69363 Lyon 07, France; [Grau, Josep-Maria Salanova] CERTH, Hellen Inst Transport, Thessaloniki, Greece</t>
  </si>
  <si>
    <t>Centre National de la Recherche Scientifique (CNRS); Centre for Research &amp; Technology Hellas</t>
  </si>
  <si>
    <t>Gonzalez-Feliu, J (corresponding author), CNRS, Lab Econ Transports, 14 Av Berthelot, F-69363 Lyon 07, France.</t>
  </si>
  <si>
    <t>jesus.gonzales-feliu@let.ish-lyon.cnrs.fr; joelle.morana@let.ish-lyon.cnrs.fr; jose@certh.gr; tai-yu.ma@let.ish-lyon.cnrs.fr</t>
  </si>
  <si>
    <t>Grau, Josep Maria Salanova/H-8657-2012; Gonzalez-Feliu, Jesus/Q-7749-2018</t>
  </si>
  <si>
    <t>Grau, Josep Maria Salanova/0000-0003-1564-2471; Gonzalez-Feliu, Jesus/0000-0002-0056-7627; Ma, Tai-yu/0000-0001-6900-098X</t>
  </si>
  <si>
    <t>FABRIZIO SERRA EDITORE</t>
  </si>
  <si>
    <t>PISA</t>
  </si>
  <si>
    <t>VIA SANTA BIBBIANA 28, PISA, I-56127, ITALY</t>
  </si>
  <si>
    <t>0391-8440</t>
  </si>
  <si>
    <t>INT J TRANSP ECON</t>
  </si>
  <si>
    <t>Int. J. Transp. Econ.</t>
  </si>
  <si>
    <t>Economics; Transportation</t>
  </si>
  <si>
    <t>Business &amp; Economics; Transportation</t>
  </si>
  <si>
    <t>197NX</t>
  </si>
  <si>
    <t>WOS:000322859000004</t>
  </si>
  <si>
    <t>Li, TY; Chen, LJ; Jia, F; Tang, O</t>
  </si>
  <si>
    <t>Li, Taiyu; Chen, Lujie; Jia, Fu; Tang, Ou</t>
  </si>
  <si>
    <t>The Development of an Industry Environment for the Internet of Things: Evidence From China</t>
  </si>
  <si>
    <t>Internet of Things; Industries; Complex networks; Companies; Supply chains; Sensors; Complex systems; Coevolution theory; complex network; Internet-of-things; supply chain management</t>
  </si>
  <si>
    <t>SPANNING TREE; TIME-SERIES; INFORMATION; MARKET</t>
  </si>
  <si>
    <t>The rapid development of the supply chain of the Internet of Things (IoT) industry may trigger financial risk contagion among IoT manufacturers. This article collects data on listed IoT companies in the Chinese market from 2010 to 2019 and explores the development of the environment for the IoT industry. Two dynamic time wrapping (DTW) networks are created to analyze the topological structures of the IoT industry environment. Both the standard DTW and strongly connected DTW networks are revolutionary in terms of their interconnectedness in the IoT industry. We found that the level of clustering and transitivity of the network continued to decline between 2010 and 2019; i.e., the efficiency of financial risk contagion on IoT networks was significantly reduced. This article contributes to the literature in two aspects. First, it reveals that China's IoT industry is increasingly competitive; financial risks have become more difficult to transfer. The IoT industry has become more robust and exhibits a lower likelihood of financial risk contagion. Second, the article provides empirical evidence for the theory of coevolution, showing that risk contagion ability in an industry setting is decreasing with the development of individual firms.</t>
  </si>
  <si>
    <t>[Li, Taiyu; Chen, Lujie] Xian Jiaotong Liverpool Univ, Int Business Sch Suzhou, Suzhou 215123, Peoples R China; [Jia, Fu] Univ York, York Management Sch, York Y010 5DD, N Yorkshire, England; [Tang, Ou] Linkoping Univ, Dept Management &amp; Engn, SE-58183 Linkoping, Sweden</t>
  </si>
  <si>
    <t>Xi'an Jiaotong-Liverpool University; University of York - UK; Linkoping University</t>
  </si>
  <si>
    <t>Chen, LJ (corresponding author), Xian Jiaotong Liverpool Univ, Int Business Sch Suzhou, Suzhou 215123, Peoples R China.</t>
  </si>
  <si>
    <t>taiyu.li@xjtlu.edu.cn; lujie.chen@xjtlu.edu.cn; fu.jia@york.ac.uk; ou.tang@liu.se</t>
  </si>
  <si>
    <t>Li, Taiyu/AAV-9267-2021</t>
  </si>
  <si>
    <t>Li, Taiyu/0000-0002-3033-3725</t>
  </si>
  <si>
    <t>National Natural Science Foundation of ChinaYoung Scientist Fund [71902159]; Key Program Special Fund in XJTLU [KSF-A-13]</t>
  </si>
  <si>
    <t>National Natural Science Foundation of ChinaYoung Scientist Fund; Key Program Special Fund in XJTLU</t>
  </si>
  <si>
    <t>This work was supported in part by the National Natural Science Foundation of ChinaYoung Scientist Fund under Grant 71902159, in part by the Key Program Special Fund in XJTLU under Grant KSF-A-06, and in part by the Key Program Special Fund in XJTLU under Grant KSF-A-13.</t>
  </si>
  <si>
    <t>2022 MAY 2</t>
  </si>
  <si>
    <t>10.1109/TEM.2022.3163298</t>
  </si>
  <si>
    <t>1A4FV</t>
  </si>
  <si>
    <t>WOS:000791715700001</t>
  </si>
  <si>
    <t>Paul, S; Davis, LB</t>
  </si>
  <si>
    <t>Paul, Shubhra; Davis, Lauren B.</t>
  </si>
  <si>
    <t>An ensemble forecasting model for predicting contribution of food donors based on supply behavior</t>
  </si>
  <si>
    <t>Food insecurity; Forecasting; Humanitarian supply chain; Ensemble model; Clustering; ARIMA; Support vector regression</t>
  </si>
  <si>
    <t>HUMANITARIAN LOGISTICS; SELECTION CRITERIA; DEMAND; ALGORITHM; SINGLE; STATE</t>
  </si>
  <si>
    <t>Food banks are nonprofit hunger relief organizations that collect donations from donors and distribute food to local agencies that serve people in need. Donors consist of local supermarkets, manufacturers, and community organizations. The frequency, quantity, and type of food donated by each donor can vary each month. In this research, we propose a technique to identify the supply behavior of donors and cluster them based on these attributes. We then develop a predictive ensemble model to forecast the contribution of different donor clusters. Our study shows the necessary behavioral attributes to classify donors and the best way to cluster donor data to improve the prediction model.</t>
  </si>
  <si>
    <t>[Paul, Shubhra; Davis, Lauren B.] North Carolina Agr &amp; Tech State Univ, Dept Ind &amp; Syst Engn, Greensboro, NC 27411 USA</t>
  </si>
  <si>
    <t>University of North Carolina; North Carolina A&amp;T State University</t>
  </si>
  <si>
    <t>Davis, LB (corresponding author), North Carolina Agr &amp; Tech State Univ, Dept Ind &amp; Syst Engn, Greensboro, NC 27411 USA.</t>
  </si>
  <si>
    <t>lbdavis@ncat.edu</t>
  </si>
  <si>
    <t>Davis, Lauren/HKO-2122-2023</t>
  </si>
  <si>
    <t>NSF Partnerships for Innovation Project Flexible, Equitable, Efficient, and Effective Distribution (FEEED) [IIP-1718672]</t>
  </si>
  <si>
    <t>NSF Partnerships for Innovation Project Flexible, Equitable, Efficient, and Effective Distribution (FEEED)</t>
  </si>
  <si>
    <t>We want to thank the Food Bank of Central and Eastern North Carolina for sharing data and continuous information for this research. This research is supported by NSF Partnerships for Innovation Project Flexible, Equitable, Efficient, and Effective Distribution (FEEED) (Award No. IIP-1718672).</t>
  </si>
  <si>
    <t>2021 JUL 22</t>
  </si>
  <si>
    <t>10.1007/s10479-021-04146-5</t>
  </si>
  <si>
    <t>TM8LD</t>
  </si>
  <si>
    <t>WOS:000675796200004</t>
  </si>
  <si>
    <t>Delafenestre, R</t>
  </si>
  <si>
    <t>Delafenestre, Regis</t>
  </si>
  <si>
    <t>New business models in supply chains: a bibliometric study</t>
  </si>
  <si>
    <t>Colloquium on European Research in Retailing</t>
  </si>
  <si>
    <t>Univ Surrey, Dept Mkt &amp; Retail Management, Surrey Business Sch, Guildford, ENGLAND</t>
  </si>
  <si>
    <t>Univ Surrey, Dept Mkt &amp; Retail Management, Surrey Business Sch</t>
  </si>
  <si>
    <t>Big data; Supply chain; Business models; Internet of Things; E-commerce; Blockchain</t>
  </si>
  <si>
    <t>DYNAMIC CAPABILITIES; GOOGLE SCHOLAR; RESEARCH-FRONT; E-COMMERCE; INTERNET; SCIENCE; COCITATION; CITATION; SCOPUS; WEB</t>
  </si>
  <si>
    <t>Purpose The purpose of this paper is to find and classify the most relevant works in the literature on the latest technologies applied in global supply chains. To help future researchers find the most relevant the authors according to the authors' research interest quickly and to provide insights into the most promising areas. Design/methodology/approach The authors provide a bibliometric analysis of 292 documents referenced in the Scopus (R) database clustering by relatedness of works and keywords. Findings The authors present insights and deduce new perspectives in the potential search for new business models. The authors show that in specific fields, some works and authors have a much greater influence than others. Research limitations/implications - Some documents published on the web or in paper form may be missing. The analyses largely depend on the choice of keywords. Another selection might have shown different results. Practical implications - This paper provides the basis for new research in applications of the latest technologies in supply chains and corresponding new business models. Originality/value This work is a first effort to help researchers make sense of the mass of published scientific results on new technologies and their impact on new supply chain business models.</t>
  </si>
  <si>
    <t>[Delafenestre, Regis] Skema Business Sch, Raleigh, NC 27606 USA</t>
  </si>
  <si>
    <t>SKEMA Business School</t>
  </si>
  <si>
    <t>Delafenestre, R (corresponding author), Skema Business Sch, Raleigh, NC 27606 USA.</t>
  </si>
  <si>
    <t>regis.delafenestre@skema.edu</t>
  </si>
  <si>
    <t>10.1108/IJRDM-12-2018-0281</t>
  </si>
  <si>
    <t>JL8RZ</t>
  </si>
  <si>
    <t>WOS:000495796100005</t>
  </si>
  <si>
    <t>Kucukvar, M; Onat, NC; Abdella, GM; Tatari, O</t>
  </si>
  <si>
    <t>Kucukvar, Murat; Onat, Nuri C.; Abdella, Galal M.; Tatari, Omer</t>
  </si>
  <si>
    <t>Assessing regional and global environmental footprints and value added of the largest food producers in the world</t>
  </si>
  <si>
    <t>Food, beverages and tobacco industry; Multi-region input-output analysis; Global supply chains; Sustainability assessment; Statistical analysis</t>
  </si>
  <si>
    <t>LIFE-CYCLE ASSESSMENT; SUSTAINABILITY ASSESSMENT FRAMEWORK; INPUT-OUTPUT DATABASE; CARBON FOOTPRINT; INTERNATIONAL-TRADE; ELECTRIC VEHICLES; IMPACT ASSESSMENT; GREENHOUSE-GAS; MANUFACTURING SECTORS; SUPPLY CHAINS</t>
  </si>
  <si>
    <t>This research aims to provide important insights regarding the environmental and socioeconomic impacts of the world's largest food producing countries based on four sustainability metrics: energy use, carbon footprint, value-added and compensation of employees by low, medium and high-skill groups. World Input-Output Database is used as a detailed and intercountry and sector economic database. To compare the results between global databases, Eora and EXIOBASE are also used for comparative analysis. Three statistical analysis techniques such as Mann-Kendal trend test, matching index and k-means clustering algorithm are applied to provide a further insight from the analysis. The results are presented for three categories: regional on-site, regional supply chain, and global supply chain. The agriculture industry has the largest environmental footprints in food supply chains. Based on the Mann-Kendall trend test, there is a statistically significant trend in carbon, energy, and employment indicators. The maximum value of the matching-index of the overall impact (0.92) is achieved between the EXIOBASE and WIOD databases. China and USA are positioned in different clusters based on total sustainability performance when using different MRIO databases.</t>
  </si>
  <si>
    <t>[Kucukvar, Murat; Abdella, Galal M.] Qatar Univ, Coll Engn, Dept Mech &amp; Ind Engn, Doha, Qatar; [Onat, Nuri C.] Qatar Univ, Coll Engn, Transportat &amp; Traff Safety Ctr, Doha, Qatar; [Tatari, Omer] Univ Cent Florida, Dept Civil Environm &amp; Construct Engn, Orlando, FL 32816 USA</t>
  </si>
  <si>
    <t>Qatar University; Qatar University; State University System of Florida; University of Central Florida</t>
  </si>
  <si>
    <t>Kucukvar, M (corresponding author), Qatar Univ, Coll Engn, Dept Mech &amp; Ind Engn, Doha, Qatar.</t>
  </si>
  <si>
    <t>mkucukvar@qu.equ.qa</t>
  </si>
  <si>
    <t>Kucukvar, Murat/CAJ-4050-2022; Onat, Nuri C./A-7575-2016</t>
  </si>
  <si>
    <t>Kucukvar, Murat/0000-0002-4101-2628; Onat, Nuri C./0000-0002-0263-5144; Tatari, Omer/0000-0002-8150-992X</t>
  </si>
  <si>
    <t>10.1016/j.resconrec.2019.01.048</t>
  </si>
  <si>
    <t>HP2VZ</t>
  </si>
  <si>
    <t>WOS:000461534800020</t>
  </si>
  <si>
    <t>Regional renewable energy and resource planning</t>
  </si>
  <si>
    <t>5th Dubrovnik Conference on Sustainable Development of Energy, Water and Environment Systems</t>
  </si>
  <si>
    <t>SEP, 2009</t>
  </si>
  <si>
    <t>Dubrovnik, CROATIA</t>
  </si>
  <si>
    <t>Renewables; Regional energy clustering; Biomass supply chain; Regional Energy Cascade Analysis; Resource planning; Carbon footprint minimisation</t>
  </si>
  <si>
    <t>LAND-USE; CARBON FOOTPRINT; SUPPLY CHAINS; MANAGEMENT; BIODIVERSITY; EMISSIONS</t>
  </si>
  <si>
    <t>The exploitation of the energy potential in biomass in a specific geographical region is frequently constrained by high production costs and the amount of land required per unit of energy generated In addition the distributed nature of the biomass resource and its normally low energy density may result in large transportation costs Biomass also requires large land areas to collect and process the incoming solar radiation before the energy can be harvested Previously published works on regional energy clustering (REC) and the Regional Resources Management Composite Curve RRMCC (in this paper shortened to RMC) have been extended in this paper to tackle simultaneously the issues of the biomass supply chain transportation and land use The RMC is a tool for supporting decision making in regional resource management It provides a complete view of energy and land availability in a region displaying their trade-offs in a single plot The extension presented in this work has been developed in two steps The first step presents the Regional Energy Cascade Analysis which estimates the energy target within regional supply chains and provides the result for energy exchange flows between zones, the quantity of energy required to be imported/exported and the locations of the demands In the second step, the initial results are analysed against potential measures for improving the energy and land use targets by using the RMC and a set of rules for its manipulation The presented method provides the option to assess the priorities either to produce and sell the surplus energy on the fuel market or use the land for other purposes such as food production This extended approach is illustrated with a comprehensive case study demonstrating that with the RMC application it is possible to maximise the land use and to maximise the biofuel production for the requested energy demand (C) 2010 Elsevier Ltd All rights reserved</t>
  </si>
  <si>
    <t>[Lam, Hon Loong; Varbanov, Petar Sabev; Klemes, Jiri Jaromir] Univ Pannonia, Res Inst Chem &amp; Proc Engn FIT, Ctr Proc Integrat &amp; Intensificat CPI2, EC MC Chair EXC INEMAGLOW, H-8200 Veszprem, Hungary</t>
  </si>
  <si>
    <t>Lam, HL (corresponding author), Univ Pannonia, Res Inst Chem &amp; Proc Engn FIT, Ctr Proc Integrat &amp; Intensificat CPI2, EC MC Chair EXC INEMAGLOW, Egyet U 10, H-8200 Veszprem, Hungary.</t>
  </si>
  <si>
    <t>Varbanov, Petar Sabev/B-8954-2009; Klemes, Jiri Jaromir/B-7291-2009; Lam, Loong/A-7422-2010; Lam, Hon Loong/H-1438-2016</t>
  </si>
  <si>
    <t>10.1016/j.apenergy.2010.05.019</t>
  </si>
  <si>
    <t>690BJ</t>
  </si>
  <si>
    <t>WOS:000284974800016</t>
  </si>
  <si>
    <t>He, ML; Yu, WP; Han, XY</t>
  </si>
  <si>
    <t>He, Mingli; Yu, Weiping; Han, Xiaoyun</t>
  </si>
  <si>
    <t>Bibliometric Review on Corporate Social Responsibility of the Food Industry</t>
  </si>
  <si>
    <t>JOURNAL OF FOOD QUALITY</t>
  </si>
  <si>
    <t>SUPPLY CHAIN MANAGEMENT; NUTRITIONAL INFORMATION; CONCEPTUAL-FRAMEWORK; CONSUMER REACTIONS; WATER MANAGEMENT; ORGANIC FOOD; SUSTAINABILITY; HEALTH; IMPACT; CSR</t>
  </si>
  <si>
    <t>Corporate social responsibility (CSR) in the food industry has received increasing attention in recent years. Many scholars have paid attention to case studies and other empirical analyses in this field, but there is no systematic or scientific literature review. The purpose of this study is to quantitatively evaluate the knowledge structure, research hotspots, and development history in CSR in the food industry. After searching, screening, and commenting, 498 articles were left for citation analysis, co-citation analysis, and co-word analysis. The main findings of the research are as follows: (1) The overall development status of the research in the field. The analysis of the three fields that constitute the knowledge structure. (2) Research in this field has become a hot spot, but the research is rather scattered, and the scholars and experts do not have a special research core. (3) The keywords' cluster results in 9 clustering tags, which are further grouped into 7 groups. The research of the scholars focuses on the food supply chain, consumer perception, and social media communication. (4) The research topics in this field focus on environmental responsibility, nutrition and health, and food safety. The research results show that future research should be more in-depth and reflect the new characteristics of the Internet, digitalization, and big data.</t>
  </si>
  <si>
    <t>[He, Mingli; Yu, Weiping; Han, Xiaoyun] Sichuan Univ, Business Sch, Chengdu 610065, Peoples R China</t>
  </si>
  <si>
    <t>Yu, WP (corresponding author), Sichuan Univ, Business Sch, Chengdu 610065, Peoples R China.</t>
  </si>
  <si>
    <t>hemingliii@outlook.com; lhyycoai@163.com; jyys5es@163.com</t>
  </si>
  <si>
    <t>He, Mingli/0000-0002-1119-8038; Yu, Weiping/0000-0002-6877-2571</t>
  </si>
  <si>
    <t>Chinese National Funding of Social Sciences [18AGL010]</t>
  </si>
  <si>
    <t>Chinese National Funding of Social Sciences</t>
  </si>
  <si>
    <t>This work was supported by the Chinese National Funding of Social Sciences (Grant no. 18AGL010).</t>
  </si>
  <si>
    <t>0146-9428</t>
  </si>
  <si>
    <t>1745-4557</t>
  </si>
  <si>
    <t>J FOOD QUALITY</t>
  </si>
  <si>
    <t>J. Food Qual.</t>
  </si>
  <si>
    <t>JUN 30</t>
  </si>
  <si>
    <t>10.1155/2022/7858396</t>
  </si>
  <si>
    <t>2X3RF</t>
  </si>
  <si>
    <t>WOS:000825124000002</t>
  </si>
  <si>
    <t>Bhattacharya, A; Kumar, SA; Tiwari, MK; Talluri, S</t>
  </si>
  <si>
    <t>Bhattacharya, Arnab; Kumar, Sai Anjani; Tiwari, M. K.; Talluri, S.</t>
  </si>
  <si>
    <t>An intermodal freight transport system for optimal supply chain logistics</t>
  </si>
  <si>
    <t>TRANSPORTATION RESEARCH PART C-EMERGING TECHNOLOGIES</t>
  </si>
  <si>
    <t>Spatio-temporal data mining; Intermodal transport; Support vector machines; Mixed integer programming</t>
  </si>
  <si>
    <t>SUPPORT VECTOR REGRESSION; URBAN TRAFFIC FLOW; PREDICTION; CONTAINERS; NETWORKS; MODELS; VOLUME; TRAINS</t>
  </si>
  <si>
    <t>Complexity in transport networks evokes the need for instant response to the changing dynamics and uncertainties in the upstream operations, where multiple modes of transport are often available, but rarely used in conjunction. This paper proposes a model for strategic transport planning involving a network wide intermodal transport system. The system determines the spatio-temporal states of road based freight networks (unimodal) and future traffic flow in definite time intervals. This information is processed to devise efficient scheduling plans by coordinating and connecting existing rail transport schedules to road based freight systems (intermodal). The traffic flow estimation is performed by kernel based support vector mechanisms while mixed integer programming (MIP) is used to optimize schedules for intermodal transport network by considering various costs and additional capacity constraints. The model has been successfully applied to an existing Fast Moving Consumer Goods (FMCG) distribution network in India with encouraging results, (C) 2013 Elsevier Ltd. All rights reserved.</t>
  </si>
  <si>
    <t>[Bhattacharya, Arnab; Kumar, Sai Anjani; Tiwari, M. K.] Indian Inst Technol, Dept Ind Engn &amp; Management, Kharagpur 721302, W Bengal, India; [Talluri, S.] Michigan State Univ, Broad Sch Business, Dept Supply Chain Management, E Lansing, MI 48824 USA</t>
  </si>
  <si>
    <t>Indian Institute of Technology System (IIT System); Indian Institute of Technology (IIT) - Kharagpur; Michigan State University</t>
  </si>
  <si>
    <t>Tiwari, MK (corresponding author), Indian Inst Technol, Dept Ind Engn &amp; Management, Kharagpur 721302, W Bengal, India.</t>
  </si>
  <si>
    <t>talluri@msu.edu</t>
  </si>
  <si>
    <t>Tiwari, Manoj Kumar/B-3592-2012</t>
  </si>
  <si>
    <t>Tiwari, Manoj Kumar/0000-0001-8564-1402; Bhattacharya, Arnab/0000-0002-3727-350X</t>
  </si>
  <si>
    <t>0968-090X</t>
  </si>
  <si>
    <t>TRANSPORT RES C-EMER</t>
  </si>
  <si>
    <t>Transp. Res. Pt. C-Emerg. Technol.</t>
  </si>
  <si>
    <t>10.1016/j.trc.2013.10.012</t>
  </si>
  <si>
    <t>Transportation Science &amp; Technology</t>
  </si>
  <si>
    <t>AA8JX</t>
  </si>
  <si>
    <t>WOS:000331342900006</t>
  </si>
  <si>
    <t>Sodiya, OE; Parajuli, R; Abt, RC; Gray, J</t>
  </si>
  <si>
    <t>Sodiya, Olakunle E.; Parajuli, Rajan; Abt, Robert C.; Gray, Joshua</t>
  </si>
  <si>
    <t>Spatial Analysis of Forest Product Manufacturers in North Carolina</t>
  </si>
  <si>
    <t>FOREST SCIENCE</t>
  </si>
  <si>
    <t>forest product manufacturers; clustering; hot spots analysis; economic development; forest resources</t>
  </si>
  <si>
    <t>CLUSTERS; INDUSTRY; POLICY; STATISTICS</t>
  </si>
  <si>
    <t>Spatial analysis of industrial locations is an important tool for cluster-based economic development that helps identify hot spots for attracting new businesses in a particular region. The forest product industry in North Carolina (NC) is the top employer among all manufacturing sectors, with a substantial contribution to the state economy. Using geographic information system tools, we examined the current spatial distribution of the primary and secondary forest product manufacturers (FPM) and available forest resources to identify major hot spots in NC. Additionally, by estimating count data models, this study evaluated factors influencing the location of FPMs across counties in NC. Our results suggested that primary FPMs exhibit a higher spatial dependency relative to secondary FPMs. Similarly, regression results suggested that the counties near cities with high population, hot spots of raw materials, and better county economy are more likely to host both primary and secondary FPMs in the counties of NC. The findings of this study shed light on how the clustering of forest product manufacturing firms may influence competition between FPMs, sustainable supply of raw materials, and supply-chain networks in forest-dependent rural regions. Study Implications: Results suggested that counties with a presence of primary forest product manufacturers are more likely to host secondary forest product manufacturers, which reinforces the coagglomeration of primary and secondary forest product manufacturers (FPMs) in North Carolina. The interaction between primary and secondary FPMs is therefore important for the sustainable supply-chain network in the forest product industry. Moreover, the identified hot spots, especially in counties that do not currently host a forest products industry, could be potential locations for new mills. As our findings suggest that roads are an important determinant in locating both primary and secondary FPMs, more investment in the transportation system could boost the forest product industry in certain counties in NC.</t>
  </si>
  <si>
    <t>[Sodiya, Olakunle E.; Parajuli, Rajan; Abt, Robert C.; Gray, Joshua] North Carolina State Univ, Dept Forestry &amp; Environm Resources, Raleigh, NC 27695 USA</t>
  </si>
  <si>
    <t>North Carolina State University</t>
  </si>
  <si>
    <t>Parajuli, R (corresponding author), North Carolina State Univ, Dept Forestry &amp; Environm Resources, Raleigh, NC 27695 USA.</t>
  </si>
  <si>
    <t>oesodiya@ncsu.edu; rparaju@ncsu.edu; bobabt@ncsu.edu; josh_gray@ncsu.edu</t>
  </si>
  <si>
    <t>Sodiya, Olakunle/HMV-6784-2023</t>
  </si>
  <si>
    <t>Parajuli, Rajan/0000-0002-7493-4485; Gray, Josh/0000-0003-4341-4353; SODIYA, OLAKUNLE/0000-0003-0435-1951</t>
  </si>
  <si>
    <t>North Carolina Forest Service as a part of the USDA Forest Service Landscape Scale Restoration Grant; [18-119-4026]</t>
  </si>
  <si>
    <t>North Carolina Forest Service as a part of the USDA Forest Service Landscape Scale Restoration Grant;</t>
  </si>
  <si>
    <t>This research was funded by the North Carolina Forest Service as a part of the USDA Forest Service Landscape Scale Restoration Grant (18-119-4026).</t>
  </si>
  <si>
    <t>OXFORD UNIV PRESS INC</t>
  </si>
  <si>
    <t>CARY</t>
  </si>
  <si>
    <t>JOURNALS DEPT, 2001 EVANS RD, CARY, NC 27513 USA</t>
  </si>
  <si>
    <t>0015-749X</t>
  </si>
  <si>
    <t>1938-3738</t>
  </si>
  <si>
    <t>FOREST SCI</t>
  </si>
  <si>
    <t>For. Sci.</t>
  </si>
  <si>
    <t>10.1093/forsci/fxac045</t>
  </si>
  <si>
    <t>8M7QJ</t>
  </si>
  <si>
    <t>WOS:000899537600001</t>
  </si>
  <si>
    <t>Ketter, W; Collins, J; Gini, M; Gupta, A; Schrater, P</t>
  </si>
  <si>
    <t>Poutre, HL; Sadeh, NM; Janson, S</t>
  </si>
  <si>
    <t>Ketter, Wolfgang; Collins, John; Gini, Maria; Gupta, Alok; Schrater, Paul</t>
  </si>
  <si>
    <t>Identifying and forecasting economic regimes in TAC SCM</t>
  </si>
  <si>
    <t>AGENT-MEDIATED ELECTRONIC COMMERCE: DESIGNING TRADING AGENTS AND MECHANISMS</t>
  </si>
  <si>
    <t>LECTURE NOTES IN ARTIFICIAL INTELLIGENCE</t>
  </si>
  <si>
    <t>7th Workshop on Agent-Mediated Electronic Commerce - Designing Mechanisms and Systems</t>
  </si>
  <si>
    <t>JUL, 2005</t>
  </si>
  <si>
    <t>Utrecht, NETHERLANDS</t>
  </si>
  <si>
    <t>We present methods for an autonomous agent to identify dominant market conditions, such as over-supply or scarcity, and to forecast market changes. We show that market conditions can be characterized by distinguishable statistical patterns that can be learned from historic data and used, together with realtime observable information, to identify the current market regime and to forecast market changes. We use a Gaussian Mixture Model to represent the probabilities of market prices and, by clustering these probabilities, we identify different economic regimes. We show that the regimes so identified have properties that correlate with market factors that are not directly observable. We then present methods to predict regime changes. We validate our methods by presenting experimental results obtained with data from the Trading Agent Competition for Supply Chain Management.</t>
  </si>
  <si>
    <t>Univ Minnesota, Dept Comp Sci &amp; Engn, Minneapolis, MN 55455 USA; Univ Minnesota, Dept Informat &amp; Decis Sci, Minneapolis, MN 55455 USA</t>
  </si>
  <si>
    <t>University of Minnesota System; University of Minnesota Twin Cities; University of Minnesota System; University of Minnesota Twin Cities</t>
  </si>
  <si>
    <t>Ketter, W (corresponding author), Univ Minnesota, Dept Comp Sci &amp; Engn, Minneapolis, MN 55455 USA.</t>
  </si>
  <si>
    <t>ketter@cs.umn.edu; jcollins@cs.umn.edu; gini@cs.umn.edu; agupta@csom.umn.edu; schrater@cs.umn.edu</t>
  </si>
  <si>
    <t>Gupta, Alok/ABD-7555-2021; Gini, Maria/AAE-3807-2020; Gupta, Alok/AAF-4281-2020; Gini, Maria L./A-5107-2012; Ketter, Wolfgang/W-4931-2017</t>
  </si>
  <si>
    <t>Gupta, Alok/0000-0002-2097-1643; Gini, Maria/0000-0001-8841-1055; Gupta, Alok/0000-0002-2097-1643; Gini, Maria L./0000-0001-8841-1055; Ketter, Wolfgang/0000-0001-9008-142X; Collins, John/0000-0002-7881-4595</t>
  </si>
  <si>
    <t>3-540-46242-2</t>
  </si>
  <si>
    <t>BFF48</t>
  </si>
  <si>
    <t>WOS:000241593000009</t>
  </si>
  <si>
    <t>Nakao, J; Nishi, T</t>
  </si>
  <si>
    <t>Nakao, Jun; Nishi, Tatsushi</t>
  </si>
  <si>
    <t>A bilevel production planning using machine learning-based customer modeling</t>
  </si>
  <si>
    <t>Supply chain management; Mass customization; Production planning; Customer's modeling; Machine learning</t>
  </si>
  <si>
    <t>SUPPLY CHAIN OPTIMIZATION; MASS CUSTOMIZATION; SEGMENTATION; DECADE; RFM</t>
  </si>
  <si>
    <t>Mass customization is an important strategy to improve production systems to satisfy customers' preferences while maintaining production efficiency for mass production. Module production is one of the ways to achieve mass customization, and products are produced by combining modules. In the module production, it becomes much more important for manufacturing companies to reflect customers' preferences for selling products. The manufacturer can increase its total profit by providing customized products that satisfy customers' preferences by increasing customers' satisfaction. In conventional production planning, there are some cases where module production is conducted by the demands from customers' preferences. However, the customer decision-making model has not been employed in the production planning model. In this paper, a production planning model incorporating customers' preferences is developed. The customers' purchasing behavior is generated by using a machine learning model. Customer segmentation is conducted by clustering data that uses the purchase data of multiple customers. The resulting production planning model is a bilevel production planning problem consisting of a single company and multiple customers. Each company can sell products that combine modules that customers require in each segment. We show that the proposed model can obtain higher customers' satisfaction with greater profits than the model that does not employ the customers' purchasing model.</t>
  </si>
  <si>
    <t>[Nakao, Jun; Nishi, Tatsushi] Okayama Univ, Grad Sch Nat Sci &amp; Technol, 3-1-1 Tsushima Naka,Kita Ku, Okayama, Okayama 7008530, Japan</t>
  </si>
  <si>
    <t>Okayama University</t>
  </si>
  <si>
    <t>Nishi, T (corresponding author), Okayama Univ, Grad Sch Nat Sci &amp; Technol, 3-1-1 Tsushima Naka,Kita Ku, Okayama, Okayama 7008530, Japan.</t>
  </si>
  <si>
    <t>nishi.tatsushi@okayama-u.ac.jp</t>
  </si>
  <si>
    <t>JSPS KAKENHI [18H03826]; KIBAN(B) [22H01714]</t>
  </si>
  <si>
    <t>JSPS KAKENHI(Ministry of Education, Culture, Sports, Science and Technology, Japan (MEXT)Japan Society for the Promotion of ScienceGrants-in-Aid for Scientific Research (KAKENHI)); KIBAN(B)</t>
  </si>
  <si>
    <t>This research was supported by JSPS KAKENHI (A) 18H03826 and KIBAN(B) 22H01714. The authors would like to thank anonymous reviewers for their valuable comments.</t>
  </si>
  <si>
    <t>KDX Iidabashi Square Bldg, 2nd Floor, 4-1 Shin-ogawamachi, Shinjuku-ku, TOKYO, 162-0814, JAPAN</t>
  </si>
  <si>
    <t>21-00393</t>
  </si>
  <si>
    <t>10.1299/jamdsm.2022jamdsm0037</t>
  </si>
  <si>
    <t>5Z3PJ</t>
  </si>
  <si>
    <t>WOS:000879887700012</t>
  </si>
  <si>
    <t>Yeo, LS; Teng, SY; Ng, WPQ; Lim, CH; Leong, WD; Lam, HL; Wong, YC; Sunarso, J; How, BS</t>
  </si>
  <si>
    <t>Yeo, Lip Siang; Teng, Sin Yong; Ng, Wendy Pei Qin; Lim, Chun Hsion; Leong, Wei Dong; Lam, Hon Loong; Wong, Yat Choy; Sunarso, Jaka; How, Bing Shen</t>
  </si>
  <si>
    <t>Sequential optimization of process and supply chains considering re-refineries for oil and gas circularity</t>
  </si>
  <si>
    <t>Waste lubricant oil treatment; Circular economy; Sustainable supply chain management; Information entropy; Multi-objective optimization; Vehicle routing problem</t>
  </si>
  <si>
    <t>LUBRICANT OIL; REGENERATION; EXTRACTION; ECONOMY</t>
  </si>
  <si>
    <t>The United Nations Climate Change Conference COP26 held in 2021 concluded a global effort to hasten the energy transition toward a net-zero emission industry. As such, green initiatives, which transition the conventional oil and gas (O&amp;G) sector towards a circular economy (CE) are necessary. In this work, the integration of waste oil re-refining technology is proposed as a potential strategy to enhance the circularity of the O&amp;G industry. A two-step sequential model, which incorporates multiple systematic analytical tools (e.g., multi-objective decision analysis, information entropy, geospatial information, clustering, and routing analysis) is developed to determine: (i) optimal waste oil re-refinery technologies, and (ii) optimal supply chain design, which addresses the location for setting up the process facilities and the delivery routes, with the consideration of both economic and environmental performances. The effectiveness of the proposed strategy is demonstrated through a case study in Malaysia (that covers both East and West Malaysia). The analysis showed that the proposed strategy is capable of improving economic and environmental performances by about 9.59% and 46.55%, respectively. This work is essentially a useful reference for decision-makers and policymakers in making nationwide transition planning in the O&amp;G sector.</t>
  </si>
  <si>
    <t>[Yeo, Lip Siang; Sunarso, Jaka; How, Bing Shen] Swinburne Univ Technol, Fac Engn Comp &amp; Sci, Res Ctr Sustainable Technol, Jalan Simpang Tiga, Sarawak 93350, Malaysia; [Teng, Sin Yong] Radboud Univ Nijmegen, Inst Mol &amp; Mat, POB 9010, NL-6500 GL Nijmegen, Netherlands; [Ng, Wendy Pei Qin] Univ Teknol Brunei, Petr &amp; Chem Engn Programme Area, Gadong, Brunei; [Lim, Chun Hsion] Heriot Watt Univ Malaysia, Sch Engn &amp; Phys Sci, Jalan Venna P5-2, Putrajaya 62200, Malaysia; [Leong, Wei Dong] Monash Univ Malaysia, Sch Engn, Chem Engn Discipline, Jalan Lagoon Selatan, Bandar Sunway 47500, Selangor Darul, Malaysia; [Lam, Hon Loong] Univ Nottingham Malaysia Campus, Dept Chem &amp; Environm Engn, Jalan Broga, Semenyih 43500, Selangor, Malaysia; [Wong, Yat Choy] Swinburne Univ Technol, Dept Mech Engn &amp; Prod Design Engn, John St, Hawthorn, Vic 3122, Australia</t>
  </si>
  <si>
    <t>Swinburne University of Technology; Radboud University Nijmegen; University of Technology Brunei; Heriot Watt University; Monash University; Monash University Sunway; University of Nottingham Malaysia; Swinburne University of Technology</t>
  </si>
  <si>
    <t>How, BS (corresponding author), Swinburne Univ Technol, Fac Engn Comp &amp; Sci, Res Ctr Sustainable Technol, Jalan Simpang Tiga, Sarawak 93350, Malaysia.</t>
  </si>
  <si>
    <t>lyeo@swinburne.edu.my; sinyong.teng@ru.nl; peiqin.ng@utb.edu.bn; l.chun_hsion@hw.ac.uk; leong.weidong@monash.edu; honloong.lam@nottingham.edu.my; ywong@swin.edu.au; jsunarso@swinburne.edu.my; bshow@swinburne.edu.my</t>
  </si>
  <si>
    <t>Sunarso, Jaka/B-9077-2008; Teng, Sin Yong/V-3902-2019</t>
  </si>
  <si>
    <t>Sunarso, Jaka/0000-0002-5234-7431; Teng, Sin Yong/0000-0002-2988-8053; Lim, Chun Hsion/0000-0001-5224-6676; Yeo, Lip Siang/0009-0002-8790-7192</t>
  </si>
  <si>
    <t>Ministry of Higher Education (MOHE) , Malaysia, via FRGS Grant [FRGS/1/2020/TK0/SWIN/03/3]; Swinburne University of Technology Sarawak Campus</t>
  </si>
  <si>
    <t>Ministry of Higher Education (MOHE) , Malaysia, via FRGS Grant; Swinburne University of Technology Sarawak Campus</t>
  </si>
  <si>
    <t>The authors would like to acknowledge the financial supports from (i) the Ministry of Higher Education (MOHE) , Malaysia, via FRGS Grant (FRGS/1/2020/TK0/SWIN/03/3) and (ii) Swinburne University of Technology Sarawak Campus in the form of Fee waiver scholarship.</t>
  </si>
  <si>
    <t>SEP 15</t>
  </si>
  <si>
    <t>10.1016/j.apenergy.2022.119485</t>
  </si>
  <si>
    <t>4Y5RP</t>
  </si>
  <si>
    <t>WOS:000861585300003</t>
  </si>
  <si>
    <t>Ryder, R; Fearne, A</t>
  </si>
  <si>
    <t>Procurement best practice in the food industry: supplier clustering as a source of strategic W competitive advantage</t>
  </si>
  <si>
    <t>food industry; purchasing; business process re-engineering; supply-chain management; organizational restructuring</t>
  </si>
  <si>
    <t>Looks at the way in which a pizza manufacturing company, supplying both branded and own-label products to the Irish and UK retail markets, undertook a major restructuring of its procurement and manufacturing processes. Numerous sub-processing activities were having adverse effects on capability utilization and manufacturing efficiency at a time of increasing demand. Process re-engineering was required. illustrates the approaches taken towards two projects: first, cheese supply and, second, packaging. Notes there was a steep learning curve for the management and operations staff and also resistance to change from within the firm and from some suppliers. Provides a list of critically important points learned from the experience.</t>
  </si>
  <si>
    <t>Univ London Imperial Coll Sci Technol &amp; Med, Ctr Food Chain Res, Ashford, Kent, England</t>
  </si>
  <si>
    <t>Imperial College London</t>
  </si>
  <si>
    <t>EMERALD</t>
  </si>
  <si>
    <t>BRADFORD</t>
  </si>
  <si>
    <t>60/62 TOLLER LANE, BRADFORD BD8 9BY, W YORKSHIRE, ENGLAND</t>
  </si>
  <si>
    <t>10.1108/13598540310463314</t>
  </si>
  <si>
    <t>709KC</t>
  </si>
  <si>
    <t>WOS:000184623500002</t>
  </si>
  <si>
    <t>Xu, M; Chen, XT; Kou, G</t>
  </si>
  <si>
    <t>Xu, Min; Chen, Xingtong; Kou, Gang</t>
  </si>
  <si>
    <t>A systematic review of blockchain</t>
  </si>
  <si>
    <t>FINANCIAL INNOVATION</t>
  </si>
  <si>
    <t>Blockchain; Systematic literature review; Business and economics; CiteSpace</t>
  </si>
  <si>
    <t>SMART CONTRACTS; SUPPLY-CHAIN; WILL CHANGE; TECHNOLOGY; GOVERNANCE; FRAMEWORK; IMPACT; ISSUES</t>
  </si>
  <si>
    <t>Blockchain is considered by many to be a disruptive core technology. Although many researchers have realized the importance of blockchain, the research of blockchain is still in its infancy. Consequently, this study reviews the current academic research on blockchain, especially in the subject area of business and economics. Based on a systematic review of the literature retrieved from the Web of Science service, we explore the top-cited articles, most productive countries, and most common keywords. Additionally, we conduct a clustering analysis and identify the following five research themes: economic benefit, blockchain technology, initial coin offerings, fintech revolution, and sharing economy. Recommendations on future research directions and practical applications are also provided in this paper.</t>
  </si>
  <si>
    <t>[Xu, Min; Chen, Xingtong; Kou, Gang] Southwestern Univ Finance &amp; Econ, Chengdu, Sichuan, Peoples R China</t>
  </si>
  <si>
    <t>Southwestern University of Finance &amp; Economics - China</t>
  </si>
  <si>
    <t>Xu, M (corresponding author), Southwestern Univ Finance &amp; Econ, Chengdu, Sichuan, Peoples R China.</t>
  </si>
  <si>
    <t>xumin@swufe.edu.cn</t>
  </si>
  <si>
    <t>National Natural Science Foundation of China [71701168, 71701034]</t>
  </si>
  <si>
    <t>This research is supported by grants from National Natural Science Foundation of China (Nos. 71701168 and 71701034).</t>
  </si>
  <si>
    <t>2199-4730</t>
  </si>
  <si>
    <t>FINANC INNOV</t>
  </si>
  <si>
    <t>Financ. Innov.</t>
  </si>
  <si>
    <t>JUL 4</t>
  </si>
  <si>
    <t>10.1186/s40854-019-0147-z</t>
  </si>
  <si>
    <t>Business, Finance; Social Sciences, Mathematical Methods</t>
  </si>
  <si>
    <t>Business &amp; Economics; Mathematical Methods In Social Sciences</t>
  </si>
  <si>
    <t>II9YC</t>
  </si>
  <si>
    <t>WOS:000475556100001</t>
  </si>
  <si>
    <t>Gambella, C; Ghaddar, B; Naoum-Sawaya, J</t>
  </si>
  <si>
    <t>Gambella, Claudio; Ghaddar, Bissan; Naoum-Sawaya, Joe</t>
  </si>
  <si>
    <t>Optimization problems for machine learning: A survey</t>
  </si>
  <si>
    <t>Analytics; Mathematical programming; Machine learning; Deep learning</t>
  </si>
  <si>
    <t>SUPPLY CHAIN MANAGEMENT; CLUSTER NEWTON METHOD; BIG DATA ANALYTICS; MIXED-INTEGER; FEATURE-SELECTION; BAYESIAN NETWORKS; PROGRAMMING APPROACH; OPERATIONS-RESEARCH; VARIABLE SELECTION; DECISION TREES</t>
  </si>
  <si>
    <t>This paper surveys the machine learning literature and presents in an optimization framework several commonly used machine learning approaches. Particularly, mathematical optimization models are presented for regression, classification, clustering, deep learning, and adversarial learning, as well as new emerging applications in machine teaching, empirical model learning, and Bayesian network structure learning. Such models can benefit from the advancement of numerical optimization techniques which have already played a distinctive role in several machine learning settings. The strengths and the shortcomings of these models are discussed and potential research directions and open problems are highlighted. (C) 2020 Elsevier B.V. Allrights reserved.</t>
  </si>
  <si>
    <t>[Gambella, Claudio] IBM Res Ireland, Dublin 15, Ireland; [Ghaddar, Bissan; Naoum-Sawaya, Joe] Univ Western Ontario, Ivey Business Sch, London, ON N6G 0N1, Canada</t>
  </si>
  <si>
    <t>Western University (University of Western Ontario)</t>
  </si>
  <si>
    <t>Gambella, C (corresponding author), IBM Res Ireland, Dublin 15, Ireland.</t>
  </si>
  <si>
    <t>claudio.gambella1@ie.ibm.com; bghaddar@uwaterloo.ca; jnaoumsa@uwaterloo.ca</t>
  </si>
  <si>
    <t>Ghaddar, Bissan/IAP-8652-2023; 于, 于增臣/AAH-4657-2021</t>
  </si>
  <si>
    <t>Ghaddar, Bissan/0000-0003-4695-200X; Naoum-Sawaya, Joe/0000-0002-4908-225X</t>
  </si>
  <si>
    <t>NSERC [RGPIN-2017-04185, RGPIN-2017-03962]</t>
  </si>
  <si>
    <t>NSERC(Natural Sciences and Engineering Research Council of Canada (NSERC))</t>
  </si>
  <si>
    <t>We are very grateful to four anonymous referees for their valuable feedback and comments that helped improve the content and presentation of the paper. Joe Naoum-Sawaya was supported by NSERC Discovery Grant RGPIN-2017-03962 and Bissan Ghaddar was supported by NSERC Discovery Grant RGPIN-2017-04185.</t>
  </si>
  <si>
    <t>10.1016/j.ejor.2020.08.045</t>
  </si>
  <si>
    <t>PO9BS</t>
  </si>
  <si>
    <t>WOS:000605460600001</t>
  </si>
  <si>
    <t>Zhu, JJ; Ren, ZJ</t>
  </si>
  <si>
    <t>Zhu, Jun-Jie; Ren, Zhiyong Jason</t>
  </si>
  <si>
    <t>The evolution of research in resources, conservation &amp; recycling revealed by Word2vec-enhanced data mining</t>
  </si>
  <si>
    <t>Resource; Sustainability; Natural language processing; Word embedding; Topical evolution; Research interconnection</t>
  </si>
  <si>
    <t>PRO-ENVIRONMENTAL BEHAVIOR; ENERGY-WATER NEXUS; GREEN SUPPLY CHAIN; WASTE; SUSTAINABILITY; PERFORMANCE; RECOVERY; DRIVERS; ECONOMY; DEMAND</t>
  </si>
  <si>
    <t>Resources, Conservation &amp; Recycling (RCR) publishes original research in technological, economic, institutional, policy, and system-wide aspects of resource management and sustainability. Here we developed natural language processing (NLP) and Word2vec-based techniques to reveal for the first time the underlying patterns, interactions of research topics, and topical vectors and their connections with 10 resources covered in RCR based on all 4884 articles published since its inception. The 49 most trending-up, specific topics can be arranged into nine groups: general resources and materials, waste-based resources and materials, industrial management, human behaviors, analyzing methodologies, sustainable economy, climate-relevant, other sustainability, and other problems. The Word2vec-RCR model exhibits the distribution of topic vectors based on t-SNE, and the topics can be visually grouped into 13 major regions. The newly developed Word2vec model is proven to be effective for understanding evolution and interactions between research topics and defined subjects in RCR and broader environmental domains.</t>
  </si>
  <si>
    <t>[Zhu, Jun-Jie; Ren, Zhiyong Jason] Princeton Univ, Dept Civil &amp; Environm Engn, Princeton, NJ 08544 USA; [Zhu, Jun-Jie; Ren, Zhiyong Jason] Princeton Univ, Andlinger Ctr Energy &amp; Environm, Princeton, NJ 08544 USA</t>
  </si>
  <si>
    <t>Princeton University; Princeton University</t>
  </si>
  <si>
    <t>Ren, ZJ (corresponding author), Princeton Univ, Dept Civil &amp; Environm Engn, Princeton, NJ 08544 USA.;Ren, ZJ (corresponding author), Princeton Univ, Andlinger Ctr Energy &amp; Environm, Princeton, NJ 08544 USA.</t>
  </si>
  <si>
    <t>zjren@princeton.edu</t>
  </si>
  <si>
    <t>zhu, junjie/JDV-8211-2023; Zhu, Junjie/F-4261-2016; Ren, Zhiyong/A-7401-2019</t>
  </si>
  <si>
    <t>Zhu, Junjie/0000-0002-7546-2870; Ren, Zhiyong/0000-0001-7606-0331</t>
  </si>
  <si>
    <t>Andlinger Center for Energy and the Environment at Princeton University</t>
  </si>
  <si>
    <t>This work was supported by the Andlinger Center for Energy and the Environment at Princeton University. We are grateful for the insightful feedback provided by Prof. Ming Xu.</t>
  </si>
  <si>
    <t>10.1016/j.resconrec.2023.106876</t>
  </si>
  <si>
    <t>G6XY4</t>
  </si>
  <si>
    <t>WOS:000990577000001</t>
  </si>
  <si>
    <t>Faldzinski, M; Osinska, M; Zalewski, W</t>
  </si>
  <si>
    <t>Faldzinski, Marcin; Osinska, Magdalena; Zalewski, Wojciech</t>
  </si>
  <si>
    <t>Extreme Value Theory in Application to Delivery Delays</t>
  </si>
  <si>
    <t>rare events; information; intelligent transport system (ITS); Extreme Value Theory (EVT); return level</t>
  </si>
  <si>
    <t>SUPPLY CHAIN; MODELS; STATIONARY; SERIES</t>
  </si>
  <si>
    <t>This paper uses the Extreme Value Theory (EVT) to model the rare events that appear as delivery delays in road transport. Transport delivery delays occur stochastically. Therefore, modeling such events should be done using appropriate tools due to the economic consequences of these extreme events. Additionally, we provide the estimates of the extremal index and the return level with the confidence interval to describe the clustering behavior of rare events in deliveries. The Generalized Extreme Value Distribution (GEV) parameters are estimated using the maximum likelihood method and the penalized maximum likelihood method for better small-sample properties. The findings demonstrate the advantages of EVT-based prediction and its readiness for application.</t>
  </si>
  <si>
    <t>[Faldzinski, Marcin] Nicolaus Copernicus Univ, Dept Econometr &amp; Stat, Gagarina 11, PL-87100 Torun, Poland; [Osinska, Magdalena] Nicolaus Copernicus Univ, Dept Econ, Gagarina 11, PL-87100 Torun, Poland; [Zalewski, Wojciech] Nicolaus Copernicus Univ, Dept Logist, Gagarina 11, PL-87100 Torun, Poland</t>
  </si>
  <si>
    <t>Nicolaus Copernicus University; Nicolaus Copernicus University; Nicolaus Copernicus University</t>
  </si>
  <si>
    <t>Osinska, M (corresponding author), Nicolaus Copernicus Univ, Dept Econ, Gagarina 11, PL-87100 Torun, Poland.</t>
  </si>
  <si>
    <t>marf@umk.pl; emo@umk.pl; w.zalewski@umk.pl</t>
  </si>
  <si>
    <t>Osinska, Magdalena B./F-5376-2014; Faldzinski, Marcin/B-2142-2018</t>
  </si>
  <si>
    <t>Osinska, Magdalena B./0000-0002-9796-2892; Wojciech, Zalewski/0000-0002-4318-6752; Faldzinski, Marcin/0000-0002-6236-8500</t>
  </si>
  <si>
    <t>10.3390/e23070788</t>
  </si>
  <si>
    <t>TP1CY</t>
  </si>
  <si>
    <t>WOS:000677337400001</t>
  </si>
  <si>
    <t>Fu, XX; Niu, ZW; Yeh, MK</t>
  </si>
  <si>
    <t>Fu, Xiaoxi; Niu, Zhanwen; Yeh, Ming-Kuei</t>
  </si>
  <si>
    <t>Research trends in sustainable operation: a bibliographic coupling clustering analysis from 1988 to 2016</t>
  </si>
  <si>
    <t>Cluster Computing-The Journal of Networks Software Tools and Applications</t>
  </si>
  <si>
    <t>Sustainable operation; Scientometric; Content analysis; Research trends; Bibliographic coupling; Clustering analysis</t>
  </si>
  <si>
    <t>SCIENTOMETRICS; INFORMETRICS; CHINA</t>
  </si>
  <si>
    <t>Considering the vital importance on pursuing sustaining competitive advantage and long-term success for enterprises, sustainable operation has aroused extensive interests in academia and industry. Understanding the trend can fill the research gap between theory and practice. It is vital not only to implement relevant research to help firms obtain sustainability, but also to find what has been studied till now and what need further exploration in the near future. This paper applied automatic content analysis approach from scientometrics to identify the trend of researches on sustainable operation. The database came from Web of Science during 1988-2015. Specifically, a multi-stage clustering technique based on bibliographic coupling has also been introduced to examine which topics, which research trend, and which new ideas contribute to the scientific journal fields of sustainable operation. Our results identified that energy related journals were the classic magazines in sustainable operation field and energy technology was the top topic. USA, UK and Germany had contributed the most journal articles in this field. With the rapid expansion of Asia, Asian scientists, like South Korea and Singapore, also published many sustainable operation papers. It had been a novel trend that the sustainable operation research field was incorporating a broader range of cultural backgrounds and combined with supply chain management.</t>
  </si>
  <si>
    <t>[Fu, Xiaoxi; Niu, Zhanwen] Tianjin Univ, Coll Management &amp; Econ, Tianjin 300072, Peoples R China; [Yeh, Ming-Kuei] Natl Taipei Univ Business, Dept Informat Management, Taipei, Taiwan</t>
  </si>
  <si>
    <t>Tianjin University; National Taipei University of Business</t>
  </si>
  <si>
    <t>Yeh, MK (corresponding author), Natl Taipei Univ Business, Dept Informat Management, Taipei, Taiwan.</t>
  </si>
  <si>
    <t>c8880@ms21.hinet.net</t>
  </si>
  <si>
    <t>10.1007/s10586-016-0624-3</t>
  </si>
  <si>
    <t>ED6NJ</t>
  </si>
  <si>
    <t>WOS:000388972000041</t>
  </si>
  <si>
    <t>Dhasarathan, C; Hasan, MK; Islam, S; Abdullah, S; Khapre, S; Singh, D; Alsulami, AA; Alqahtani, A</t>
  </si>
  <si>
    <t>Dhasarathan, Chandramohan; Hasan, Mohammad Kamrul; Islam, Shayla; Abdullah, Salwani; Khapre, Shailesh; Singh, Dalbir; Alsulami, Abdulaziz A.; Alqahtani, Ali</t>
  </si>
  <si>
    <t>User privacy prevention model using supervised federated learning-based block chain approach for internet of Medical Things</t>
  </si>
  <si>
    <t>CAAI TRANSACTIONS ON INTELLIGENCE TECHNOLOGY</t>
  </si>
  <si>
    <t>biometrics-linked encryption; cryptography; data privacy; Internet of things; medical applications; unsupervised learning</t>
  </si>
  <si>
    <t>This research focuses on addressing the privacy issues in healthcare advancement monitoring with the rapid establishment of the decentralised communication system in the Internet of Medical Things (IoMT). An integrated blockchain homomorphic encryption standard with an in-build supervised learning-based smart contract is designed to improvise personal data prevention. The Internet of Medical Things (IoMT) has advanced in healthcare with the rapid establishment of decentralised communication systems. Distributed ledgers have resource constraints to leverage public, private, and hybrid blockchain transactions to facilitate heterogeneous operations. The authors propose a supervised learning strategy in healthcare to mitigate learning health-related issues, improvise clinical monitoring, and ensure secure communication. The proposed approach handles the vast IoMT data by adopting blockchain for IoMT as (BIoMT) to preserve sensitive clinical information. It incorporates hybrid encryption techniques to improve patient and health records' privacy protection. BIoMT also maintains secured and sustainable supply chain management with a highly confidential decentralised framework using blockchain-based smart contracts, which minimises data loss. Moreover, a framework is designed with a hybrid hashing that integrates a homomorphically encrypted algorithm to support a smart contract for decentralised applicability. The BIoMT approach is tested and compared with the relevant prevention mechanisms. The evaluation shows that the effects observed from the result analysis noted that the proposed method outperforms reliable prevention mechanisms compared to the existing approaches.</t>
  </si>
  <si>
    <t>[Dhasarathan, Chandramohan] Thapar Inst Engn &amp; Technol, Comp Sci &amp; Engn Dept, Patiala, India; [Hasan, Mohammad Kamrul; Abdullah, Salwani; Singh, Dalbir] Univ Kebangsaan Malaysia, Fac Informat Sci &amp; Technol, Bangi, Malaysia; [Hasan, Mohammad Kamrul] North Garth Inst Bangladesh, Dhaka, Bangladesh; [Islam, Shayla] UCSI Univ, Inst Comp Sci &amp; Digital Innovat, Kuala Lumpur, Malaysia; [Khapre, Shailesh] Dr S P Mukherjee Int Inst Informat Technol, Dept Data Sci &amp; Artificial Intelligence, Naya Raipur, India; [Alsulami, Abdulaziz A.] King Abdulaziz Univ, Fac Comp &amp; Informat Technol, Dept Informat Syst, Jeddah, Saudi Arabia; [Alqahtani, Ali] Najran Univ, Coll Comp Sci &amp; Informat Syst, Dept Networks &amp; Commun Engn, Najran, Saudi Arabia</t>
  </si>
  <si>
    <t>Thapar Institute of Engineering &amp; Technology; Universiti Kebangsaan Malaysia; UCSI University; King Abdulaziz University; Najran University</t>
  </si>
  <si>
    <t>Hasan, MK (corresponding author), Univ Kebangsaan Malaysia, Fac Informat Sci &amp; Technol, Bangi, Malaysia.;Hasan, MK (corresponding author), North Garth Inst Bangladesh, Dhaka, Bangladesh.;Islam, S (corresponding author), UCSI Univ, Inst Comp Sci &amp; Digital Innovat, Kuala Lumpur, Malaysia.</t>
  </si>
  <si>
    <t>mkhasan@ukm.edu.my; shayla@ucsiuniversity.edu.my</t>
  </si>
  <si>
    <t>; Dhasarathan, Dr. Chandramohan/E-3555-2015</t>
  </si>
  <si>
    <t>Alqahtani, Ali/0000-0002-7111-8810; Islam, Dr. Shayla/0000-0002-0490-7799; Dhasarathan, Dr. Chandramohan/0000-0002-5279-950X; Hasan, Dr. Mohammad Kamrul/0000-0001-5511-0205; Singh, Dalbir/0000-0001-6941-9027; Alsulami, Abdulaziz/0000-0003-2931-8744</t>
  </si>
  <si>
    <t>Universiti Kebangsaan Malaysia [FRGS/1/2020/ICT03/UKM/02/6]</t>
  </si>
  <si>
    <t>Universiti Kebangsaan Malaysia</t>
  </si>
  <si>
    <t>ACKNOWLEDGEMENTS This work has been supported by the Universiti Kebangsaan Malaysia under research FRGS/1/2020/ICT03/UKM/02/6.</t>
  </si>
  <si>
    <t>2468-6557</t>
  </si>
  <si>
    <t>2468-2322</t>
  </si>
  <si>
    <t>CAAI T INTELL TECHNO</t>
  </si>
  <si>
    <t>CAAI T. Intell. Technol.</t>
  </si>
  <si>
    <t>10.1049/cit2.12218</t>
  </si>
  <si>
    <t>F1XN0</t>
  </si>
  <si>
    <t>WOS:000980347100001</t>
  </si>
  <si>
    <t>Xu, GC; Xu, MZ; Wang, Y; Liu, Y; Lv, QG</t>
  </si>
  <si>
    <t>Xu, Guangcan; Xu, Maozeng; Wang, Yong; Liu, Yong; Lv, Qiguang</t>
  </si>
  <si>
    <t>Collaborative Multidepot Petrol Station Replenishment Problem with Multicompartments and Time Window Assignment</t>
  </si>
  <si>
    <t>JOURNAL OF ADVANCED TRANSPORTATION</t>
  </si>
  <si>
    <t>VEHICLE-ROUTING PROBLEM; PARTICLE SWARM OPTIMIZATION; IMPROVED GENETIC ALGORITHM; DELIVERY; COLLECTION; SEARCH; TASKS; OIL</t>
  </si>
  <si>
    <t>Energy supply is an important system that affects the overall efficiency of urban transportation. To improve the system operational efficiency and reduce costs, we formulate and solve a collaborative multidepot petrol station replenishment problem with multicompartments and time window assignment by establishing a mixed-integer linear programming model. The hybrid heuristic algorithm composed of genetic algorithm and particle swarm optimization is used as a solution, and then the Shapley value method is applied to analyze the profit allocation of each petrol depot under different coalitions. The optimal membership sequence of the cooperation is determined according to the strict monotone path. To analyze and verify the effectiveness of the proposed method, a regional petrol supply network in Chongqing city in China is investigated. Through cooperation between petrol depots in the supply network, the utilization of customer clustering, time window coordination, and distribution truck sharing can significantly reduce the total operation costs and improve the efficiency of urban transportation energy supply. This approach can provide theoretical support for relevant government departments and enterprises to make optimal decisions. The implementation of the joint distribution of energy can promote the sustainable development of urban transportation.</t>
  </si>
  <si>
    <t>[Xu, Guangcan; Xu, Maozeng; Wang, Yong; Liu, Yong] Chongqing Jiaotong Univ, Sch Econ &amp; Management, Chongqing 400074, Peoples R China; [Lv, Qiguang] Chongqing Univ Sci &amp; Technol, Sch Business Adm, Chongqing 401331, Peoples R China</t>
  </si>
  <si>
    <t>Chongqing Jiaotong University; Chongqing University of Science &amp; Technology</t>
  </si>
  <si>
    <t>Xu, MZ; Wang, Y (corresponding author), Chongqing Jiaotong Univ, Sch Econ &amp; Management, Chongqing 400074, Peoples R China.</t>
  </si>
  <si>
    <t>xmzzrxhy@cqjtu.edu.cn; yongwx6@gmail.com</t>
  </si>
  <si>
    <t>Wang, Yong/IQV-5647-2023</t>
  </si>
  <si>
    <t>Wang, Yong/0000-0001-7511-8888; Xu, Guangcan/0000-0003-0277-5451; Lyu, Qiguang/0000-0003-4290-8642</t>
  </si>
  <si>
    <t>National Nature Science Foundation of China [71471024, 71871035]; Humanity and Social Science Foundation of Ministry of Education of China [18YJC630189, 17YJA630079]; Social Science Planning Project of Chongqing of China [2019YBGL049]</t>
  </si>
  <si>
    <t>National Nature Science Foundation of China(National Natural Science Foundation of China (NSFC)); Humanity and Social Science Foundation of Ministry of Education of China; Social Science Planning Project of Chongqing of China</t>
  </si>
  <si>
    <t>This research was supported by the National Nature Science Foundation of China (Grant nos. 71471024 and 71871035), the Humanity and Social Science Foundation of Ministry of Education of China (Grant nos. 18YJC630189 and 17YJA630079), and Social Science Planning Project of Chongqing of China (Grant no. 2019YBGL049).</t>
  </si>
  <si>
    <t>0197-6729</t>
  </si>
  <si>
    <t>2042-3195</t>
  </si>
  <si>
    <t>J ADV TRANSPORT</t>
  </si>
  <si>
    <t>J. Adv. Transp.</t>
  </si>
  <si>
    <t>OCT 23</t>
  </si>
  <si>
    <t>10.1155/2020/8843397</t>
  </si>
  <si>
    <t>Engineering, Civil; Transportation Science &amp; Technology</t>
  </si>
  <si>
    <t>OU5RM</t>
  </si>
  <si>
    <t>WOS:000591585900003</t>
  </si>
  <si>
    <t>Barros, J; Cunha, F; Martins, C; Pedrosa, P; Cortez, P</t>
  </si>
  <si>
    <t>Barros, Julio; Cunha, Francisco; Martins, Candido; Pedrosa, Paulo; Cortez, Paulo</t>
  </si>
  <si>
    <t>Predicting Weighing Deviations in the Dispatch Workflow Process: A Case Study in a Cement Industry</t>
  </si>
  <si>
    <t>Bridges; Supply chains; Cement industry; Machine learning; Transportation; Random forests; Predictive models; Anomaly detection; Anomaly prediction; dispatch workflow process; machine learning; order fulfilment process; weighing systems</t>
  </si>
  <si>
    <t>EXPLAINABLE ARTIFICIAL-INTELLIGENCE; NEURAL-NETWORKS; MACHINE; OPERATIONS; THINGS; MODEL</t>
  </si>
  <si>
    <t>The emergence of the Industry 4.0 concept and the profound digital transformation of the industry plays a crucial role in improving organisations' supply chain (SC) performance, consequently achieving a competitive advantage. The order fulfilment process (OFP) consists of one of the key business processes for the organization SC and represents a core process for the operational logistics flow. The dispatch workflow process consists of an integral part of the OFP and is also a crucial process in the SC of cement industry organizations. In this work, we focus on enhancing the order fulfilment process by improving the dispatch workflow process, specifically with respect to the cement loading process. Thus, we proposed a machine learning (ML) approach to predict weighing deviations in the cement loading process. We adopted a realistic and robust rolling window scheme to evaluate six classification models in a real-world case study, from which the random forest (RF) model provides the best predictive performance. We also extracted explainable knowledge from the RF classifier by using the Shapley additive explanations (SHAP) method, demonstrating the influence of each input data attribute used in the prediction process.</t>
  </si>
  <si>
    <t>[Barros, Julio; Pedrosa, Paulo] Univ Minho, Digital Transformat CoLab, Guimaraes, Portugal; [Cunha, Francisco; Martins, Candido] Cachapuz Weighing &amp; Logist Syst Lda, P-4701952 Braga, Portugal; [Barros, Julio; Cortez, Paulo] Univ Minho, Dept Informat Syst, ALGORITMI LASI, P-4800058 Guimaraes, Portugal</t>
  </si>
  <si>
    <t>Barros, J (corresponding author), Univ Minho, Digital Transformat CoLab, Guimaraes, Portugal.;Barros, J (corresponding author), Univ Minho, Dept Informat Syst, ALGORITMI LASI, P-4800058 Guimaraes, Portugal.</t>
  </si>
  <si>
    <t>julio.barros@dsi.uminho.pt</t>
  </si>
  <si>
    <t>Barros, Júlio/IQW-9532-2023; Pedrosa, Paulo/U-1821-2017</t>
  </si>
  <si>
    <t>Barros, Júlio/0000-0002-2479-885X; Cunha, Francisco/0000-0001-5174-4964; Pedrosa, Paulo/0000-0003-4781-6392</t>
  </si>
  <si>
    <t>European Structural and Investment Funds in the Fundo Europeu de Desenvolvimento Regional (FEDER) Component, through the Operational Competitiveness and Internationalization Programme (COMPETE 2020) [069716, POCI-01-0247-FEDER-069716]</t>
  </si>
  <si>
    <t>European Structural and Investment Funds in the Fundo Europeu de Desenvolvimento Regional (FEDER) Component, through the Operational Competitiveness and Internationalization Programme (COMPETE 2020)</t>
  </si>
  <si>
    <t>This work was supported by the European Structural and Investment Funds in the Fundo Europeu de Desenvolvimento Regional (FEDER) Component, through the Operational Competitiveness and Internationalization Programme (COMPETE 2020), under Project 069716 and Funding Reference POCI-01-0247-FEDER-069716.</t>
  </si>
  <si>
    <t>10.1109/ACCESS.2022.3232299</t>
  </si>
  <si>
    <t>8L3YA</t>
  </si>
  <si>
    <t>WOS:000923719200001</t>
  </si>
  <si>
    <t>Pan, SH; Wang, L; Wang, KY; Bi, ZM; Shan, SQ; Xu, B</t>
  </si>
  <si>
    <t>Pan, Shouhui; Wang, Li; Wang, Kaiyi; Bi, Zhuming; Shan, Siqing; Xu, Bo</t>
  </si>
  <si>
    <t>A Knowledge Engineering Framework for Identifying Key Impact Factors from Safety-Related Accident Cases</t>
  </si>
  <si>
    <t>consumer product safety; Impact factors; named entity recognition; Bayesian network</t>
  </si>
  <si>
    <t>FOREIGN-BODY INJURIES; FEATURE SPACE THEORY; SUPPLY CHAIN; ENTERPRISE SYSTEMS; PRODUCT-SAFETY; OPTIMIZATION; EXTRACTION; ALGORITHM; NETWORKS; TIME</t>
  </si>
  <si>
    <t>Consumer product safety closely relates to consumer health. In this paper, a knowledge engineering framework is proposed for data mining to identify key safety factors from a large number of consumer product safety cases. Data mining in the framework is performed in three steps. The first step is to collect consumer product safety cases, a case can be semistructured or unstructured, and cases can be collected either manually or automatically by a web spider crawling certain websites. The second step is to extract all safety factors from a number of consumer product safety cases. A new method based on linear chain conditional random field is developed to extract safety factors. The effectiveness of the method has been validated on product cases. The third step is to identify a set of key factors from all safety factors by knowledge reasoning. To illustrate the process of knowledge reasoning, a set of 3192 safety cases of electric products with electric shock accidents is chosen as the case study; a Bayesian network based model is developed to retrieve key safety factors relating to electric shock accidents. The performance of the reasoning model has been verified by a combination of experts' evaluation and experiments, and it has shown the proposed reasoning model can help identify key safety factors of electric shock accidents successfully. Overall, the proposed framework is capable of identifying key safety factors from a large number of consumer product safety cases. Copyright (C) 2014 John Wiley &amp; Sons, Ltd.</t>
  </si>
  <si>
    <t>[Pan, Shouhui; Wang, Kaiyi] Beijing Acad Agr &amp; Forestry Sci, Beijing Res Ctr Informat Technol Agr, Beijing, Peoples R China; [Wang, Li; Shan, Siqing; Xu, Bo] Beihang Univ, Sch Econ &amp; Management, Beijing 100191, Peoples R China; [Bi, Zhuming] Indiana Univ Purdue Univ, Dept Engn, Ft Wayne, IN 46805 USA</t>
  </si>
  <si>
    <t>Beijing Academy of Agriculture &amp; Forestry Sciences (BAAFS); Beihang University; Purdue University System; Indiana University Purdue University Fort Wayne</t>
  </si>
  <si>
    <t>Wang, L (corresponding author), Beihang Univ, Sch Econ &amp; Management, Beijing 100191, Peoples R China.</t>
  </si>
  <si>
    <t>wlbhodu@gmail.com</t>
  </si>
  <si>
    <t>Bi, Zhuming/AAA-3088-2019</t>
  </si>
  <si>
    <t>Bi, Zhuming/0000-0002-8145-7883</t>
  </si>
  <si>
    <t>10.1002/sres.2278</t>
  </si>
  <si>
    <t>AN0DQ</t>
  </si>
  <si>
    <t>WOS:000340253200005</t>
  </si>
  <si>
    <t>Han, JW; Gonzalez, H; Li, XL; Klabjan, D</t>
  </si>
  <si>
    <t>Li, X; Zaiane, OR; Li, ZH</t>
  </si>
  <si>
    <t>Han, Jiawei; Gonzalez, Hector; Li, Xiaolei; Klabjan, Diego</t>
  </si>
  <si>
    <t>Warehousing and mining massive RFID data sets</t>
  </si>
  <si>
    <t>ADVANCED DATA MINING AND APPLICATIONS, PROCEEDINGS</t>
  </si>
  <si>
    <t>2nd International Conference on Advanced Data Mining and Applications</t>
  </si>
  <si>
    <t>AUG 14-16, 2006</t>
  </si>
  <si>
    <t>Xian, PEOPLES R CHINA</t>
  </si>
  <si>
    <t>Xian Software Pk,Web Informat Syst Engn Soc,IEEE Queensland Sect,Univ Queensland</t>
  </si>
  <si>
    <t>Radio Frequency Identification (RFID) applications are set to play an essential role in object tracking and supply chain management systems. In the near future, it is expected that every major retailer will use RFID systems to track the movement of products from suppliers to warehouses, store backrooms and eventually to points of sale. The volume of information generated by such systems can be enormous as each individual item (a pallet, a case, or an SKU) will leave a trail of data as it moves through different locations. We propose two data models for the management of this data. The first is a path cube that preserves object transition information while allowing muti-dimensional analysis of path dependent aggregates. The second is a workflow cube that summarizes the major patterns and significant exceptions in the flow of items through the system. The design of our models is based on the following observations: (1) items usually move together in large groups through early stages in the system (e.g., distribution centers) and only in later stages (e.g., stores) do they move in smaller groups, (2) although RFID data is registered at the primitive level, data analysis usually takes place at a higher abstraction level, (3) many items have similar flow patterns and only a relatively small number of them truly deviate from the general trend, and (4) only non-redundant flow deviations with respect to previously recorded deviations are interesting. These observations facilitate the construction of highly compressed RFID data warehouses and the exploration of such data warehouses by scalable data mining. In this study we give a general overview of the principles driving the design of our framework. We believe warehousing and mining RFID data presents an interesting application for advanced data mining.</t>
  </si>
  <si>
    <t>Univ Illinois, Urbana, IL 61801 USA</t>
  </si>
  <si>
    <t>Han, JW (corresponding author), Univ Illinois, Urbana, IL 61801 USA.</t>
  </si>
  <si>
    <t>hanj@uiuc.edu; hagonzal@uiuc.edu; xli10@uiuc.edu; klabjan@uiuc.edu</t>
  </si>
  <si>
    <t>Klabjan, Diego/B-7469-2009</t>
  </si>
  <si>
    <t>3-540-37025-0</t>
  </si>
  <si>
    <t>BEY19</t>
  </si>
  <si>
    <t>WOS:000240088200001</t>
  </si>
  <si>
    <t>Mariscotti, A</t>
  </si>
  <si>
    <t>Mariscotti, Andrea</t>
  </si>
  <si>
    <t>Experimental characterisation of active and non-active harmonic power flow of AC rolling stock and interaction with the supply network</t>
  </si>
  <si>
    <t>IET ELECTRICAL SYSTEMS IN TRANSPORTATION</t>
  </si>
  <si>
    <t>In AC electrified railways, there is a significant exchange of power at fundamental and harmonics in quite dynamic conditions. Harmonic patterns of AC rolling stock and railway networks are analysed in terms of active and non-active power flow, relating it to the characteristic of the network and to operating conditions, synthesised in the fundamental current intensity and speed. Herein, it is shown that correlation and clustering can separate distortion terms of internal and external origin also without a priori information. The use of harmonic power terms (product of voltage and current components) shows improved robustness with respect to the analysis of the voltage and current components alone.</t>
  </si>
  <si>
    <t>[Mariscotti, Andrea] ASTM Sagl, Chiasso, Switzerland; [Mariscotti, Andrea] Univ Genoa, DITEN, Via Opera Pia 11A, Genoa, Italy</t>
  </si>
  <si>
    <t>University of Genoa</t>
  </si>
  <si>
    <t>Mariscotti, A (corresponding author), Univ Genoa, DITEN, Via Opera Pia 11A, Genoa, Italy.</t>
  </si>
  <si>
    <t>andrea.mariscotti@unige.it</t>
  </si>
  <si>
    <t>Mariscotti, Andrea/Z-4628-2019</t>
  </si>
  <si>
    <t>Mariscotti, Andrea/0000-0002-0096-7305</t>
  </si>
  <si>
    <t>MyRailS Project [16ENG04]; Swiss State Secretariat for Education, Research and Innovation (SERI) [17.00127]</t>
  </si>
  <si>
    <t>MyRailS Project; Swiss State Secretariat for Education, Research and Innovation (SERI)</t>
  </si>
  <si>
    <t>The results here presented were developed in the framework of the 16ENG04 MyRailS Project and the European Union's Horizon 2020 research and innovation program. This work was supported by the Swiss State Secretariat for Education, Research and Innovation (SERI) under contract number 17.00127. The opinions expressed and arguments employed herein do not necessarily reflect the official views of the Swiss Government.</t>
  </si>
  <si>
    <t>INST ENGINEERING TECHNOLOGY-IET</t>
  </si>
  <si>
    <t>HERTFORD</t>
  </si>
  <si>
    <t>MICHAEL FARADAY HOUSE SIX HILLS WAY STEVENAGE, HERTFORD SG1 2AY, ENGLAND</t>
  </si>
  <si>
    <t>2042-9738</t>
  </si>
  <si>
    <t>2042-9746</t>
  </si>
  <si>
    <t>IET ELECTR SYST TRAN</t>
  </si>
  <si>
    <t>IET Electr. Syst. Transp.</t>
  </si>
  <si>
    <t>10.1049/els2.12009</t>
  </si>
  <si>
    <t>Engineering, Electrical &amp; Electronic; Transportation Science &amp; Technology</t>
  </si>
  <si>
    <t>SU2RU</t>
  </si>
  <si>
    <t>WOS:000614527400001</t>
  </si>
  <si>
    <t>Assari, M; Delaram, J; Valilai, OF</t>
  </si>
  <si>
    <t>Assari, Mozhgan; Delaram, Jalal; Valilai, Omid Fatahi</t>
  </si>
  <si>
    <t>Mutual manufacturing service selection and routing problem considering customer clustering in Coat: manufacturing</t>
  </si>
  <si>
    <t>PRODUCTION AND MANUFACTURING RESEARCH-AN OPEN ACCESS JOURNAL</t>
  </si>
  <si>
    <t>Cloud manufacturing; services composition; routing optimization; costumer clustering</t>
  </si>
  <si>
    <t>INTEGRATED PRODUCTION; MODULAR PLATFORM; SEARCH ALGORITHM; PRODUCT DATA; INVENTORY; INTEROPERABILITY; POLICY; STEP</t>
  </si>
  <si>
    <t>Considering the globalization concept, all companies around the world are able to communicate with each other, share their technologies, and eliminate their production incapability issues. To achieve this goal, Cloud manufacturing system has been proposed. One of the most important issues in Cloud manufacturing is service composition, in which composition of cloud services is determined to meet customer orders. This paper considers a single-product supply network over one period in Cloud manufacturing system with the goal of service composition optimization. The network is designed in a layered structure considering transportation and production services and customers can be classified in specific clusters. A new algorithm is proposed to assign the services to the network layers, and the problem is formulated as a mixed integer model with the objective of maximizing the profit of the network. Also as the problem has an NP-hard origin a meta-heuristic algorithm is exploited to solve it.</t>
  </si>
  <si>
    <t>[Assari, Mozhgan; Delaram, Jalal; Valilai, Omid Fatahi] Sharif Univ Technol, Ind Engn Dept, Azadi St, Tehran 1458889694, Iran</t>
  </si>
  <si>
    <t>Sharif University of Technology</t>
  </si>
  <si>
    <t>Valilai, OF (corresponding author), Sharif Univ Technol, Ind Engn Dept, Azadi St, Tehran 1458889694, Iran.</t>
  </si>
  <si>
    <t>fvalilai@sharif.edu</t>
  </si>
  <si>
    <t>Valilai, Omid Fatahi/M-4395-2019; Fatahi Valilai, Omid/E-6253-2018; Delaram, Jalal/AGQ-4024-2022; Delaram, Jalal/R-4199-2016</t>
  </si>
  <si>
    <t>Valilai, Omid Fatahi/0000-0001-7087-6946; Fatahi Valilai, Omid/0000-0001-7087-6946; Delaram, Jalal/0000-0003-0381-2699; Delaram, Jalal/0000-0003-0381-2699; Assari, M./0000-0001-6563-5769</t>
  </si>
  <si>
    <t>2169-3277</t>
  </si>
  <si>
    <t>PROD MANUF RES</t>
  </si>
  <si>
    <t>Prod. Manuf. Res.</t>
  </si>
  <si>
    <t>SEP 20</t>
  </si>
  <si>
    <t>10.1080/21693277.2018.1517056</t>
  </si>
  <si>
    <t>HC9VC</t>
  </si>
  <si>
    <t>WOS:000452154400001</t>
  </si>
  <si>
    <t>Wang, Y; Wang, ZX; Zameer, H</t>
  </si>
  <si>
    <t>Wang, Ying; Wang, Zhaoxu; Zameer, Hashim</t>
  </si>
  <si>
    <t>Structural characteristics and evolution of the international trade-carbon emissions network in equipment manufacturing industry: international evidence in the perspective of global value chains</t>
  </si>
  <si>
    <t>Social network analysis; Equipment manufacturing industry; Input-output model; Global value chains; International carbon emission</t>
  </si>
  <si>
    <t>The objective of this paper is to analyze structural characteristics and the evolution of international trade-carbon emissions network in the equipment manufacturing industry. To do so, we construct four kinds of networks, namely export trade network (E network), export implied carbon emission network (EC network), foreign value-added network (FVA network), and foreign value-added implied carbon emission network (FVAC network) for the said industry. The data obtained from world-input-output table and social network analysis method was used for empirical analysis. The results indicate that (1) the four types of networks show a trend of denseness, which also has the characteristics of trade clustering effect and small-world network. As the equipment manufacturing industry in various countries is increasingly embedded in the global value chain, the value chain is extended globally, which leads to the complexity of the international carbon transfer network. (2) The four types of networks' pattern are basically stable. Germany plays an important intermediary role. Whereas China is deeply involved in the division of global value chain and has achieved the shift from the edge to the core in all four types of networks, but there is still a big gap compared with Germany. (3) The E network and EC network have the obvious core-edge feature, and the two kinds of networks can be divided into developed countries block represented by Germany, Japan, the USA; developing countries block represented by China and India; and European Union block represented by Spain and France. The developing world receives carbon emission transfer from the developed world. Finally, (4) the division of FVA network and FVAC network segment shows that the global value chain under the current international division of labor is characterized by multi-regionalization. Therefore, actively embedding in the regional value chain has become an important way for China's equipment manufacturing industry to upgrade to low carbon.</t>
  </si>
  <si>
    <t>[Wang, Ying; Wang, Zhaoxu; Zameer, Hashim] Nanjing Univ Aeronaut &amp; Astronaut, Coll Econ &amp; Management, Nanjing, Peoples R China</t>
  </si>
  <si>
    <t>Nanjing University of Aeronautics &amp; Astronautics</t>
  </si>
  <si>
    <t>Wang, ZX (corresponding author), Nanjing Univ Aeronaut &amp; Astronaut, Coll Econ &amp; Management, Nanjing, Peoples R China.</t>
  </si>
  <si>
    <t>yingwang@nuaa.edu.cn; zhaoxuwang@nuaa.edu.cn; hashimzameer@nuaa.edu.cn</t>
  </si>
  <si>
    <t>Zameer, Hashim/AAC-1552-2020</t>
  </si>
  <si>
    <t>Zameer, Hashim/0000-0002-7191-3443</t>
  </si>
  <si>
    <t>National Natural Science Foundation of China [71873064]; General Projects of Humanities and Social Sciences of the Ministry of Education of China [18YJA790085]</t>
  </si>
  <si>
    <t>National Natural Science Foundation of China(National Natural Science Foundation of China (NSFC)); General Projects of Humanities and Social Sciences of the Ministry of Education of China(Ministry of Education, China)</t>
  </si>
  <si>
    <t>This research is supported by National Natural Science Foundation of China (Grant No. 71873064) and General Projects of Humanities and Social Sciences of the Ministry of Education of China (Grant No. 18YJA790085).</t>
  </si>
  <si>
    <t>10.1007/s11356-021-12407-w</t>
  </si>
  <si>
    <t>SJ0LS</t>
  </si>
  <si>
    <t>WOS:000609398000008</t>
  </si>
  <si>
    <t>Govindan, K; Darbari, JD; Agarwal, V; Jha, PC</t>
  </si>
  <si>
    <t>Govindan, Kannan; Darbari, Jyoti Dhingra; Agarwal, Vernika; Jha, P. C.</t>
  </si>
  <si>
    <t>Fuzzy multi-objective approach for optimal selection of suppliers and transportation decisions in an eco-efficient closed loop supply chain network</t>
  </si>
  <si>
    <t>Fuzzy multi-objective programming; Supplier selection; Factor analysis; AHP; k-means clustering; Carbon emission</t>
  </si>
  <si>
    <t>EXPLORATORY FACTOR-ANALYSIS; REVERSE LOGISTICS; PROGRAMMING APPROACH; GENETIC ALGORITHM; MODEL; PRODUCT; DESIGN; OPTIMIZATION; MANAGEMENT; CRITERIA</t>
  </si>
  <si>
    <t>Establishment of a closed loop supply chain (CLSC) network has attracted immense significance due to government policies and societal demand for environmental consciousness. However, to enhance the financial and ecological impact of the network, the forward and reverse supply chain networks must integrate well so that decisions taken in both areas complement each other. In this study, we propose an eco-efficient CLSC design for extending the existing supply chain of an Indian firm that assembles inkjet printers. The network design is configured as a multi-objective model in a multi-period setting and is mathematically formulated into a mixed integer programming problem with fuzzy objectives. Fuzziness provides flexibility to the decision makers because they must accommodate the conflicting nature of the objectives. The fuzzy multi-objective model incorporates the firm's economic and environmental concerns into the decision making process by selecting environmentally responsible suppliers to procure components based on sustainable criteria, choosing appropriate recovery options for end-of-use (EOU) inkjet printers, and planning an efficient transportation network design for reducing the carbon emission of the distribution and collection activities. The uniqueness of the proposed fuzzy CLSC optimization model lies in providing an integrated decision making framework that can aid the manufacturer in making crucial strategic, tactical, and operational decisions of optimal selection of suppliers, component order allocation, recovery flow allocation, and vehicle routing planning. The novelty of the model also lies in simultaneously minimising the overall cost of the activities undertaken, maximizing the performance of the component suppliers and minimising the carbon emissions of the associated transportation activities. A weighted fuzzy mathematical programming approach is utilised for generating a fuzzy, properly efficient solution as the desired compromised solution for the CLSC network problem configuration. The relevance of the model is justified using a real data set derived from a case study of the firm based in the northern capital region (NCR) of India. The findings indicate that the proposed integrated CLSC network model enables the firm in gaining sustainably from the numerous electronic product reuse opportunities in the Indian market. Further, while costly to begin with, choosing suppliers with higher sustainable performance and vehicles with lesser emission rate could substantially enhance firm's sustainable image and result in higher profits in the future. (C) 2017 Elsevier Ltd. All rights reserved.</t>
  </si>
  <si>
    <t>[Govindan, Kannan] Univ Southern Denmark, Dept Technol &amp; Innovat, Ctr Sustainable Supply Chain Engn, Odense M, Denmark; [Darbari, Jyoti Dhingra; Agarwal, Vernika; Jha, P. C.] Univ Delhi, Dept Operat Res, Delhi, India</t>
  </si>
  <si>
    <t>University of Southern Denmark; University of Delhi</t>
  </si>
  <si>
    <t>Govindan, K (corresponding author), Univ Southern Denmark, Dept Technol &amp; Innovat, Ctr Sustainable Supply Chain Engn, Odense M, Denmark.</t>
  </si>
  <si>
    <t>kgov@iti.sdu.dk</t>
  </si>
  <si>
    <t>Govindan, Kannan/M-5996-2017; Agarwal, Vernika/J-8370-2014; Darbari, Jyoti/ACA-5699-2022</t>
  </si>
  <si>
    <t>Govindan, Kannan/0000-0002-6204-1196; Agarwal, Vernika/0000-0003-4577-773X;</t>
  </si>
  <si>
    <t>10.1016/j.jclepro.2017.06.180</t>
  </si>
  <si>
    <t>FH9PO</t>
  </si>
  <si>
    <t>WOS:000411544400135</t>
  </si>
  <si>
    <t>Skultéty, F; Benová, D; Gnap, J</t>
  </si>
  <si>
    <t>Skultety, Filip; Benova, Dominika; Gnap, Jozef</t>
  </si>
  <si>
    <t>City Logistics as an Imperative Smart City Mechanism: Scrutiny of Clustered EU27 Capitals</t>
  </si>
  <si>
    <t>city logistics; cluster analysis; EU27; two-step cluster; congestions; sustainable transport</t>
  </si>
  <si>
    <t>URBAN FREIGHT TRANSPORT; TRAFFIC CONGESTION; IMPACT; SUSTAINABILITY; IMPLEMENTATION; CHALLENGES; MOBILITY; CITIES; ZONE</t>
  </si>
  <si>
    <t>In large urban agglomerations, various logistical problems arise due to high population density and deficient transport infrastructure. City logistics involves the efficient distribution of freight transport in urban areas and approaches to mitigate environmental impacts and traffic congestion. This paper aims to use a two-step cluster analytic approach to segmentation of EU27 capital cities based on their city logistics performance. To obtain primary outcomes, the log-likelihood measure in SPSS Statistics was used. The results can be used to identify the development and implementation of logistics measures in capitals across the EU. In addition to clustering, the statistical analysis evaluates the position of investigated cities concerning traffic congestions, and from an environmental point of view, the carbon dioxide produced from transport. The scrutiny delivers practical outlooks on how clustering can be undertaken and proves how the clusters can be used to plan city logistics and supply chain management. Finally, the paper deals with smart city indices from the perspective of sustainable mobility and examines its correlation with city logistics.</t>
  </si>
  <si>
    <t>[Skultety, Filip; Benova, Dominika; Gnap, Jozef] Univ Zilina, Fac Operat &amp; Econ Transport &amp; Commun, SK-01026 Zilina, Slovakia</t>
  </si>
  <si>
    <t>University of Zilina</t>
  </si>
  <si>
    <t>Skultéty, F (corresponding author), Univ Zilina, Fac Operat &amp; Econ Transport &amp; Commun, SK-01026 Zilina, Slovakia.</t>
  </si>
  <si>
    <t>filip.skultety@fpedas.uniza.sk; dominika.benova@fpedas.uniza.sk; jozef.gnap@fpedas.uniza.sk</t>
  </si>
  <si>
    <t>Skultety, Filip/P-2207-2016; Gnap, Jozef/B-9940-2017</t>
  </si>
  <si>
    <t>Skultety, Filip/0000-0003-1538-5532; Gnap, Jozef/0000-0002-0833-7850; Benova, Dominika/0000-0002-6389-9557</t>
  </si>
  <si>
    <t>Center of Excellence for Systems and Services of Intelligent Transport II - Research &amp; Development Operational Program [ITMS 26220120050]; Faculty of Operation and Economics of Transport and Communications, University of Zilina [3/KCMD/2020]; ERDF</t>
  </si>
  <si>
    <t>Center of Excellence for Systems and Services of Intelligent Transport II - Research &amp; Development Operational Program; Faculty of Operation and Economics of Transport and Communications, University of Zilina; ERDF(European Union (EU))</t>
  </si>
  <si>
    <t>This research was funded by the Center of Excellence for Systems and Services of Intelligent Transport II., ITMS 26220120050 supported by the Research &amp; Development Operational Program funded by the ERDF and also thanks to the project institutional research of the Faculty of Operation and Economics of Transport and Communications, University of Zilina no. 3/KCMD/2020 Research of selected aspects of transport services of cities and regions by passenger and freight transport.</t>
  </si>
  <si>
    <t>10.3390/su13073641</t>
  </si>
  <si>
    <t>RL3WE</t>
  </si>
  <si>
    <t>WOS:000638907100001</t>
  </si>
  <si>
    <t>He, JJ; Ma, HC; Liu, YJ; Zhao, YQ</t>
  </si>
  <si>
    <t>He, Jiaji; Ma, Haocheng; Liu, Yanjiang; Zhao, Yiqiang</t>
  </si>
  <si>
    <t>Golden Chip-Free Trojan Detection Leveraging Trojan Trigger's Side-Channel Fingerprinting</t>
  </si>
  <si>
    <t>ACM TRANSACTIONS ON EMBEDDED COMPUTING SYSTEMS</t>
  </si>
  <si>
    <t>Electromagnetic side channel; factor analysis; golden chip free; hardware Trojan detection; k-means clustering</t>
  </si>
  <si>
    <t>HARDWARE; SIMULATION; SECURITY</t>
  </si>
  <si>
    <t>Hardware Trojans (HTs) have become a major threat for the integrated circuit industry and supply chain and have motivated numerous developments of HT detection schemes. Although the side-channel HT detection approach is among the most promising solutions, most of the previous methods require a trusted golden chip reference. Furthermore, detection accuracy is often influenced by environmental noise and process variations. In this article, a novel electromagnetic (EM) side-channel fingerprinting-based HT detection method is proposed. Different from previous methods, the proposed solution eliminates the requirement of a trusted golden fabricated chip. Rather, only the genuine RTL code is required to generate the EM signatures as references. A factor analysis method is utilized to extract the spectral features of the HT trigger's EM radiation, and then a k-means clustering method is applied for HT detection. Experimentation on two selected sets of Trust-Hub benchmarks has been performed on FPGA platforms, and the results show that the proposed framework can detect all dormant I ITs with a high confidence level.</t>
  </si>
  <si>
    <t>[He, Jiaji] Tsinghua Univ, Inst Microelect, 30 Shuagqing Rd, Beijing, Peoples R China; [Ma, Haocheng; Liu, Yanjiang; Zhao, Yiqiang] Tianjin Univ, Sch Microelect, 92 Weijin Rd, Tianjin, Peoples R China</t>
  </si>
  <si>
    <t>Tsinghua University; Tianjin University</t>
  </si>
  <si>
    <t>He, JJ (corresponding author), Tsinghua Univ, Inst Microelect, 30 Shuagqing Rd, Beijing, Peoples R China.</t>
  </si>
  <si>
    <t>jiaji_he@mail.tsinghua.edu.cn; hc_ma@tju.edu.cn; yanjiang_liu@tju.edu.cn; yq_zhao@tju.edu.cn</t>
  </si>
  <si>
    <t>Liu, Yanjiang/GQI-0311-2022</t>
  </si>
  <si>
    <t>Liu, Yanjiang/0000-0003-1806-6748; HE, JIAJI/0000-0003-1443-9279</t>
  </si>
  <si>
    <t>National Natural Science Foundation of China [61832018]; China Postdoctoral Science Foundation [2019TQ0167]</t>
  </si>
  <si>
    <t>National Natural Science Foundation of China(National Natural Science Foundation of China (NSFC)); China Postdoctoral Science Foundation(China Postdoctoral Science Foundation)</t>
  </si>
  <si>
    <t>This work was supported in part by the National Natural Science Foundation of China (grant 61832018) and the China Postdoctoral Science Foundation (grant 2019TQ0167).</t>
  </si>
  <si>
    <t>1539-9087</t>
  </si>
  <si>
    <t>1558-3465</t>
  </si>
  <si>
    <t>ACM T EMBED COMPUT S</t>
  </si>
  <si>
    <t>ACM Trans. Embed. Comput. Syst.</t>
  </si>
  <si>
    <t>10.1145/3419105</t>
  </si>
  <si>
    <t>PT6RO</t>
  </si>
  <si>
    <t>WOS:000608740800006</t>
  </si>
  <si>
    <t>Phoonokniam, S; Kanchanasuntorn, K; Vongmanee, V</t>
  </si>
  <si>
    <t>Phoonokniam, Siriya; Kanchanasuntorn, Kanchana; Vongmanee, Varin</t>
  </si>
  <si>
    <t>To Discriminate General Election system in Thailand by using K-Means Clustering</t>
  </si>
  <si>
    <t>JOURNAL OF PHARMACEUTICAL NEGATIVE RESULTS</t>
  </si>
  <si>
    <t>Election; Voting; Thailand; K -means</t>
  </si>
  <si>
    <t>Thailand uses the ballot paper in the general election since 1933. In the present day, technology has been involved in daily basics. This study aims to explore the hypothesis of the election system in Thailand which can use the technology in the election process name as electronic voting (e-voting) or still need to use the traditional method. Before implementation, it should study in terms of the area that is ready to implement the new method and where still need to use the current one. This study takes the relevant factors to analyze with the data of each area collected from various sources. The clustering method used in this study is k-means. Then to find the acceptable k cluster the silhouette method is used. The result is 2 cluster is a perfect fit with the 11 factors that used in this study. The first cluster is Bangkok which is the capital city to be matched with the e-voting method and the second cluster is the remainder province in Thailand (76 provinces). This can be used for the next study in terms of supply chain design for e-voting and developing the ballot paper logistics.</t>
  </si>
  <si>
    <t>[Phoonokniam, Siriya; Vongmanee, Varin] Univ Thai Chamber Commerce, Sch Engn, Bangkok, Thailand; [Kanchanasuntorn, Kanchana] King Mongkuts Univ Technol North Bangkok, Fac Ind Technol &amp; Management, Bangkok, Thailand</t>
  </si>
  <si>
    <t>University Thai Chamber Commerce; King Mongkuts University of Technology North Bangkok</t>
  </si>
  <si>
    <t>Kanchanasuntorn, K (corresponding author), King Mongkuts Univ Technol North Bangkok, Fac Ind Technol &amp; Management, Bangkok, Thailand.</t>
  </si>
  <si>
    <t>kanchana_k@fitm.kmutnb.ac.th</t>
  </si>
  <si>
    <t>RESEARCHTRENTZ ACAD PUBL EDUCATION SERVICES</t>
  </si>
  <si>
    <t>Somerville</t>
  </si>
  <si>
    <t>240 Elm Street, 2nd &amp; 3rd Floors, Somerville, MA, UNITED STATES</t>
  </si>
  <si>
    <t>0976-9234</t>
  </si>
  <si>
    <t>2229-7723</t>
  </si>
  <si>
    <t>J PHARM NEGAT RESULT</t>
  </si>
  <si>
    <t>J. Pharm. Negat. Results</t>
  </si>
  <si>
    <t>10.47750/pnr.2022.13.S06.106</t>
  </si>
  <si>
    <t>Pharmacology &amp; Pharmacy</t>
  </si>
  <si>
    <t>5T8DT</t>
  </si>
  <si>
    <t>WOS:000876090500013</t>
  </si>
  <si>
    <t>Diaz, R</t>
  </si>
  <si>
    <t>Diaz, Rafael</t>
  </si>
  <si>
    <t>Using dynamic demand information and zoning for the storage of non-uniform density stock keeping units</t>
  </si>
  <si>
    <t>optimal layout heuristics; zoning; order-picking; logistics; simulation; optimisation</t>
  </si>
  <si>
    <t>ORDER PICKING SYSTEM; TO-PART SYSTEMS; ASSIGNMENT; ALGORITHM; LOCATION; DESIGN; PERFORMANCE; OPERATIONS; POLICIES; IMPROVE</t>
  </si>
  <si>
    <t>The warehouse order-picking operation is one of the most labour-intense activities that has an important impact on responsiveness and efficiency of the supply chain. An understanding of the impact of the simultaneous effects of customer demand patterns and order clustering, considering physical restrictions in product storage, is critical for improving operational performance. Storage restrictions may include storing non-uniform density stock keeping units (SKUs) whose dimensions and weight constrain the order-picking operation given that a priority must be followed. In this paper, a heuristic optimisation based on a quadratic integer programming is employed to generate a layout solution that considers customer demand patterns and order clustering. A simulation model is used to investigate the effects of creating and implementing these layout solutions in conjunction with density zones to account for restrictions in non-uniform density SKUs. Results from combining layout optimisation heuristics and density zoning indicate statistical significant differences between assignments that ignore the aforementioned factors and those that recognise it.</t>
  </si>
  <si>
    <t>[Diaz, Rafael] Zaragoza Logist Ctr, MIT Zaragoza Int Logist Program, MIT Global Scale, Zaragoza, Spain</t>
  </si>
  <si>
    <t>Diaz, R (corresponding author), Zaragoza Logist Ctr, MIT Zaragoza Int Logist Program, MIT Global Scale, Zaragoza, Spain.</t>
  </si>
  <si>
    <t>diazr@mit.edu</t>
  </si>
  <si>
    <t>4 PARK SQUARE, MILTON PARK, ABINGDON OX14 4RN, OXON, ENGLAND</t>
  </si>
  <si>
    <t>APR 17</t>
  </si>
  <si>
    <t>10.1080/00207543.2015.1106605</t>
  </si>
  <si>
    <t>DI8GU</t>
  </si>
  <si>
    <t>WOS:000373740300021</t>
  </si>
  <si>
    <t>Gupta, V; Subramanian, R</t>
  </si>
  <si>
    <t>Gupta, Vipin; Subramanian, Ram</t>
  </si>
  <si>
    <t>Seven perspectives on regional clusters and the case of Grand Rapids office furniture city</t>
  </si>
  <si>
    <t>INTERNATIONAL BUSINESS REVIEW</t>
  </si>
  <si>
    <t>competitive advantage; globalization; regional clusters</t>
  </si>
  <si>
    <t>INCREASING RETURNS; TECHNOLOGY; INNOVATION; KNOWLEDGE; CHAIN; SPILLOVERS; ADVANTAGE; ECONOMICS; GEOGRAPHY; INDUSTRY</t>
  </si>
  <si>
    <t>The globalization of the value chain puts older regional clusters characterized by local, vertical value chains across multiple connected sectors, at a significant risk. Firms operating within the local regional clusters need to develop new generic strategies and new bases of competitive advantage in response to the growing outsourcing within the regional cluster. We review Krugman's geography, Porter's diamond, and European regional innovation system perspectives, as well as three extensions of those perspectives, to identify relevant generic strategies and bases of competitive advantage in regional clusters. A seventh transnational value chain perspective is also discussed. Then, we contextually analyze the historical furniture cluster of the Greater Grand Rapids region, Michigan, USA, and highlight the shifts in the generic strategies and the bases of competitive advantage in response to globalization. The findings have critical implications for the theory of regional clustering, and for the policy decisions. (c) 2008 Elsevier Ltd. All rights reserved.</t>
  </si>
  <si>
    <t>[Gupta, Vipin] Simmons Coll, Sch Management, Boston, MA 02115 USA; [Subramanian, Ram] Montclair State Univ, Sch Business, Montclair, NJ 07043 USA</t>
  </si>
  <si>
    <t>Simmons University; Montclair State University</t>
  </si>
  <si>
    <t>Gupta, V (corresponding author), Simmons Coll, Sch Management, 300 Fenway, Boston, MA 02115 USA.</t>
  </si>
  <si>
    <t>vipin.gupta@simmons.edu; subramanianr@mail.montclair.edu</t>
  </si>
  <si>
    <t>0969-5931</t>
  </si>
  <si>
    <t>INT BUS REV</t>
  </si>
  <si>
    <t>Int. Bus. Rev.</t>
  </si>
  <si>
    <t>10.1016/j.ibusrev.2008.03.001</t>
  </si>
  <si>
    <t>334VR</t>
  </si>
  <si>
    <t>WOS:000258249900001</t>
  </si>
  <si>
    <t>Delina, R; Olejarova, R; Doucek, P</t>
  </si>
  <si>
    <t>Delina, Radoslav; Olejarova, Renata; Doucek, Petr</t>
  </si>
  <si>
    <t>Effect of a new potential supplier on business to business negotiations performance: evidence-based analysis</t>
  </si>
  <si>
    <t>ELECTRONIC COMMERCE RESEARCH</t>
  </si>
  <si>
    <t>Price; Competition; New potential supplier; Transparency; Supply chain; Electronic reverse auction</t>
  </si>
  <si>
    <t>SEALED BID AUCTIONS; COMPARING OPEN; CHAIN; SELECTION; ENTRY; COMPETITION; BARRIERS; QUALITY; FLEXIBILITY; COMPLEXITY</t>
  </si>
  <si>
    <t>Technology innovations significantly determine supplier selection and competition in supply chains. We are enhancing current research using empirical data and examining new supplier effect on procurement performance in terms of (1) transparency (2) market structure (3) competition and (4) effect size. Through clustering, Mann-Whitney U tests, correlation effect size and CHAID classification algorithm we have found that a new potential supplier generates higher savings than only qualified suppliers in negotiation with higher effect in a transparent environment (additional 3.4% savings). We have identified the effect of the price premium for the procurer between 1.9 and 9.1% based on different procurement strategies.</t>
  </si>
  <si>
    <t>[Delina, Radoslav; Olejarova, Renata] Tech Univ Kosice, Fac Econ, Bozeny Nemcovej 32, Kosice 04001, Slovakia; [Doucek, Petr] Univ Econ &amp; Business Prague, Fac Informat &amp; Stat, Nam W Churchilla 4, Prague 13067 3, Czech Republic</t>
  </si>
  <si>
    <t>Technical University Kosice</t>
  </si>
  <si>
    <t>Olejarova, R (corresponding author), Tech Univ Kosice, Fac Econ, Bozeny Nemcovej 32, Kosice 04001, Slovakia.</t>
  </si>
  <si>
    <t>radoslav.delina@tuke.sk; renata.olejarova@tuke.sk; doucek@vse.cz</t>
  </si>
  <si>
    <t>Delina, Radoslav/L-6141-2015</t>
  </si>
  <si>
    <t>Delina, Radoslav/0000-0003-0412-9840</t>
  </si>
  <si>
    <t>Slovak Research and Development Agency [APVV-16-0368]</t>
  </si>
  <si>
    <t>Slovak Research and Development Agency(Slovak Research and Development Agency)</t>
  </si>
  <si>
    <t>This work was supported by the Slovak Research and Development Agency [project APVV-16-0368].</t>
  </si>
  <si>
    <t>1389-5753</t>
  </si>
  <si>
    <t>1572-9362</t>
  </si>
  <si>
    <t>ELECTRON COMMER RES</t>
  </si>
  <si>
    <t>Electron. Commer. Res.</t>
  </si>
  <si>
    <t>2021 DEC 2</t>
  </si>
  <si>
    <t>10.1007/s10660-021-09524-6</t>
  </si>
  <si>
    <t>XH3UU</t>
  </si>
  <si>
    <t>WOS:000725364400001</t>
  </si>
  <si>
    <t>Chen, FH; Chi, DJ; Wang, YC</t>
  </si>
  <si>
    <t>Chen, Fu-Hsiang; Chi, Der-Jang; Wang, Yi-Cheng</t>
  </si>
  <si>
    <t>Detecting biotechnology industry's earnings management using Bayesian network, principal component analysis, back propagation neural network, and decision tree</t>
  </si>
  <si>
    <t>ECONOMIC MODELLING</t>
  </si>
  <si>
    <t>Data mining; Bayesian network (EN); Back propagation neural network (BPN); Principal component analysis (PCA); C5.0 decision tree; Accrual earnings management</t>
  </si>
  <si>
    <t>PERFORMANCE; REAL</t>
  </si>
  <si>
    <t>The characteristic of long value chain, high-risk, high cost of research and development are belong to high knowledge based content in the biotech medical industry, and the reliability of biotechnology industry's financial statements and the earnings management behavior conducted by the management in their accrual manipulation have been a critical issue. In recent years, some studies have used the data mining technique to detect earnings management, with which the accuracy has therefore risen. As such, this study attempts to diagnose the detecting biotechnology industry earnings management by integrating suitable computing models, we first screened the earnings management variables with the principal component analysis (PCA) and Bayesian network (BN), followed by further constructing the integrated model with the back propagation neural network (BPN) and C5.0 (decision tree) to detect if a company's earnings were seriously manipulated. The empirical results show that combining the EN screening method with C5.0 decision tree has the best performance with an accuracy rate of 98.51%. From the rules set in the final additional testing of the study, it is also found that an enterprise's prior period discretionary accruals play an important role in affecting the serious degree of accrual earnings management. (C) 2014 Elsevier B.V. All rights reserved.</t>
  </si>
  <si>
    <t>[Chen, Fu-Hsiang; Chi, Der-Jang; Wang, Yi-Cheng] Chinese Culture Univ, Dept Accounting, Taipei 11114, Taiwan</t>
  </si>
  <si>
    <t>Chinese Culture University</t>
  </si>
  <si>
    <t>Chi, DJ (corresponding author), Chinese Culture Univ, Dept Accounting, 55 Hwa Kang Rd, Taipei 11114, Taiwan.</t>
  </si>
  <si>
    <t>derjang@yahoo.com.tw</t>
  </si>
  <si>
    <t>0264-9993</t>
  </si>
  <si>
    <t>1873-6122</t>
  </si>
  <si>
    <t>ECON MODEL</t>
  </si>
  <si>
    <t>Econ. Model.</t>
  </si>
  <si>
    <t>10.1016/j.econmod.2014.12.035</t>
  </si>
  <si>
    <t>CE6UW</t>
  </si>
  <si>
    <t>WOS:000351974700001</t>
  </si>
  <si>
    <t>Tsfaty, C; Fire, M</t>
  </si>
  <si>
    <t>Tsfaty, Chen; Fire, Michael</t>
  </si>
  <si>
    <t>Malicious source code detection using a translation model</t>
  </si>
  <si>
    <t>PATTERNS</t>
  </si>
  <si>
    <t>Modern software development often relies on open-source code sharing. Open-source code reuse, however, allows hackers to access wide developer communities, thereby potentially affecting many products. An increasing number of such supply chain attackshave occurred in recent years, taking advantage of open-source software development practices. Here, we introduce the Malicious Source code Detection using a Translation model (MSDT) algorithm. MSDT is a novel deep-learning-based analysis method that detects real-world code injections into source code packages. We have tested MSDT by embedding exam-ples from a dataset of over 600,000 different functions and then applying a clustering algorithm to the resulting embedding vectors to identify malicious functions by detecting outliers. We evaluated MSDT's performance with extensive experiments and demonstrated that MSDT could detect malicious code injec-tions with precision@k values of up to 0.909.</t>
  </si>
  <si>
    <t>[Tsfaty, Chen; Fire, Michael] Ben Gurion Univ Negev, Dept Software &amp; Informat Syst Engn, IL-8410501 Beer Sheva, Israel</t>
  </si>
  <si>
    <t>Tsfaty, C; Fire, M (corresponding author), Ben Gurion Univ Negev, Dept Software &amp; Informat Syst Engn, IL-8410501 Beer Sheva, Israel.</t>
  </si>
  <si>
    <t>chents@post.bgu.ac.il; mickyfi@bgu.ac.il</t>
  </si>
  <si>
    <t>2666-3899</t>
  </si>
  <si>
    <t>Patterns</t>
  </si>
  <si>
    <t>JUL 14</t>
  </si>
  <si>
    <t>10.1016/j.patter.2023.100773</t>
  </si>
  <si>
    <t>Computer Science, Artificial Intelligence; Computer Science, Information Systems; Computer Science, Interdisciplinary Applications</t>
  </si>
  <si>
    <t>O3RD8</t>
  </si>
  <si>
    <t>WOS:001043013900001</t>
  </si>
  <si>
    <t>Brusco, MJ; Singh, R; Cradit, JD; Steinley, D</t>
  </si>
  <si>
    <t>Brusco, Michael J.; Singh, Renu; Cradit, J. Dennis; Steinley, Douglas</t>
  </si>
  <si>
    <t>Cluster analysis in empirical OM research: survey and recommendations</t>
  </si>
  <si>
    <t>Empirical; Literature review; Methodology for operations management</t>
  </si>
  <si>
    <t>SUPPLY CHAIN INTEGRATION; MANUFACTURING STRATEGY; COMPETITIVE PRIORITIES; MANAGEMENT-SYSTEMS; QUALITY MANAGEMENT; LOCAL OPTIMA; PERFORMANCE; TAXONOMY; IMPACT; OPERATIONS</t>
  </si>
  <si>
    <t>Purpose - The purpose of this paper is twofold. First, the authors provide a survey of operations management (OM) research applications of traditional hierarchical and nonhierarchical clustering methods with respect to key decisions that are central to a valid analysis. Second, the authors offer recommendations for practice with respect to these decisions. Design/methodology/approach - A coding study was conducted for 97 cluster analyses reported in six OM journals during the period spanning 1994-2015. Data were collected with respect to: variable selection, variable standardization, method, selection of the number of clusters, consistency/stability of the clustering solution, and profiling of the clusters based on exogenous variables. Recommended practices for validation of clustering solutions are provided within the context of this framework. Findings - There is considerable variability across clustering applications with respect to the components of validation, as well as a mix of productive and undesirable practices. This justifies the importance of the authors' provision of a schema for conducting a cluster analysis. Research limitations/implications - Certain aspects of the coding study required some degree of subjectivity with respect to interpretation or classification. However, in light of the sheer magnitude of the coding study (97 articles), the authors are confident that an accurate picture of empirical OM clustering applications has been presented. Practical implications - The paper provides a critique and synthesis of the practice of cluster analysis in OM research. The coding study provides a thorough foundation for how the key decisions of a cluster analysis have been previously handled in the literature. Both researchers and practitioners are provided with guidelines for performing a valid cluster analysis. Originality/value - To the best of the authors' knowledge, no study of this type has been reported in the OM literature. The authors' recommendations for cluster validation draw from recent studies in other disciplines that are apt to be unfamiliar to many OM researchers.</t>
  </si>
  <si>
    <t>[Brusco, Michael J.] Florida State Univ, Tallahassee, FL 32306 USA; [Singh, Renu] South Carolina State Univ, Dept Mkt, Orangeburg, SC USA; [Cradit, J. Dennis] Florida State Univ, Dept Analyt Informat Syst &amp; Supply Chain, Tallahassee, FL 32306 USA; [Steinley, Douglas] Univ Missouri, Columbia, MO USA</t>
  </si>
  <si>
    <t>State University System of Florida; Florida State University; South Carolina State University; State University System of Florida; Florida State University; University of Missouri System; University of Missouri Columbia</t>
  </si>
  <si>
    <t>mbrusco@fsu.edu</t>
  </si>
  <si>
    <t>10.1108/IJOPM-08-2015-0493</t>
  </si>
  <si>
    <t>EQ4RO</t>
  </si>
  <si>
    <t>WOS:000398065900002</t>
  </si>
  <si>
    <t>Sepulveda, JM; Derpich, IS</t>
  </si>
  <si>
    <t>Sepulveda, J. M.; Derpich, I. S.</t>
  </si>
  <si>
    <t>Multicriteria Supplier Classification for DSS: Comparative Analysis of Two Methods</t>
  </si>
  <si>
    <t>INTERNATIONAL JOURNAL OF COMPUTERS COMMUNICATIONS &amp; CONTROL</t>
  </si>
  <si>
    <t>Decision Support Systems; Supply Management; Electre; Flow Sort</t>
  </si>
  <si>
    <t>In this paper the analysis of two multicriteria decision making (MCDM) methods for sorting suppliers in industrial environments is presented. The MCDM methods correspond to Electre and Flow Sort and both are applied to the classification of providers in an actual case of the local softdrink bottling industry in Chile. The results show that Electre as an outranking method it may well classify suppliers in a similar manner as Flow Sort does. Nevertheless, due to the intrinsic underlying fuzzy multicriteria nature of the problem, Flow Sort is found to be more suitable method for building a rule-based system based on preference functions for automating the process of suppliers clustering when developing strategies of relationship management in the sense of the Kraljic categories in supply chain management.</t>
  </si>
  <si>
    <t>[Sepulveda, J. M.; Derpich, I. S.] Univ Santiago, Santiago 7254758, Chile</t>
  </si>
  <si>
    <t>Universidad de Santiago de Chile</t>
  </si>
  <si>
    <t>Sepulveda, JM (corresponding author), Univ Santiago, 3769 Ecuador Ave, Santiago 7254758, Chile.</t>
  </si>
  <si>
    <t>juan.sepulveda@usach.cl; ivan.derpich@usach.cl</t>
  </si>
  <si>
    <t>derpich, ivan/T-1160-2019</t>
  </si>
  <si>
    <t>derpich, ivan/0000-0001-9759-7285</t>
  </si>
  <si>
    <t>DICYT (Scientific and Tecnological Research Office) of the University of Santiago of Chile [061117SS]; Industrial Engineering (IE) Department of the University of Santiago of Chile</t>
  </si>
  <si>
    <t>DICYT (Scientific and Tecnological Research Office) of the University of Santiago of Chile; Industrial Engineering (IE) Department of the University of Santiago of Chile</t>
  </si>
  <si>
    <t>The authors are very grateful to DICYT (Scientific and Tecnological Research Office), Project Number 061117SS and the Industrial Engineering (IE) Department, both of the University of Santiago of Chile for their support in this work. Also to IE graduates Marcos Melin and Stephanie Sepulveda who helped in the data collection and model implementation.</t>
  </si>
  <si>
    <t>CCC PUBL-AGORA UNIV</t>
  </si>
  <si>
    <t>BIHOR</t>
  </si>
  <si>
    <t>PIATA TINERETULUI 8, ORADEA, JUD, BIHOR, 410526, ROMANIA</t>
  </si>
  <si>
    <t>1841-9836</t>
  </si>
  <si>
    <t>1841-9844</t>
  </si>
  <si>
    <t>INT J COMPUT COMMUN</t>
  </si>
  <si>
    <t>Int. J. Comput. Commun. Control</t>
  </si>
  <si>
    <t>10.15837/ijccc.2015.2.1755</t>
  </si>
  <si>
    <t>Automation &amp; Control Systems; Computer Science, Information Systems</t>
  </si>
  <si>
    <t>CB7NT</t>
  </si>
  <si>
    <t>WOS:000349814800009</t>
  </si>
  <si>
    <t>Guo, SD; Liu, JJ; Yang, YJ</t>
  </si>
  <si>
    <t>Guo, Sandang; Liu, Junjuan; Yang, Yingjie</t>
  </si>
  <si>
    <t>Weight Analysis for Multiattribute Group Decision-Making with Interval Grey Numbers Based on Decision-Makers' Psychological Criteria</t>
  </si>
  <si>
    <t>SUPPLY CHAIN; INFORMATION</t>
  </si>
  <si>
    <t>To address the problem of multiattribute group decision-making with interval grey numbers, decision matrices are adjusted using kernels of interval grey numbers to reduce the psychological effects of decision-makers. The comprehensive weights of attributes are obtained by aggregating the subjective weights with objective weights, which are calculated based on the accuracy and difference of attributes. Considering the consistent, best, and worst decision-making abilities of decision-makers, grey incidence models are established to obtain the consistency weights and individual bipolar weights of decision-makers; then, the comprehensive weights of decision-makers are determined. A clustering approach of interval grey numbers is presented, and overall evaluations are obtained. Finally, an example is provided and its validity is tested to verify the feasibility of the proposed method.</t>
  </si>
  <si>
    <t>[Guo, Sandang; Liu, Junjuan] Henan Agr Univ, Coll Informat &amp; Management Sci, Zhengzhou 450046, Peoples R China; [Guo, Sandang; Yang, Yingjie] De Montfort Univ, Ctr Computat Intelligence, Leicester LE1 9BH, Leics, England</t>
  </si>
  <si>
    <t>Henan Agricultural University; De Montfort University</t>
  </si>
  <si>
    <t>Guo, SD (corresponding author), Henan Agr Univ, Coll Informat &amp; Management Sci, Zhengzhou 450046, Peoples R China.;Guo, SD (corresponding author), De Montfort Univ, Ctr Computat Intelligence, Leicester LE1 9BH, Leics, England.</t>
  </si>
  <si>
    <t>guosandang@163.com; gsd0702@163.com; yyang@dmu.ac.uk</t>
  </si>
  <si>
    <t>Yang, Ying/ABD-2481-2022; li, yao/IYJ-1364-2023</t>
  </si>
  <si>
    <t>Yang, Yingjie/0000-0003-4525-5624; Guo, San-dang/0000-0002-4176-9399</t>
  </si>
  <si>
    <t>Project of Education Department of Henan Province [2017-ZZJH-227]; China Scholarship Council (CSC) [[2017] 5087]; Royal Society; NSFC [IEC\NSFC\170391]</t>
  </si>
  <si>
    <t>Project of Education Department of Henan Province; China Scholarship Council (CSC)(China Scholarship Council); Royal Society(Royal Society); NSFC(National Natural Science Foundation of China (NSFC))</t>
  </si>
  <si>
    <t>This paper was sponsored by the Project of Education Department of Henan Province (no. 2017-ZZJH-227), China Scholarship Council (CSC, no. [2017] 5087), and Royal Society and NSFC (no. IEC\NSFC\170391).</t>
  </si>
  <si>
    <t>JUL 6</t>
  </si>
  <si>
    <t>10.1155/2020/1878720</t>
  </si>
  <si>
    <t>MR2DY</t>
  </si>
  <si>
    <t>WOS:000553401500007</t>
  </si>
  <si>
    <t>Alvarez-Bermejo, JA; Giagnocavo, C; Ming, L; Morales, EC; Santos, DPM; Yang, XT</t>
  </si>
  <si>
    <t>Antonio Alvarez-Bermejo, Jose; Giagnocavo, Cynthia; Ming, Li; Castillo Morales, Encarnacion; Morales Santos, Diego P.; Yang Xinting</t>
  </si>
  <si>
    <t>Image processing methods to evaluate tomato and zucchini damage in post-harvest stages</t>
  </si>
  <si>
    <t>image processing; color space; smartphone; efficient stitching; homography; controlled supervision; artificial vision; embedded parallel processing; injury assessment; traceability; post-harvest control; feature detection</t>
  </si>
  <si>
    <t>COMPUTER VISION; CHILLING INJURY; MACHINE VISION; FRUITS; ALGORITHM; SYSTEMS; COLOR; FIELD</t>
  </si>
  <si>
    <t>Through the supply chain, the quality or quality change of the products can generate important losses. The quality control in some steps is made manually that supposes a high level of subjectivity, controlling the quality and its evolution using automatic systems can suppose a reduction of the losses. Testing some automatic image analysis techniques in the case of tomatoes and zucchini is the main objective of this study. Two steps in the supply chain are considered, the feeding of the raw products into the handling chain (because low quality generates a reduction of the chain productivity) and the cool storage of the processed products (as the value at the market is reduced). It was proposed to analyze the incoming products at the head the processing line using CCD cameras to detect low quality and/or dirty products (corresponding to specific farmers/suppliers, it should be asked to improve to maintain the productivity of the line). The second stage is analyzing the evolution of the products along the cool chain (storage and transport), the use of an App developed to be use under Android was proposed to substitute the visual evaluation used in practice. The algorithms used, including stages of pre-treatment, segmentation, analysis and presentation of the results take account of the short time available and the limited capacity of the batteries. High performance techniques were applied to the homography stage to discard some of the images, resulting in better performance. Also threads and renderscript kernels were created to parallelize the methods used on the resulting images being able to inspect faster the products. The proposed method achieves success rates comparable to, and improving, the expert inspection.</t>
  </si>
  <si>
    <t>[Antonio Alvarez-Bermejo, Jose] Univ Almeria, CeiA3, Dept Informat, Almeria 04120, Spain; [Giagnocavo, Cynthia] Univ Almeria, Catedra Chair Coexphal UAL Hort Cooperat Studies, Agr Cooperat Innovat Business Models &amp; ICT Econ V, Almeria, Spain; [Ming, Li; Yang Xinting] Minist Agr, Beijing Res Ctr Informat Technol Agr, Natl Engn Res Ctr Informat Technol Agr, Natl Engn Lab Agri Prod Qual Traceabil,Key Lab In, Beijing 100097, Peoples R China; [Castillo Morales, Encarnacion; Morales Santos, Diego P.] Fac Ciencias, Dept Elect &amp; Comp Technol, Granada 18071, Spain</t>
  </si>
  <si>
    <t>Universidad de Almeria; Universidad de Almeria; Ministry of Agriculture &amp; Rural Affairs; Beijing Academy of Agriculture &amp; Forestry Sciences (BAAFS)</t>
  </si>
  <si>
    <t>Alvarez-Bermejo, JA (corresponding author), Univ Almeria, Dept Informat, Res Image Proc Embedded Devices, Almeria, Spain.;Ming, L (corresponding author), Minist Agr, Beijing Res Ctr Informat Technol Agr, Natl Engn Res Ctr Informat Technol Agr,Warning Sy, Natl Engn Lab Agri Prod Qual Traceabil,Key Lab In, Beijing 100097, Peoples R China.</t>
  </si>
  <si>
    <t>jaberme@ual.es; cgiagnocavo@ual.es; lim@nercita.org.cn; ecastillo@ditec.ugr.es; diegopm@ugr.es; xintingyang@nercita.org.cn</t>
  </si>
  <si>
    <t>Bermejo, José Antonio Álvarez/M-1691-2014; Ming, Li/B-4439-2015; Giagnocavo, Cynthia/AAA-8983-2019; Castillo, Encarnación/ACP-5061-2022; Castillo, Encarnacion/D-9975-2012; Yang, Xinting/HKV-1450-2023</t>
  </si>
  <si>
    <t>Bermejo, José Antonio Álvarez/0000-0002-5815-7858; Giagnocavo, Cynthia/0000-0001-9349-9581; Castillo, Encarnación/0000-0001-6476-8105; Castillo, Encarnacion/0000-0001-6476-8105;</t>
  </si>
  <si>
    <t>Controlcrop Project [P10-TEP-6174]; Andalusian Ministry of Economy, Innovation and Science (Andalusia, Spain); Spanish Ministry of Science and Innovation; EUERDF funds [DPI2014-56364-C2-1-R]; TEAP project; Marie Curie Actions [PIRSES-GA-2013-612659]; Young Scientists Fund of National Natural Science Foundation of China [31401683]</t>
  </si>
  <si>
    <t>Controlcrop Project; Andalusian Ministry of Economy, Innovation and Science (Andalusia, Spain); Spanish Ministry of Science and Innovation(Spanish Government); EUERDF funds; TEAP project; Marie Curie Actions(European Union (EU)Marie Curie Actions); Young Scientists Fund of National Natural Science Foundation of China(National Natural Science Foundation of China (NSFC))</t>
  </si>
  <si>
    <t>This research was funded by the Controlcrop Project, P10-TEP-6174, project framework, supported by the Andalusian Ministry of Economy, Innovation and Science (Andalusia, Spain), the Spanish Ministry of Science and Innovation as well as the EUERDF funds under grant DPI2014-56364-C2-1-R, by TEAP project included in the Marie Curie Actions (PIRSES-GA-2013-612659) and by Young Scientists Fund of National Natural Science Foundation of China (31401683).</t>
  </si>
  <si>
    <t>10.25165/j.ijabe.20171005.3087</t>
  </si>
  <si>
    <t>FJ8CV</t>
  </si>
  <si>
    <t>WOS:000412990100012</t>
  </si>
  <si>
    <t>Benhamida, FZ; Kaddouri, O; Ouhrouche, T; Benaichouche, M; Casado-Mansilla, D; López-de-Ipiña, D</t>
  </si>
  <si>
    <t>Benhamida, Fatima Zohra; Kaddouri, Ouahiba; Ouhrouche, Tahar; Benaichouche, Mohammed; Casado-Mansilla, Diego; Lopez-de-Ipina, Diego</t>
  </si>
  <si>
    <t>Demand Forecasting Tool For Inventory Control Smart Systemsy</t>
  </si>
  <si>
    <t>JOURNAL OF COMMUNICATIONS SOFTWARE AND SYSTEMS</t>
  </si>
  <si>
    <t>Demand Forecasting; Intermittent-Demand Forecasting; Time-Series Data; Statistical Forecasting; Machine Learning; Smart Systems</t>
  </si>
  <si>
    <t>INTERMITTENT DEMAND; NEURAL-NETWORKS; HYBRID ARIMA; ANN MODEL</t>
  </si>
  <si>
    <t>With the availability of data and the increasing capabilities of data processing tools, many businesses are leveraging historical sales and demand data to implement smart inventory management systems. Demand forecasting is the process of estimating the consumption of products or services for future time periods. It plays an important role in the field of inventory control and Supply Chain, since it enables production and supply planning and therefore can reduce delivery times and optimize Supply Chain decisions. This paper presents an extensive literature review about demand forecasting methods for time-series data. Based on analysis results and findings, a new demand forecasting tool for inventory control is proposed. First, a forecasting pipeline is designed to allow selecting the most accurate demand forecasting method. The validation of the proposed solution is executed on Stock&amp;Buy case study, a growing online retail platform. For this reason, two new methods are proposed: (1) a hybrid method, Comb-TSB, is proposed for intermittent and lumpy demand patterns. Comb-TSB automatically selects the most accurate model among a set of methods. (2) a clustering-based approach (ClustAvg) is proposed to forecast demand for new products which have very few or no sales history data. The evaluation process showed that the proposed tool achieves good forecasting accuracy by making the most appropriate choice while defining the forecasting method to apply for each product selection.</t>
  </si>
  <si>
    <t>[Benhamida, Fatima Zohra; Casado-Mansilla, Diego; Lopez-de-Ipina, Diego] MORElab Deusto Inst Technol, Bilbao, Spain; [Benhamida, Fatima Zohra; Kaddouri, Ouahiba] Ecole Natl Super Informat, Lab Methodes Concept Syst, Algiers, Oued Smar, Algeria; [Ouhrouche, Tahar; Benaichouche, Mohammed] Stock &amp; Buy, Oslo, Norway</t>
  </si>
  <si>
    <t>University of Deusto; Ecole Nationale Superieure d'Informatique</t>
  </si>
  <si>
    <t>Benhamida, FZ (corresponding author), Ecole Natl Super Informat, Lab Methodes Concept Syst, Algiers, Oued Smar, Algeria.</t>
  </si>
  <si>
    <t>f_benhamida@esi.dz; eo_kaddouri@esi.dz; tahar@stockandbuy.com; mben@stockandbuy.com; dcasado@deusto.es; dipina@deusto.es</t>
  </si>
  <si>
    <t>Casado-Mansilla, Diego/C-3371-2012; López-de-Ipiña, Diego/A-9651-2012</t>
  </si>
  <si>
    <t>Casado-Mansilla, Diego/0000-0002-1070-7494; López-de-Ipiña, Diego/0000-0001-8055-6823</t>
  </si>
  <si>
    <t>CROATIAN COMMUNICATIONS &amp; INFORMATION SOC</t>
  </si>
  <si>
    <t>SPLIT</t>
  </si>
  <si>
    <t>R BOSKOVICA BB, SPLIT, CROATIA</t>
  </si>
  <si>
    <t>1845-6421</t>
  </si>
  <si>
    <t>1846-6079</t>
  </si>
  <si>
    <t>J COMMUN SOFTW SYS</t>
  </si>
  <si>
    <t>J. Commun. Softw. Syst.</t>
  </si>
  <si>
    <t>10.24138/jcomss-2021-0068</t>
  </si>
  <si>
    <t>TD9PM</t>
  </si>
  <si>
    <t>WOS:000669650700001</t>
  </si>
  <si>
    <t>Lu, FC; He, W; Cheng, Y; Chen, SH; Ning, L; Mei, XA</t>
  </si>
  <si>
    <t>Lu, Fucai; He, Wei; Cheng, Yang; Chen, Sihua; Ning, Liang; Mei, Xiaoan</t>
  </si>
  <si>
    <t>Exploring the Upgrading of Chinese Automotive Manufacturing Industry in the Global Value Chain: An Empirical Study Based on Panel Data</t>
  </si>
  <si>
    <t>global value chain; automotive manufacturing industry; upgrading</t>
  </si>
  <si>
    <t>ABSORPTIVE-CAPACITY; KNOWLEDGE; HETEROGENEITY; PERFORMANCE; INNOVATION; COUNTRIES; NETWORKS; LESSONS; TRADE</t>
  </si>
  <si>
    <t>In the age of globalization, the upgrading of China's manufacturing industries has attracted great attention from both academicians and practitioners, as it certainly has great implications for the development of China and, even further, for the development of the whole world. To address this issue, the study clarifies the effects of the internal technological innovation capability (ITIC) and external linkages (ELs) on upgrading the Chinese automotive manufacturing industry (CAMI) in the global value chain, in order to indicate the appropriate way for the CAMI to be further upgraded and provide references for the formulation of regional automotive industrial policies. Based on Chinese panel data, the results confirm that both ITIC and EL are important for the upgrading of the CAMI, with ITIC being the more important. Improvement of ITIC facilitates the industry's cooperation with the EL, resulting in better knowledge access. Furthermore, the results of cluster analysis reveal that regions with relatively developed automotive industries place emphasis on both the ITIC and EL. However, in some regions (e.g., Shanghai and Chongqing), the utility of EL seems insufficient. Therefore, the results of this paper, on the one hand, suggest policies should be directed towards increasing the ITIC of CAMI. On the other hand, in some regions, managers and policymakers need to explore further the advantage of clustering.</t>
  </si>
  <si>
    <t>[Lu, Fucai; He, Wei; Cheng, Yang; Ning, Liang; Mei, Xiaoan] Jiangxi Univ Finance &amp; Econ, Sch Business Adm, Changbei 330013, Nanchang, Peoples R China; [Cheng, Yang] Aalborg Univ, Ctr Ind Prod, DK-9220 Aalborg, Denmark; [Chen, Sihua] Jiangxi Univ Finance &amp; Econ, Sch Informat Technol, Jiangxi Key Lab Data &amp; Knowledge Engn, Nanchang 330013, Peoples R China</t>
  </si>
  <si>
    <t>Jiangxi University of Finance &amp; Economics; Aalborg University; Jiangxi University of Finance &amp; Economics</t>
  </si>
  <si>
    <t>Cheng, Y (corresponding author), Jiangxi Univ Finance &amp; Econ, Sch Business Adm, 168 East Shuanggang Rd, Changbei 330013, Nanchang, Peoples R China.</t>
  </si>
  <si>
    <t>lufucai@jxufe.edu.cn; hewei@jxufe.edu.cn; cy@business.aau.dk; chensihua@jxufe.edu.cn; ningliang@jxufe.edu.cn; meixiaoan@jxufe.edu.cn</t>
  </si>
  <si>
    <t>Cheng, Yang/AAJ-5739-2021</t>
  </si>
  <si>
    <t>Cheng, Yang/0000-0002-3082-4890</t>
  </si>
  <si>
    <t>National Natural Science Foundations of China [71462009, 71163014, 71463020, 71361013]; Natural Science Foundations of Jiangxi Province [20142BA217018]</t>
  </si>
  <si>
    <t>National Natural Science Foundations of China(National Natural Science Foundation of China (NSFC)); Natural Science Foundations of Jiangxi Province</t>
  </si>
  <si>
    <t>This work is supported by the National Natural Science Foundations of China (grant numbers: 71462009, 71163014, 71463020, and 71361013), and the Natural Science Foundations of Jiangxi Province (grant number: 20142BA217018).</t>
  </si>
  <si>
    <t>10.3390/su7056189</t>
  </si>
  <si>
    <t>CL4PU</t>
  </si>
  <si>
    <t>Green Submitted, Green Published, gold</t>
  </si>
  <si>
    <t>WOS:000356936200069</t>
  </si>
  <si>
    <t>Wang, YL; Gosling, J; Naim, MM</t>
  </si>
  <si>
    <t>Wang, Yingli; Gosling, Jonathan; Naim, Mohamed M.</t>
  </si>
  <si>
    <t>Assessing supplier capabilities to exploit building information modelling</t>
  </si>
  <si>
    <t>Construction management; Clustering; Supply chain management; SME-s; BIM; Maturity levels</t>
  </si>
  <si>
    <t>DYNAMIC CAPABILITIES; MATURITY MODEL; BIM ADOPTION; PERFORMANCE; TECHNOLOGY; MANAGEMENT; FIRMS; IMPLEMENTATION; NETWORKS; DESIGN</t>
  </si>
  <si>
    <t>Purpose A number of governments are making building information modeling (BIM) a mandatory requirement for all public works construction projects. While main contractors may be ready to comply with such requirements, the supply chain as whole may be vulnerable as lower-tier suppliers may not be able to adopt BIM. There is currently no objective approach to assessing BIM maturity; hence, this paper aims to develop a new approach to determine suppliers' current vision and execution-based capabilities to exploit BIM and their capacity to reach a higher maturity level. Design/methodology/approach Based on UK Government BIM maturity levels, the authors exploit a unique data set made available by a main contractor, to determine a data-driven approach, using K-means, to assess the capabilities and vision of its supply base. Findings The authors find a direct comparison between our suggested K-means clusters and the UK Government's BIM maturity levels. However, in interrogating specific cases, the authors find that using a subjective approach would have wrongly categorized certain companies. The authors also determine what capability and strategic developments are required for companies to move to a higher level. Practical implications The research may be exploited by companies to take a strategic approach to assess suppliers in BIM adoption and to establish supplier development mechanisms. Originality/value The data-driven approach avoids ambiguity of categories and mis-categorizing suppliers.</t>
  </si>
  <si>
    <t>[Wang, Yingli; Gosling, Jonathan; Naim, Mohamed M.] Cardiff Univ, Cardiff, S Glam, Wales</t>
  </si>
  <si>
    <t>Naim, MM (corresponding author), Cardiff Univ, Cardiff, S Glam, Wales.</t>
  </si>
  <si>
    <t>naimmm@cardiff.ac.uk</t>
  </si>
  <si>
    <t>Shiting, Fang/AAE-8530-2021</t>
  </si>
  <si>
    <t>Gosling, Jonathan/0000-0002-9027-9011; Wang, Yingli/0000-0001-5630-9558</t>
  </si>
  <si>
    <t>10.1108/CI-10-2018-0087</t>
  </si>
  <si>
    <t>WOS:000479238300009</t>
  </si>
  <si>
    <t>Kudyba, S; Gregorio, T</t>
  </si>
  <si>
    <t>Kudyba, Stephan; Gregorio, Thomas</t>
  </si>
  <si>
    <t>Identifying factors that impact patient length of stay metrics for healthcare providers with advanced analytics</t>
  </si>
  <si>
    <t>HEALTH INFORMATICS JOURNAL</t>
  </si>
  <si>
    <t>analytic modeling; data management and data mining; decision support systems; supply network analysis; workflow and process management</t>
  </si>
  <si>
    <t>Managing patients' length of stay is a critical task for healthcare organizations. In order to better manage the processes impacting this performance metric, providers can leverage data resources describing the network of activities that impact a patient's stay with analytic methods. Interdependencies between departmental activities exist within the patient treatment process, where inefficiency in one element of the patient care network of activities can adversely affect process outcomes.This work utilizes the method of neural networks to analyze data describing inpatient cases that incorporate radiology process variables to determine their effect on patient length of stay excesses for a major NJ based healthcare provider. The results indicate that inefficiencies at the radiology level can adversely extend a patient's length of stay beyond initial estimations. Proactive analysis of networks of activities in the patient treatment process can enhance organizational efficiencies of healthcare providers by enabling decision makers to better optimize resource allocations to increase throughput of activities.</t>
  </si>
  <si>
    <t>[Kudyba, Stephan] Univ Hts, New Jersey Inst Technol, Newark, NJ 07102 USA; [Gregorio, Thomas] Newark Beth Israel Med Ctr, Newark, NJ 07112 USA</t>
  </si>
  <si>
    <t>New Jersey Institute of Technology; Newark Beth Israel Medical Center</t>
  </si>
  <si>
    <t>Kudyba, S (corresponding author), Univ Hts, New Jersey Inst Technol, Newark, NJ 07102 USA.</t>
  </si>
  <si>
    <t>Skudyba@nullsigma.com</t>
  </si>
  <si>
    <t>1460-4582</t>
  </si>
  <si>
    <t>1741-2811</t>
  </si>
  <si>
    <t>HEALTH INFORM J</t>
  </si>
  <si>
    <t>Health Inform. J.</t>
  </si>
  <si>
    <t>10.1177/1460458210380529</t>
  </si>
  <si>
    <t>703QL</t>
  </si>
  <si>
    <t>WOS:000285994700001</t>
  </si>
  <si>
    <t>Triantafillakis, A; Kanellis, P; Martakos, D</t>
  </si>
  <si>
    <t>Data warehouse clustering on the web</t>
  </si>
  <si>
    <t>Conference on Decision Support Systems</t>
  </si>
  <si>
    <t>JUL, 2002</t>
  </si>
  <si>
    <t>Cork, IRELAND</t>
  </si>
  <si>
    <t>IFIP WG 8 3</t>
  </si>
  <si>
    <t>decision support systems; multi-agent systems; data warehouse refreshment; materialized view maintenance</t>
  </si>
  <si>
    <t>In collaborative e-commerce environments, interoperation is a prerequisite for data warehouses that are physically scattered along the value chain. Adopting system and information quality as success variables, we argue that what is required for data warehouse refreshment in this context is inherently more complex than the materialized view maintenance problem and we offer an approach that addresses refreshment in a federation of data warehouses. Defining a special kind of materialized views, we propose an open multi-agent architecture for their incremental maintenance while considering referential integrity constraints on source data. (C) 2003 Elsevier B.V. All rights reserved.</t>
  </si>
  <si>
    <t>Natl &amp; Kapodistrian Univ Athens, Dept Informat &amp; Telecommun, Athens 15771, Greece</t>
  </si>
  <si>
    <t>National &amp; Kapodistrian University of Athens</t>
  </si>
  <si>
    <t>Triantafillakis, A (corresponding author), Natl &amp; Kapodistrian Univ Athens, Dept Informat &amp; Telecommun, Univ Campus, Athens 15771, Greece.</t>
  </si>
  <si>
    <t>triant@di.uoa.gr</t>
  </si>
  <si>
    <t>10.1016/j.ejor.2003.07.012</t>
  </si>
  <si>
    <t>858CU</t>
  </si>
  <si>
    <t>WOS:000224168700006</t>
  </si>
  <si>
    <t>Anugerah, AR; Muttaqin, PS; Trinarningsih, W</t>
  </si>
  <si>
    <t>Anugerah, Adhe Rizky; Muttaqin, Prafajar Suksessanno; Trinarningsih, Wahyu</t>
  </si>
  <si>
    <t>Social network analysis in business and management research: A bibliometric analysis of the research trend and performance from 2001 to 2020</t>
  </si>
  <si>
    <t>Social network analysis; Bibliometrics; Clustering analysis; Business and management; Literature</t>
  </si>
  <si>
    <t>SUPPLY CHAIN MANAGEMENT; RISKS; INDEX</t>
  </si>
  <si>
    <t>In the past years, research in Social Network Analysis (SNA) has increased. Initially, the research area was limited to sociology and anthropology but has now been used in numerous disciplines. The business and management discipline has many potentials in employing the SNA approach due to enormous relational data, ranging from employees, stakeholders to organisations. The study aims to analyse the research trend, performance, and the utilisation of the SNA approach in business and management research. Bibliometric analysis was conducted by employing 2,158 research data from the Scopus database published from 2001 to 2020. Next, the research quantity and quality were calculated using Harzing's Publish or Perish while VOSviewer visualised research topics and cluster analysis. The study found an upward trend pattern in SNA research since 2005 and reached the peak in 2020. Generally, six subjects under the business and management discipline have used SNA as a methodology tool, including risk management, project management, supply chain management (SCM), tourism, technology and innovation management, and knowledge management. To the best of the authors' knowledge, the study is the first to examine the performance and analysis of SNA in the overall business and management disciplines. The findings provide insight to researchers, academicians, consultants, and other stakeholders on the practical use of SNA in business and management research.</t>
  </si>
  <si>
    <t>[Anugerah, Adhe Rizky] Univ Putra Malaysia, Inst Trop Forestry &amp; Forest Prod INTROP, Bioresource Management Lab, Serdang 43400, Selangor, Malaysia; [Muttaqin, Prafajar Suksessanno] Telkom Univ, Dept Logist Engn, Sch Ind &amp; Syst Engn, Bandung 40257, Indonesia; [Trinarningsih, Wahyu] Univ Sebelas Maret, Fac Econ &amp; Business, Surakarta 57126, Indonesia</t>
  </si>
  <si>
    <t>Universiti Putra Malaysia; Telkom University; Sebelas Maret University</t>
  </si>
  <si>
    <t>Trinarningsih, W (corresponding author), Univ Sebelas Maret, Fac Econ &amp; Business, Surakarta 57126, Indonesia.</t>
  </si>
  <si>
    <t>wahyutri@staff.uns.ac.id</t>
  </si>
  <si>
    <t>Trinarningsih, Wahyu/IXW-8181-2023</t>
  </si>
  <si>
    <t>Trinarningsih, Wahyu/0000-0002-1943-8796</t>
  </si>
  <si>
    <t>e09270</t>
  </si>
  <si>
    <t>10.1016/j.heliyon.2022.e09270</t>
  </si>
  <si>
    <t>1X5HX</t>
  </si>
  <si>
    <t>WOS:000807485800009</t>
  </si>
  <si>
    <t>Köseli, I; Soysal, M; Çimen, M; Sel, Ç</t>
  </si>
  <si>
    <t>Koseli, Ilker; Soysal, Mehmet; cimen, Mustafa; Sel, Cagri</t>
  </si>
  <si>
    <t>Optimizing food logistics through a stochastic inventory routing problem under energy, waste and workforce concerns</t>
  </si>
  <si>
    <t>Closed-loop supply chain; Inventory routing problem; Sustainability; Refrigerated transportation; MILP-based heuristic</t>
  </si>
  <si>
    <t>LOOP SUPPLY CHAIN; PERISHABLE PRODUCTS; REVERSE LOGISTICS; MODEL; EMISSIONS; TRANSPORT; DESIGN; PICKUP; FLEET</t>
  </si>
  <si>
    <t>The trend towards sustainable operations management makes it inevitable for companies to carry out their operations by considering environmental and social externalities. This tendency has implications also in the food logistics industry. This study addresses a single-period closed Inventory Routing Problem under environmental and social sustainability concerns in daily food logistics systems. In particular, the study focuses on reducing CO2 emissions in a refrigerated transportation system, collecting and disposing of waste, and offering employees more enticing work schedules, that have not been simultaneously addressed in the literature. The problem has been mathematically defined as a Mixed Integer Linear Programming model. A solution approach based on a clustering algorithm has been proposed to solve large-sized cases. The applicability of the proposed decision support models and the potential practical benefits obtained from their use are shown by performing numerical analyses on an industrial case and a set of larger instances. The results show that simultaneously respecting workforce constraints, waste collection/disposal, and demand uncertainty provide improved economic, environmental and social outputs for food logistics companies. Due to workforce constraints, the delivery time is shortened by 5.5 h, which allow the manufacturing to start later. Respecting waste collection and disposal as well as demand uncertainty enables cost reductions of %40.9 and %6, respectively.</t>
  </si>
  <si>
    <t>[Koseli, Ilker; Soysal, Mehmet] Hacettepe Univ, Dept Business Adm, Operat Management Div, TR-06800 Ankara, Turkiye; [cimen, Mustafa] Hacettepe Univ, Dept Business Adm, Management Sci Div, TR-06800 Ankara, Turkiye; [Sel, Cagri] Karabuk Univ, Dept Ind Engn, TR-78050 Karabuk, Turkiye</t>
  </si>
  <si>
    <t>Hacettepe University; Hacettepe University; Karabuk University</t>
  </si>
  <si>
    <t>Soysal, M (corresponding author), Hacettepe Univ, Dept Business Adm, Operat Management Div, TR-06800 Ankara, Turkiye.</t>
  </si>
  <si>
    <t>ikoseli@aselsan.com.tr; mehmetsoysal@hacettepe.edu.tr; mcimen@hacettepe.edu.tr; ikoseli@aselsan.com.tr</t>
  </si>
  <si>
    <t>SOYSAL, MEHMET/I-8472-2013; CIMEN, MUSTAFA/I-8483-2013</t>
  </si>
  <si>
    <t>CIMEN, MUSTAFA/0000-0001-8155-9145; SOYSAL, MEHMET/0000-0002-1570-660X</t>
  </si>
  <si>
    <t>FEB 20</t>
  </si>
  <si>
    <t>10.1016/j.jclepro.2023.136094</t>
  </si>
  <si>
    <t>8O2LY</t>
  </si>
  <si>
    <t>WOS:000925672600001</t>
  </si>
  <si>
    <t>Caramia, M; Pinto, DM; Pizzari, E; Stecca, G</t>
  </si>
  <si>
    <t>Caramia, Massimiliano; Pinto, Diego Maria; Pizzari, Emanuele; Stecca, Giuseppe</t>
  </si>
  <si>
    <t>Clustering and routing in waste management: A two-stage optimisation approach</t>
  </si>
  <si>
    <t>Waste management; Clustering; Routing; Two-stage model; Facility location; Fairness</t>
  </si>
  <si>
    <t>SUPPLY-CHAIN MANAGEMENT; FACILITY LOCATION; NEIGHBORHOOD SEARCH; OPERATIONS-RESEARCH; MODELS; COLLECTION; ALGORITHMS; SYSTEM</t>
  </si>
  <si>
    <t>This paper proposes a two-stage model to tackle a problem arising in Waste Management. The decision-maker (a regional authority) is interested in locating sorting facilities in a regional area and defining the corresponding capacities. The decision-maker is aware that waste will be collected and brought to the installed facilities by independent private companies. Therefore, the authority wants to foresee the behaviour of these companies in order to avoid shortsighted decisions. In the first stage, the regional authority divides the clients into clusters, further assigning facilities to these clusters. In the second stage, an effective route is defined to serve client pickup demand. The main idea behind the model is that the authority aims to find the best location-allocation solution by clustering clients and assigning facilities to these clusters without generating overlaps. In doing so, the authority tries to (i) assign the demand of clients to the facilities by considering a safety stock within their capacities to avoid shortages during the operational phase, (ii) minimise Greenhouse Gases emissions, (iii) be as compliant as possible with the solution found by the second stage problem, the latter aiming at optimising vehicle tour lengths. After properly modelling the problem, we propose a matheuristic solution algorithm and conduct extensive computational analysis on a real-case scenario of an Italian region. Validation of the approach is achieved with promising results.</t>
  </si>
  <si>
    <t>[Caramia, Massimiliano; Pizzari, Emanuele] Univ Roma Tor Vergata, Dipartimento Ingn Impresa, Viale Politecn 1, I-00133 Rome, Italy; [Pinto, Diego Maria; Stecca, Giuseppe] CNR, Ist Anal Sistemi Informat Antonio Ruberti, Via Taurini 19, I-00185 Rome, Italy</t>
  </si>
  <si>
    <t>University of Rome Tor Vergata; Consiglio Nazionale delle Ricerche (CNR); Istituto di Analisi dei Sistemi ed Informatica Antonio Ruberti (IASI-CNR)</t>
  </si>
  <si>
    <t>Pizzari, E (corresponding author), Univ Roma Tor Vergata, Dipartimento Ingn Impresa, Viale Politecn 1, I-00133 Rome, Italy.</t>
  </si>
  <si>
    <t>caramia@dii.uniroma2.it; diegomaria.pinto@iasi.cnr.it; emanuele.pizzari@uniroma2.it; giuseppe.stecca@iasi.cnr.it</t>
  </si>
  <si>
    <t>Stecca, Giuseppe/K-5771-2012</t>
  </si>
  <si>
    <t>Stecca, Giuseppe/0000-0001-5876-4538</t>
  </si>
  <si>
    <t>EU POR FESR program of LAZIO Region on Research Groups 2020through the project PIPER -Piattaforma intelligente per l'ottimizzazione di operazioni di riciclo [A0375 - 2020 - 36611, CUP B85F21001480002]</t>
  </si>
  <si>
    <t>EU POR FESR program of LAZIO Region on Research Groups 2020through the project PIPER -Piattaforma intelligente per l'ottimizzazione di operazioni di riciclo</t>
  </si>
  <si>
    <t>This work has been partially supported by EU POR FESR program of LAZIO Region on Research Groups 2020through the project PIPER -Piattaforma intelligente per l'ottimizzazione di operazioni di riciclo. [Grant No. A0375 - 2020 - 36611, CUP B85F21001480002]</t>
  </si>
  <si>
    <t>10.1016/j.ejtl.2023.100114</t>
  </si>
  <si>
    <t>P0JF9</t>
  </si>
  <si>
    <t>WOS:001047582000001</t>
  </si>
  <si>
    <t>Yan, P; Pei, J; Zhou, Y; Pardalos, PM</t>
  </si>
  <si>
    <t>Yan, Ping; Pei, Jun; Zhou, Ya; Pardalos, Panos M.</t>
  </si>
  <si>
    <t>When platform exploits data analysis advantage: change of OEM-led supply chain structure</t>
  </si>
  <si>
    <t>Forecast information; Game-theoretic model; Dual-channel strategy; B2C strategy</t>
  </si>
  <si>
    <t>STRATEGIC ANALYSIS; DUAL-CHANNEL; ONLINE; PROFITABILITY; MANUFACTURER; INFORMATION; CUSTOMERS; BENEFIT</t>
  </si>
  <si>
    <t>The development of digital technology, such as data mining and analysis techniques, has enabled e-commerce platforms to use the data generated in their ecosystems and forecast the online demand more accurately. By sharing the forecast information, platforms help their partners reduce the demand uncertainty. To examine the effects of the shared information, this study considers a two-echelon supply chain consisting of one original equipment manufacturer (OEM), one brand store, and one platform, and investigates the relations between the forecast information and firms' channel strategies. Our analysis reveals some interesting implications. First, the platform's forecast information encourages the OEM to develop online business unless the brand store adopts the dual-channel strategy and the platform sets the revenue commission as zero, while it always increases the brand store's willingness to adopt the dual-channel strategy. Moreover, the OEM's online business hinders the platform to share the information if consumers' acceptance for the brand in online channel is low. Interestingly, the brand store's dual-channel strategy hinders the platform to share the information if consumers' acceptance for the brand in online channel is high. Further, we find that when the brand store adopts the dual-channel strategy, the OEM's online business always decreases the benefit of the forecast information for the brand store. However, when the OEM develops online business, the brand store's dual-channel strategy sometimes increases the benefit of the forecast information for the OEM. In addition, we also conduct some numerical experiments to examine the impacts of the platform commission rate on these firms' benefits from the information and find that the higher commission rate can increase the OEM's benefit under certain conditions. Our study aims to provide managerial insights for the OEM, brand store, and platform to capture the value of forecast information.</t>
  </si>
  <si>
    <t>[Yan, Ping; Pei, Jun; Zhou, Ya] Hefei Univ Technol, Sch Management, Hefei, Peoples R China; [Yan, Ping; Pei, Jun; Zhou, Ya] Minist Educ Engn Res Ctr Intelligent Decis Making, Key Lab Proc Optimizat &amp; Intelligent Decis Making, Hefei, Peoples R China; [Pardalos, Panos M.] Univ Florida, Dept Ind &amp; Syst Engn, Ctr Appl Optimizat, Gainesville, FL 32611 USA</t>
  </si>
  <si>
    <t>Hefei University of Technology; State University System of Florida; University of Florida</t>
  </si>
  <si>
    <t>Pei, J (corresponding author), Hefei Univ Technol, Sch Management, Hefei, Peoples R China.;Pei, J (corresponding author), Minist Educ Engn Res Ctr Intelligent Decis Making, Key Lab Proc Optimizat &amp; Intelligent Decis Making, Hefei, Peoples R China.</t>
  </si>
  <si>
    <t>yanping411@mail.hfut.edu.cn; peijun@hfut.edu.cn; zhouya@mail.hfut.edu.cn; pardalos@ufl.edu</t>
  </si>
  <si>
    <t>Hidayat, Ima Kusumawati/ABF-6870-2021; Pei, Jun/AAC-8904-2019</t>
  </si>
  <si>
    <t>Hidayat, Ima Kusumawati/0000-0002-3387-9213; Pei, Jun/0000-0002-2873-5901; Pei, Jun/0000-0002-0585-4553</t>
  </si>
  <si>
    <t>National Natural Science Foundation of China [71922009, 71871080, 71690235, 71501058, 72071060]; Innovative Research Groups of the National Natural Science Foundation of China [71521001]; National Key Research and Development Program of China [2019YFB1705300, 2019YFE0110300]; Base of Introducing Talents of Discipline to Universities for Optimization and Decision-making in the Manufacturing Process of Complex Product [111 project] [B17014]</t>
  </si>
  <si>
    <t>National Natural Science Foundation of China(National Natural Science Foundation of China (NSFC)); Innovative Research Groups of the National Natural Science Foundation of China(National Natural Science Foundation of China (NSFC)); National Key Research and Development Program of China; Base of Introducing Talents of Discipline to Universities for Optimization and Decision-making in the Manufacturing Process of Complex Product [111 project]</t>
  </si>
  <si>
    <t>This work was supported by the National Natural Science Foundation of China [Grants. 71922009, 71871080, 71690235, 71501058, 72071060], Innovative Research Groups of the National Natural Science Foundation of China [Grant 71521001], Base of Introducing Talents of Discipline to Universities for Optimization and Decision-making in the Manufacturing Process of Complex Product [111 project, Grant B17014], and National Key Research and Development Program of China [2019YFB1705300, 2019YFE0110300].</t>
  </si>
  <si>
    <t>2021 OCT 19</t>
  </si>
  <si>
    <t>10.1007/s10479-021-04335-2</t>
  </si>
  <si>
    <t>WJ1HS</t>
  </si>
  <si>
    <t>WOS:000708800600003</t>
  </si>
  <si>
    <t>Raza, SA; Govindaluri, SM; Bhutta, MK</t>
  </si>
  <si>
    <t>Raza, Syed Asif; Govindaluri, Srikrishna Madhumohan; Bhutta, Mohammed Khurrum</t>
  </si>
  <si>
    <t>Research themes in machine learning applications in supply chain management using bibliometric analysis tools</t>
  </si>
  <si>
    <t>Network analysis; Multivariate analysis; Supply chain management; Machine learning; Bibliometrics</t>
  </si>
  <si>
    <t>DECISION-SUPPORT-SYSTEM; BIG DATA ANALYTICS; ARTIFICIAL-INTELLIGENCE; NEURAL-NETWORKS; ENVIRONMENTAL CRITERIA; INVENTORY MANAGEMENT; PRODUCT DEVELOPMENT; ORDER ALLOCATION; SELECTION; MODEL</t>
  </si>
  <si>
    <t>Purpose This paper conducts a Systematic Literature Review (SLR) of Machine Learning (ML) in Supply Chain Management through bibliometric and network analysis, the authors are able to grasp key features of the contemporary literature. The study makes use of state-of-the-art analytical framework based on a unified approach to reveal insights from the present body of knowledge and the potentials for future research developments. Design/methodology/approach Unlike standard literature reviews, in SLR, a structured approach is followed. The approach enables utilizing contemporary tools and software packages such as R-package bibliometrix and Gephi for exploratory and visual analytics. A number of clustering methods are employed to form clusters. Later, multivariate analysis methodologies are adopted to determine the dominant clusters for the influential co-cited references. Findings Using contemporary tools from Bibliometric Analysis (BA), the authors identify in an exploratory analysis, the influential authors, sources, regions, affiliations and papers. In addition, the use of network analysis tools reveals research clusters, topological analysis, key research topics, interrelation and authors' collaboration along with their patterns. Finally, the optimum number of clusters computed for cluster analysis is decided using a systematic procedure based on multivariate analysis such as k-means and factor analysis. Originality/value Modern-day supply chains increasingly depend on developing superior insights from large amounts of data available from diverse sources in unstructured and semi-structured formats. In order to maintain a competitive edge, the supply chains need to perform speedy analysis of big data using efficient tools that provide real-time decision-making insights. Such an analysis necessitates automated processing using intelligent ML algorithms. Through a BA followed by a detailed data visualization in a network analysis enabled grasping key features of the contemporary literature. The analysis is based on 155 documents from the period 2008 to 2018 selected using a systematic selection procedure.</t>
  </si>
  <si>
    <t>[Raza, Syed Asif; Govindaluri, Srikrishna Madhumohan] Sultan Qaboos Univ, Dept Operat Management &amp; Business Stat, Muscat, Oman; [Bhutta, Mohammed Khurrum] Ohio Univ, Coll Business, Athens, OH 45701 USA</t>
  </si>
  <si>
    <t>Sultan Qaboos University; University System of Ohio; Ohio University</t>
  </si>
  <si>
    <t>Bhutta, Mohammed Khurrum/C-7524-2009; Raza, Syed Asif/M-9467-2019</t>
  </si>
  <si>
    <t>Bhutta, Mohammed Khurrum/0000-0001-9803-8020; Raza, Syed Asif/0000-0003-2992-0671</t>
  </si>
  <si>
    <t>MAR 21</t>
  </si>
  <si>
    <t>10.1108/BIJ-12-2021-0755</t>
  </si>
  <si>
    <t>A2NO5</t>
  </si>
  <si>
    <t>WOS:000775899300001</t>
  </si>
  <si>
    <t>Yang, GM; Jiang, YW; You, S</t>
  </si>
  <si>
    <t>Yang, Guoming; Jiang, Yuewen; You, Shi</t>
  </si>
  <si>
    <t>Planning and operation of a hydrogen supply chain network based on the off-grid wind-hydrogen coupling system</t>
  </si>
  <si>
    <t>INTERNATIONAL JOURNAL OF HYDROGEN ENERGY</t>
  </si>
  <si>
    <t>Hydrogen supply chain network; Wind-hydrogen coupling system; Off-grid; Hydrogen demand</t>
  </si>
  <si>
    <t>FUEL-CELL VEHICLES; DESIGN; OPTIMIZATION; DEMAND; FUTURE; MODEL; INFRASTRUCTURE; ELECTROLYSIS; STATIONS; ENERGY</t>
  </si>
  <si>
    <t>Although hydrogen is identified to be the first choice of the energy industry in the future society, the severe shortage of hydrogen infrastructure hinders the development of the hydrogen economy. Therefore, by simultaneously integrating the planning and operation issues of a hydrogen supply chain network (HSCN) and taking the hydrogen demand of hydrogen fuel vehicles into account, this paper proposes a general optimization design model for a HSCN based on the off-grid wind-hydrogen coupling system to realize the scientific layout of hydrogen infrastructure and stimulate the transition of hydrogen energy. The uncertainties on both sides of the source and load of a HSCN are well-considered. Therein, the uncertainty of wind power is handled with chance constrained programming, while the uncertainty of hydrogen demand is addressed by a density-based clustering approach. The analysis focuses on a HSCN of Fujian Province, China and case study is conducted. Results show that the estimated hydrogen demand in Fujian Province over the course of a year is 0.197 million tons. The hydrogen production is located in Fuzhou, Quanzhou and Xiamen and the daily hydrogen production in Fuzhou is 309.11 ton/day, accounting for 57.48% of the total hydrogen production in Fujian Province. Since the revenue of the energy storage batteries cannot offset its high investment cost, the abnegation of the energy storage batteries in the HSCN is obtained. Compared with the deterministic HSCN, the total cost of the HSCN considering the uncertainties of wind power and hydrogen demand is reduced by 1.35%. The Levelized cost of hydrogen is 3.073-3.155$/kg and hydrogen production shows a significant scale effect. These results could provide information and direction to stakeholders, investors and policymakers for the planning of the future HSCN in Fujian Province to promote the tremendous development of the hydrogen industry. (C) 2020 Hydrogen Energy Publications LLC. Published by Elsevier Ltd. All rights reserved.</t>
  </si>
  <si>
    <t>[Yang, Guoming; Jiang, Yuewen] Fuzhou Univ, Coll Elect Engn &amp; Automat, Fuzhou 350108, Peoples R China; [You, Shi] Tech Univ Denmark, Dept Elect Engn, Elektrovej, DK-2800 Lyngby, Denmark</t>
  </si>
  <si>
    <t>Fuzhou University; Technical University of Denmark</t>
  </si>
  <si>
    <t>Jiang, YW (corresponding author), Fuzhou Univ, Coll Elect Engn &amp; Automat, Fuzhou 350108, Peoples R China.</t>
  </si>
  <si>
    <t>jiangyuewen2008@163.com</t>
  </si>
  <si>
    <t>You, Shi/ABB-8041-2020</t>
  </si>
  <si>
    <t>You, Shi/0000-0003-3371-9647</t>
  </si>
  <si>
    <t>National Natural Science Foundation of China [51707040]; Natural Science Foundation of Fujian Province in China [2018J01482]</t>
  </si>
  <si>
    <t>National Natural Science Foundation of China(National Natural Science Foundation of China (NSFC)); Natural Science Foundation of Fujian Province in China(Natural Science Foundation of Fujian Province)</t>
  </si>
  <si>
    <t>We appreciate the support from the National Natural Science Foundation of China (51707040)and the Natural Science Foundation of Fujian Province in China (2018J01482).</t>
  </si>
  <si>
    <t>0360-3199</t>
  </si>
  <si>
    <t>1879-3487</t>
  </si>
  <si>
    <t>INT J HYDROGEN ENERG</t>
  </si>
  <si>
    <t>Int. J. Hydrog. Energy</t>
  </si>
  <si>
    <t>AUG 21</t>
  </si>
  <si>
    <t>10.1016/j.ijhydene.2020.05.207</t>
  </si>
  <si>
    <t>Chemistry, Physical; Electrochemistry; Energy &amp; Fuels</t>
  </si>
  <si>
    <t>Chemistry; Electrochemistry; Energy &amp; Fuels</t>
  </si>
  <si>
    <t>MY7LY</t>
  </si>
  <si>
    <t>WOS:000558598300003</t>
  </si>
  <si>
    <t>Castro-Nunez, A; Charry, A; Castro-Llanos, F; Sylvester, J; Bax, V</t>
  </si>
  <si>
    <t>Castro-Nunez, Augusto; Charry, Andres; Castro-Llanos, Fabio; Sylvester, Janelle; Bax, Vincent</t>
  </si>
  <si>
    <t>Reducing deforestation through value chain interventions in countries emerging from conflict: The case of the Colombian cocoa sector</t>
  </si>
  <si>
    <t>APPLIED GEOGRAPHY</t>
  </si>
  <si>
    <t>Zero deforestation; Agricultural commodity; Value chain; Peacebuilding; Land use change</t>
  </si>
  <si>
    <t>PARTNERSHIPS; FOREST; DYNAMICS; MODELS; REDD</t>
  </si>
  <si>
    <t>Sustainability commitments by private sector actors are emerging as interventions to help reduce global deforestation. Much attention is placed on the forest conservation impact of these interventions in areas where commodity production constitutes a main driver of deforestation. It is, however, less clearly understood what role they could play in areas where the production of commodities is not evidently leading to the loss of forest and how they could contribute to other objectives including sustainable rural development and peacebuilding. In this paper, we examine the potential of the cocoa sector in Colombia in achieving deforestation reduction and peacebuilding simultaneously, as aimed by the country's Cocoa, Forests and Peace Initiative. Results from correlations and spatially explicit analyses show that regardless of its widespread production across Colombia, in the past fifteen years cocoa has not been an important driver of deforestation. This suggests that efforts to end deforestation in the Colombian cocoa sector emerged following global trends, and not because of an evident link between cocoa production and deforestation. Furthermore, results from spatial clustering analyses highlight areas where different types of value chain interventions may be appropriate to parallel forest conservation and peacebuilding, while interviews with key actors in the cocoa sector provide clues as to how these interventions should be developed and implemented. Specifically, our results show that narratives around approaches to achieve zero deforestation from agricultural commodities should (1) be adjusted to local contexts, (2) incorporate location-specific development needs, (3) complement existing rural development efforts, (4) enhance collaboration among actors that operate both within and beyond the value chain, and (5) apply high-resolution data to assess deforestation-commodity relations and verify zero-deforestation commitments. These considerations are particularly relevant in contexts where commodity production is not evidently leading to deforestation, as in the case of cocoa production in Colombia.</t>
  </si>
  <si>
    <t>[Castro-Nunez, Augusto; Charry, Andres; Castro-Llanos, Fabio; Sylvester, Janelle] Int Ctr Trop Agr CIAT, Km 17 Recta Cali Palmira, Cali 763537, Colombia; [Bax, Vincent] Univ Ciencias &amp; Humanidades, Ctr Interdisciplinary Sci &amp; Soc Studies, Av Univ 5175, Lima, Peru; [Bax, Vincent] HZ Univ Appl Sci, Dept Technol Water &amp; Environm, Groene Woud 1, NL-4331 NB Middelburg, Netherlands</t>
  </si>
  <si>
    <t>Alliance; International Center for Tropical Agriculture - CIAT; Universidad de Ciencias y Humanidades</t>
  </si>
  <si>
    <t>Castro-Nunez, A (corresponding author), Int Ctr Trop Agr CIAT, Km 17 Recta Cali Palmira, Cali 763537, Colombia.</t>
  </si>
  <si>
    <t>augusto.castro@cgiar.org</t>
  </si>
  <si>
    <t>Sylvester, Janelle/0000-0003-4576-9983</t>
  </si>
  <si>
    <t>World Resource Institute; Federal Ministry for the Environment, Nature Conservation and Nuclear Safety (BMU); [18_III_106_COL_A]</t>
  </si>
  <si>
    <t>World Resource Institute; Federal Ministry for the Environment, Nature Conservation and Nuclear Safety (BMU);</t>
  </si>
  <si>
    <t>This research was partially funded by the World Resource Institute, as well as by the project 18_III_106_COL_A_Sustainable productive strategies. This project is part of the International Climate Initiative (IKI). The Federal Ministry for the Environment, Nature Conservation and Nuclear Safety (BMU) supports this initiative on the basis of a decision adopted by the German Bundestag. We thank two anonymous reviewers for their constructive feedback and comments on an earlier version of the manuscript.</t>
  </si>
  <si>
    <t>0143-6228</t>
  </si>
  <si>
    <t>1873-7730</t>
  </si>
  <si>
    <t>APPL GEOGR</t>
  </si>
  <si>
    <t>Appl. Geogr.</t>
  </si>
  <si>
    <t>10.1016/j.apgeog.2020.102280</t>
  </si>
  <si>
    <t>OG2TE</t>
  </si>
  <si>
    <t>WOS:000581742200011</t>
  </si>
  <si>
    <t>Zhu, PY</t>
  </si>
  <si>
    <t>Zhu, Pengyu</t>
  </si>
  <si>
    <t>Application of RBF network structure and data mining in e-commerce network marketing</t>
  </si>
  <si>
    <t>Machine learning; Multi-model integration; Online marketing; Marketing effect</t>
  </si>
  <si>
    <t>PRICE DISPERSION; ONLINE</t>
  </si>
  <si>
    <t>At present, market competition is increasingly encouraging, and the profit space of intermediary agents in the supply chain is constantly being compressed. In the current environment, the disadvantages of traditional business models are becoming more and more obvious, and the profitability of enterprises is becoming weaker, so they are gradually unable to adapt to changing market demands. As the most widely used marketing method currently, online marketing is of great significance to the development of the financial market. This paper introduces a novel online marketing effect analysis model that combines machine learning and multi-model fusion technology to enhance the prediction accuracy and robustness of the model. By constructing a multi-model structure, the information of the data can be more fully expressed in the feature space, thereby improving the accuracy of the model's predictions. The model structure is also simplified, which not only improves the online prediction speed but also enhances the prediction accuracy of the model through the integration method. In addition, this paper analyzes the effect of the model with examples and verifies the role of the model in the online marketing effect analysis.</t>
  </si>
  <si>
    <t>[Zhu, Pengyu] Xuzhou Univ Technol, Coll Management Engn, Xuzhou 221000, Jiangsu, Peoples R China</t>
  </si>
  <si>
    <t>Xuzhou University of Technology</t>
  </si>
  <si>
    <t>Zhu, PY (corresponding author), Xuzhou Univ Technol, Coll Management Engn, Xuzhou 221000, Jiangsu, Peoples R China.</t>
  </si>
  <si>
    <t>fionachu84@126.com</t>
  </si>
  <si>
    <t>2023 JUN 26</t>
  </si>
  <si>
    <t>10.1007/s00500-023-08791-9</t>
  </si>
  <si>
    <t>K4VH4</t>
  </si>
  <si>
    <t>WOS:001016427800014</t>
  </si>
  <si>
    <t>Rafiei, M; van der Aalst, WMP</t>
  </si>
  <si>
    <t>Rafiei, Majid; van der Aalst, Wil M. P.</t>
  </si>
  <si>
    <t>An Abstraction-Based Approach for Privacy-Aware Federated Process Mining</t>
  </si>
  <si>
    <t>Federated learning; Event detection; Privacy; Data mining; Confidentiality; event data; federated process mining; inter-organizational process mining; privacy preservation</t>
  </si>
  <si>
    <t>DIFFERENTIAL PRIVACY</t>
  </si>
  <si>
    <t>Process awareness is an essential success factor in any type of business. Process mining uses event data to discover and analyze actual business processes. Although process mining is growing fast and it has already become the basis for a plethora of commercial tools, research has not yet sufficiently addressed the privacy concerns in this discipline. Most of the contributions made to privacy-preserving process mining consider an intra-organizational setting, where a single organization wants to safely publish its event data so that process mining experts can analyze the data and provide insights. However, in real-life settings, organizations need to collaborate for performing their processes, e.g., a supply chain process may involve many organizations. Therefore, event data and processes are often distributed over several partner organizations, yet organizations hesitate to share their data due to privacy and confidentiality concerns. In this paper, we introduce an abstraction-based approach to support privacy-aware process mining in inter-organizational settings. We implement our approach and demonstrate its effectiveness using real-life event logs.</t>
  </si>
  <si>
    <t>[Rafiei, Majid; van der Aalst, Wil M. P.] Rhein Westfal TH Aachen, Chair Proc &amp; Data Sci, D-52074 Aachen, Germany</t>
  </si>
  <si>
    <t>RWTH Aachen University</t>
  </si>
  <si>
    <t>Rafiei, M (corresponding author), Rhein Westfal TH Aachen, Chair Proc &amp; Data Sci, D-52074 Aachen, Germany.</t>
  </si>
  <si>
    <t>majid.rafiei@pads.rwth-aachen.de</t>
  </si>
  <si>
    <t>van der Aalst, Wil/G-1248-2011</t>
  </si>
  <si>
    <t>van der Aalst, Wil/0000-0002-0955-6940</t>
  </si>
  <si>
    <t>Excellence Strategy of the Federal Government; Laender; Alexander von Humboldt Stiftung</t>
  </si>
  <si>
    <t>Excellence Strategy of the Federal Government; Laender; Alexander von Humboldt Stiftung(Alexander von Humboldt Foundation)</t>
  </si>
  <si>
    <t>Funded under the Excellence Strategy of the Federal Government and the Laender. We also thank the Alexander von Humboldt Stiftung for supporting our research.</t>
  </si>
  <si>
    <t>10.1109/ACCESS.2023.3263673</t>
  </si>
  <si>
    <t>D7MP5</t>
  </si>
  <si>
    <t>WOS:000970534800001</t>
  </si>
  <si>
    <t>Al-E'mari, S; Anbar, M; Sanjalawe, Y; Manickam, S; Hasbullah, I</t>
  </si>
  <si>
    <t>Al-E'mari, Salam; Anbar, Mohammed; Sanjalawe, Yousef; Manickam, Selvakumar; Hasbullah, Iznan</t>
  </si>
  <si>
    <t>Intrusion Detection Systems Using Blockchain Technology: A Review, Issues and Challenges</t>
  </si>
  <si>
    <t>Blockchain; intrusion detection system; network security; malicious attacks</t>
  </si>
  <si>
    <t>ANOMALY DETECTION; NEXT-GENERATION; INTERNET; MODEL</t>
  </si>
  <si>
    <t>Intrusion detection systems that have emerged in recent decades can identify a variety of malicious attacks that target networks by employing several detection approaches. However, the current approaches have challenges in detect-ing intrusions, which may affect the performance of the overall detection system as well as network performance. For the time being, one of the most important creative technological advancements that plays a significant role in the profes-sional world today is blockchain technology. Blockchain technology moves in the direction of persistent revolution and change. It is a chain of blocks that covers information and maintains trust between individuals no matter how far apart they are. Recently, blockchain was integrated into intrusion detection systems to enhance their overall performance. Blockchain has also been adopted in health-care, supply chain management, and the Internet of Things. Blockchain uses robust cryptography with private and public keys, and it has numerous properties that have leveraged security's performance over peer-to-peer networks without the need for a third party. To explore and highlight the importance of integrating blockchain with intrusion detection systems, this paper provides a comprehensive background of intrusion detection systems and blockchain technology. Further-more, a comprehensive review of emerging intrusion detection systems based on blockchain technology is presented. Finally, this paper suggests important future research directions and trending topics in intrusion detection systems based on blockchain technology.</t>
  </si>
  <si>
    <t>[Al-E'mari, Salam; Anbar, Mohammed; Sanjalawe, Yousef; Manickam, Selvakumar; Hasbullah, Iznan] Univ Sains Malaysia, Natl Adv IPv6 Ctr Excellence NAv6, Usm 11800, Penang, Malaysia; [Sanjalawe, Yousef] Northern Border Univ NBU, Comp Sci Dept, 9280 NBU, Ar Ar, Saudi Arabia</t>
  </si>
  <si>
    <t>Universiti Sains Malaysia; Northern Border University</t>
  </si>
  <si>
    <t>Anbar, M (corresponding author), Univ Sains Malaysia, Natl Adv IPv6 Ctr Excellence NAv6, Usm 11800, Penang, Malaysia.</t>
  </si>
  <si>
    <t>Anbar@usm.my</t>
  </si>
  <si>
    <t>Manickam, Selvakumar/AGD-8568-2022; Al-E'mari, Salam R./AAA-9641-2020; Sanjalawe, Yousef Khader/IUQ-1966-2023; Hasbullah, Iznan H/Q-6512-2018</t>
  </si>
  <si>
    <t>Manickam, Selvakumar/0000-0003-4378-1954; Al-E'mari, Salam R./0000-0002-2134-4158; Sanjalawe, Yousef Khader/0000-0002-4442-1865; Hasbullah, Iznan H/0000-0002-2275-3201</t>
  </si>
  <si>
    <t>Universiti Sains Malaysia [304/PNAV/650958/U154]</t>
  </si>
  <si>
    <t>Universiti Sains Malaysia(Universiti Sains Malaysia)</t>
  </si>
  <si>
    <t>This work was supported by Universiti Sains Malaysia under external grant (Grant number 304/PNAV/650958/U154) .</t>
  </si>
  <si>
    <t>10.32604/csse.2022.017941</t>
  </si>
  <si>
    <t>UH0ZL</t>
  </si>
  <si>
    <t>WOS:000689668800007</t>
  </si>
  <si>
    <t>Ozkan, C; Akman, G; Keskin, GA; Otkur, FM</t>
  </si>
  <si>
    <t>Ozkan, Coskun; Akman, Gulsen; Keskin, Gulsen Aydin; Otkur, Fatma Mine</t>
  </si>
  <si>
    <t>Fuzzy adaptive resonance theory approach to supplier involvement in product development: a case study in Turkish automobile industry</t>
  </si>
  <si>
    <t>supplier involvement; supply chain; fuzzy adaptive resonance theory; Fuzzy ART; product development; classification</t>
  </si>
  <si>
    <t>NEURAL-NETWORK; ART; INTEGRATION; PERFORMANCE; DESIGN; MODEL; CLASSIFICATION; RECOGNITION; PARTNERSHIP; MANAGEMENT</t>
  </si>
  <si>
    <t>This study proposes a mechanism to evaluate suppliers for involvement during product development process. The proposed methodology is discussed within a multinational automobile firm and preliminary analysis indicates that the approach provides an effective mechanism for selecting suppliers involved in the product development process. To remedy to supplier integration problems, a clustering approach - fuzzy adaptive resonance theory (Fuzzy ART) - is used. The proposed methodology is explained using a case study that is realised in an automobile firm. Eventually, the results are presented comparatively, which obtained by current supplier evaluation system of the firm and provided from Fuzzy ART methodology. [Submitted 14 July 2009; Revised 16 November 2009; Accepted 17 November 2009]</t>
  </si>
  <si>
    <t>[Ozkan, Coskun; Akman, Gulsen; Keskin, Gulsen Aydin; Otkur, Fatma Mine] Kocaeli Univ, Dept Ind Engn, Fac Engn, TR-41380 Umuttepe Izmit Kocaeli, Turkey</t>
  </si>
  <si>
    <t>Ozkan, C (corresponding author), Kocaeli Univ, Dept Ind Engn, Fac Engn, Umuttepe Campus, TR-41380 Umuttepe Izmit Kocaeli, Turkey.</t>
  </si>
  <si>
    <t>cozkan@kocaeli.edu.tr; akmang@kocaeli.edu.tr; gaydin@kocaeli.edu.tr; fatmaotkur@yahoo.com</t>
  </si>
  <si>
    <t>keskin, gulsen/ABG-9808-2020; OZKAN, COSKUN/D-5903-2019; Akman, Gulsen/F-6118-2018</t>
  </si>
  <si>
    <t>keskin, gulsen/0000-0001-6639-1882; OZKAN, COSKUN/0000-0002-0318-8614; Akman, Gulsen/0000-0002-5696-2423</t>
  </si>
  <si>
    <t>10.1504/EJIE.2011.037225</t>
  </si>
  <si>
    <t>691OR</t>
  </si>
  <si>
    <t>WOS:000285091200003</t>
  </si>
  <si>
    <t>Gulyani, S</t>
  </si>
  <si>
    <t>Effects of poor transportation on lean production and industrial clustering: Evidence from the Indian auto industry</t>
  </si>
  <si>
    <t>transportation; infrastructure; industrial performance; industrial districts; lean production; automobile industry; India</t>
  </si>
  <si>
    <t>INFRASTRUCTURE INVESTMENT</t>
  </si>
  <si>
    <t>Conventional wisdom suggests that poor transportation systems adversely affect industrial competitiveness by raising the unit cost of freight. This study finds that freight is neither the only nor the most significant cost that poor transportation creates for auto firms in India. Poor transportation also raises the damages incurred in transit, total inventories, and ordering and overhead costs. Worse. it creates external diseconomies by introducing inefficiencies and unreliability in the supply chain, making it difficult for assemblers to implement lean production. These external diseconomies-rather than excessive freight prices or other direct costs-may be the more debilitating impact of poor transportation infrastructure on industrial performance. In India, transportation constraints and the imperatives of lean production are driving assemblers to create auto clusters. (C) 2001 Elsevier Science Ltd. All rights reserved.</t>
  </si>
  <si>
    <t>World Bank, Washington, DC 20433 USA</t>
  </si>
  <si>
    <t>The World Bank</t>
  </si>
  <si>
    <t>Gulyani, S (corresponding author), World Bank, 1818 H St NW, Washington, DC 20433 USA.</t>
  </si>
  <si>
    <t>10.1016/S0305-750X(01)00028-6</t>
  </si>
  <si>
    <t>453ED</t>
  </si>
  <si>
    <t>WOS:000169902800004</t>
  </si>
  <si>
    <t>Zhang, B; Zhang, B</t>
  </si>
  <si>
    <t>Zhang, Bo; Zhang, B.</t>
  </si>
  <si>
    <t>Precise marketing of precision marketing value chain process on the H group line based on big data</t>
  </si>
  <si>
    <t>Large data; precision marketing; user portrait; storage</t>
  </si>
  <si>
    <t>The frequent trading activities of electronic commerce make the online transaction volume of Chinese enterprises increase year by year, but many enterprises still follow the traditional marketing strategy, which is not conducive to the long-term development of enterprises. Online precision marketing system model based on big data was built, Hadoop + MapReduce precision marketing model platform was implemented, all the data were stored in a distributed storage system, data mining technology was used to deal with it and provide the basis for enterprise decision making. China's H group was studied. The user portrait database and the corresponding E-R map were constructed. The height subdivision factor with strong correlation was selected for cluster analysis, and the product was subdivided by cluster analysis. This study has certain reference significance for the collection and mining of online data of enterprises in our country and contributes to the long-term healthy development of the enterprise.</t>
  </si>
  <si>
    <t>[Zhang, Bo] Shenzhen Boshi Qiangzhi Sci &amp; Technol Co Ltd, Shenzhen 518034, Peoples R China; [Zhang, B.] York Univ, Toronto, ON, Canada</t>
  </si>
  <si>
    <t>York University - Canada</t>
  </si>
  <si>
    <t>Zhang, B (corresponding author), Shenzhen Boshi Qiangzhi Sci &amp; Technol Co Ltd, Shenzhen 518034, Peoples R China.</t>
  </si>
  <si>
    <t>zsyyuh@163.com</t>
  </si>
  <si>
    <t>Zhang, Bo/GMW-6146-2022; Li, Wang/M-1612-2019</t>
  </si>
  <si>
    <t>Zhang, Bo/0000-0001-6953-9651;</t>
  </si>
  <si>
    <t>10.3233/JIFS-169637</t>
  </si>
  <si>
    <t>GV6QR</t>
  </si>
  <si>
    <t>WOS:000446239400024</t>
  </si>
  <si>
    <t>Du, JM; Zhou, JD; Li, X; Li, L; Guo, A</t>
  </si>
  <si>
    <t>Du, Jiaoman; Zhou, Jiandong; Li, Xiang; Li, Lei; Guo, Ao</t>
  </si>
  <si>
    <t>Integrated self-driving travel scheme planning</t>
  </si>
  <si>
    <t>Travel scheme planning; Dynamic programming; Heuristic algorithm</t>
  </si>
  <si>
    <t>VEHICLE-ROUTING PROBLEM; ANT COLONY OPTIMIZATION; DAY TOUR ROUTE; MEMETIC ALGORITHM; SALESMAN PROBLEM; CONSTRAINT SATISFACTION; HEURISTIC ALGORITHM; ASSEMBLY LINES; DESIGN; SEARCH</t>
  </si>
  <si>
    <t>Travel scheme planning is a crucial operational-level decision to be made in travel supply chain management. We investigate an integrated self-driving travel scheme planning (ISTSP) problem to optimize routing, hotel selection, and time scheduling under several streams of personalized considerations: best site-viewing time windows, rest requirements, and preference for site visiting sequences. The travel scheme planning problem is formulated in two models: (i) total cost minimization, and (ii) bi-objective optimization with total cost minimization and tourists' utility maximization. A heuristic solution framework integrating multi-categorical attribute K-means clustering, dynamic programming algorithm, and constraint satisfaction procedure is designed to solve these two models. Finally, we provide illustrative examples to demonstrate the effectiveness and validity of the proposed models and solution methods.</t>
  </si>
  <si>
    <t>[Du, Jiaoman] Univ Tokyo, Grad Sch Frontier Sci, Tokyo 2778563, Japan; [Zhou, Jiandong] City Univ Hong Kong, Sch Data Sci, Hong Kong 999077, Peoples R China; [Li, Xiang] Beijing Univ Chem Technol, Sch Econ &amp; Management, Beijing 100029, Peoples R China; [Li, Lei] Hosei Univ, Sch Sci &amp; Engn, Tokyo 1848584, Japan; [Guo, Ao] Hosei Univ, Sch Comp &amp; Informat Sci, Tokyo 1848584, Japan</t>
  </si>
  <si>
    <t>University of Tokyo; City University of Hong Kong; Beijing University of Chemical Technology; Hosei University; Hosei University</t>
  </si>
  <si>
    <t>Li, X (corresponding author), Beijing Univ Chem Technol, Sch Econ &amp; Management, Beijing 100029, Peoples R China.</t>
  </si>
  <si>
    <t>dujiaoman@edu.k.u-tokyo.ac.jp; jiandzhou3-c@my.cityu.edu.hk; lixiang@mail.buct.edu.cn; lilei@hosei.ac.jp; guo.ao.33@stu.hosei.ac.jp</t>
  </si>
  <si>
    <t>Zhou, Jiandong/D-3087-2017</t>
  </si>
  <si>
    <t>Zhou, Jiandong/0000-0003-3780-9033</t>
  </si>
  <si>
    <t>National Natural Science Foundation of China [71722007, 71931001]</t>
  </si>
  <si>
    <t>This work was supported by the National Natural Science Foundation of China (Nos. 71722007, 71931001).</t>
  </si>
  <si>
    <t>10.1016/j.ijpe.2020.107963</t>
  </si>
  <si>
    <t>QE0SS</t>
  </si>
  <si>
    <t>WOS:000615918400004</t>
  </si>
  <si>
    <t>Nikolopoulos, K; Punia, S; Schäfers, A; Tsinopoulos, C; Vasilakis, C</t>
  </si>
  <si>
    <t>Nikolopoulos, Konstantinos; Punia, Sushil; Schafers, Andreas; Tsinopoulos, Christos; Vasilakis, Chrysovalantis</t>
  </si>
  <si>
    <t>Forecasting and planning during a pandemic: COVID-19 growth rates, supply chain disruptions, and governmental decisions</t>
  </si>
  <si>
    <t>Forecasting; COVID-19; Pandemic; Excess demand; Lockdown</t>
  </si>
  <si>
    <t>RESILIENCE; DEMAND; MANAGEMENT; OUTBREAKS; TRENDS; TIME</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</si>
  <si>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 (C) 2020 Elsevier B.V. All rights reserved.</t>
  </si>
  <si>
    <t>[Nikolopoulos, Konstantinos; Tsinopoulos, Christos] Univ Durham, Business Sch, Durham, England; [Punia, Sushil] Indian Inst Technol Delhi, New Delhi, India; [Schafers, Andreas; Vasilakis, Chrysovalantis] Bangor Business Sch, forLAB, Bangor, Gwynedd, Wales; [Vasilakis, Chrysovalantis] Univ Catholique Louvain IRES, Ottignies, Belgium; [Punia, Sushil] Inst Study Lab IZA, Bonn, Germany; [Vasilakis, Chrysovalantis] Univ Aegean, Lesbos, Greece</t>
  </si>
  <si>
    <t>Durham University; Indian Institute of Technology System (IIT System); Indian Institute of Technology (IIT) - Delhi; Bangor University; IZA Institute Labor Economics; University of Aegean</t>
  </si>
  <si>
    <t>Nikolopoulos, K (corresponding author), Univ Durham, Business Sch, Durham, England.</t>
  </si>
  <si>
    <t>kostas.nikolopoulos@durham.ac.uk; SchaefAnd@gmx.de; chris.tsinopoulos@durham.ac.uk</t>
  </si>
  <si>
    <t>于, 于增臣/AAH-4657-2021; Punia, Sushil/Z-1707-2018</t>
  </si>
  <si>
    <t>Punia, Sushil/0000-0001-8468-7994</t>
  </si>
  <si>
    <t>10.1016/j.ejor.2020.08.001</t>
  </si>
  <si>
    <t>PH8QP</t>
  </si>
  <si>
    <t>Green Accepted, Green Published, Bronze, Green Submitted</t>
  </si>
  <si>
    <t>WOS:000600670300007</t>
  </si>
  <si>
    <t>Serafeim, AV; Kokosalakis, G; Deidda, R; Fourniotis, NT; Langousis, A</t>
  </si>
  <si>
    <t>Serafeim, Athanasios, V; Kokosalakis, George; Deidda, Roberto; Fourniotis, Nikolaos Th; Langousis, Andreas</t>
  </si>
  <si>
    <t>Combining Statistical Clustering with Hydraulic Modeling for Resilient Reduction of Water Losses in Water Distribution Networks: Large Scale Application Study in the City of Patras in Western Greece</t>
  </si>
  <si>
    <t>statistical clustering; water networks partitioning; water distribution networks; water losses; leakage management; hydraulic resilience</t>
  </si>
  <si>
    <t>DISTRICT METERED AREAS; SUPPLY NETWORK; LEAKAGE MINIMIZATION; DISTRIBUTION-SYSTEMS; PRESSURE CONTROL; OPTIMAL-DESIGN; TOTAL-COST; RELIABILITY; PERFORMANCE; MANAGEMENT</t>
  </si>
  <si>
    <t>Partitioning of water distribution networks (WDNs) into pressure management areas (PMAs) or district metered areas (DMAs) is the most widely applied method for the efficient management and reduction of real losses (leakages). Although PMA partitioning is a crucial task, most clustering methods are strongly affected by user-defined weighting factors that heavily affect the final outcome while being associated with heavy computational loads, leading to time-consuming applications. In this work, we use hierarchical clustering enriched with topological proximity constraints to develop an approach for the optimal sizing and allocation of PMAs (or DMAs) in water distribution networks that seeks to minimize water leakages while maintaining a sufficient level of hydraulic resilience. To quantify the latter, we introduce a resilience index that accounts for water leakages and nodal heads in pressure-driven and mixed pressure-demand ways, respectively. The strong points of the introduced approach are that (1) it uses the original pipeline grid as a connectivity matrix in order to avoid unrealistic clustering outcomes; (2) it is statistically rigorous and user unbiased as it is based solely on statistical metrics, thus not relying on and/or being affected by user-defined weighting factors; and (3) it is easy and fast to implement, requiring minimal processing power. The effectiveness of the developed methodology is tested in a large-scale application study in four PMAs (namely Boud, Kentro, Panahaiki, and Prosfygika) of the city of Patras in western Greece, which cover the entire city center and the most important part of the urban fabric of Patras, consisting of approximately 202 km of pipeline and serving approximately 58,000 consumers. Due to its simplicity, minimal computational requirements, and objective selection criteria, the suggested clustering approach for WDN partitioning can serve as an important step toward developing useful decision-making frameworks for water experts and officials, allowing for improved management and reduction of real water losses.</t>
  </si>
  <si>
    <t>[Serafeim, Athanasios, V; Kokosalakis, George; Langousis, Andreas] Univ Patras, Dept Civil Engn, Patras 26504, Greece; [Kokosalakis, George] Amer Coll Greece, Sch Business &amp; Econ Deree, Dept Maritime Transport &amp; Logist, Athens 15342, Greece; [Deidda, Roberto] Univ Cagliari, Dipartimento Ingn Civile Ambientale &amp; Architettur, I-09124 Cagliari, Italy; [Fourniotis, Nikolaos Th] Univ Peloponnese, Dept Civil Engn, Patras 26334, Greece</t>
  </si>
  <si>
    <t>University of Patras; University of Cagliari</t>
  </si>
  <si>
    <t>Langousis, A (corresponding author), Univ Patras, Dept Civil Engn, Patras 26504, Greece.</t>
  </si>
  <si>
    <t>andlag@alum.mit.edu</t>
  </si>
  <si>
    <t>; DEIDDA, ROBERTO/J-2054-2017</t>
  </si>
  <si>
    <t>Kokosalakis, George/0000-0003-4161-7376; Langousis, Andreas/0000-0002-0643-2520; DEIDDA, ROBERTO/0000-0001-5469-0199; SERAFEIM, ATHANASIOS/0000-0003-0207-0881</t>
  </si>
  <si>
    <t>Hellenic Foundation for Research and Innovation [1162]</t>
  </si>
  <si>
    <t>Hellenic Foundation for Research and Innovation</t>
  </si>
  <si>
    <t>The research project was supported by the Hellenic Foundation for Research and Innovation (H.F.R.I.) under the 1st Call for H.F.R.I. Research Projects to support Faculty Members &amp; Researchers and the procurement of high-cost research equipment grant (Project Number: 1162).</t>
  </si>
  <si>
    <t>10.3390/w14213493</t>
  </si>
  <si>
    <t>6F4IH</t>
  </si>
  <si>
    <t>WOS:000884026200001</t>
  </si>
  <si>
    <t>Van De Looverbosch, T; Bhuiyan, MHR; Verboven, P; Dierick, M; Van Loo, D; De Beenbouwer, J; Sijbers, J; Nicolaï, B</t>
  </si>
  <si>
    <t>Van De Looverbosch, Tim; Bhuiyan, Md Hafizur Rahman; Verboven, Pieter; Dierick, Manuel; Van Loo, Denis; De Beenbouwer, Jan; Sijbers, Jan; Nicolai, Bart</t>
  </si>
  <si>
    <t>Nondestructive internal quality inspection of pear fruit by X-ray CT using machine learning</t>
  </si>
  <si>
    <t>Support vector machine; 3D imaging; Image processing; Postharvest technology; Disorder detection; Food grading</t>
  </si>
  <si>
    <t>PYRUS-COMMUNIS L.; CORE BREAKDOWN; CLASSIFICATION; ALGORITHM; APPLES; SEGMENTATION; DISORDERS; SELECTION; MRI</t>
  </si>
  <si>
    <t>To preserve the quality of fresh pear fruit after harvest and deliver quality fruit year-round a controlled supply chain and long-term storage are applied. During storage, however, internal disorders can develop due to suboptimal storage conditions that may not cause externally visible symptoms. This makes them impossible to be detected by current commercial quality grading systems in a reliable and non-destructive way. A combination of a Support Vector Machine coupled with a feature extraction algorithm and X-ray Computed Tomography is proposed to successfully detect internal disorders in 'Conference' and 'Cepuna' pear fruit nondestructively. Classifiers were able to distinguish defective from sound fruit with classification accuracies ranging between 90.2 and 95.1% depending on the cultivar and number of used features. Moreover, low false positive and negative rates were obtained, respectively ranging between 0.0 and 6.7%, and 5.7 and 13.3%. Classifiers trained on 'Conference' data were transferred effectively to the 'Cepuna' cultivar, suggesting generalizability to other cultivars as well. With continuing developments in both hardware and software to increase inspection speed and reduce equipment costs, the method can be implemented in industrial applications, e.g., inline translational X-ray CT.</t>
  </si>
  <si>
    <t>[Van De Looverbosch, Tim; Verboven, Pieter; Nicolai, Bart] Katholieke Univ Leuven, Div Mechatron Biostat &amp; Sensors MeBioS, Biosyst Dept, Leuven, Belgium; [Dierick, Manuel; Van Loo, Denis] Tescan XRE Nv, Ghent, Belgium; [De Beenbouwer, Jan; Sijbers, Jan] Univ Antwerp, Dept Phys, Imec Vis Lab, Antwerp, Belgium; [Bhuiyan, Md Hafizur Rahman] Bangladesh Agr Univ, Dept Food Technol &amp; Rural Ind, Dhaka, Bangladesh</t>
  </si>
  <si>
    <t>KU Leuven; IMEC; University of Antwerp; Bangladesh Agricultural University (BAU)</t>
  </si>
  <si>
    <t>Van De Looverbosch, T (corresponding author), Willem De Croylaan 42, B-3001 Leuven, Belgium.</t>
  </si>
  <si>
    <t>tim.vandelooverbosch@kuleuven.be</t>
  </si>
  <si>
    <t>Sijbers, Jan/C-4214-2011</t>
  </si>
  <si>
    <t>Sijbers, Jan/0000-0003-4225-2487; Bhuiyan, Md Hafizur Rahman/0000-0002-5565-7531; Van De Looverbosch, Tim/0000-0002-3065-1395; De Beenhouwer, Jan/0000-0001-5253-1274; Verboven, Pieter/0000-0001-9542-8285</t>
  </si>
  <si>
    <t>imec ICON project iXCon (Agentschap Innoveren &amp; Ondernemen project, Belgium) [HBC.2016.0164]; Flanders' Food i-FAST project (Agentschap Innoveren &amp; Ondernemen project, Belgium) [IWT 140992]; iProcess project (Research Council of Norway project, Norway) [255596/E50]</t>
  </si>
  <si>
    <t>imec ICON project iXCon (Agentschap Innoveren &amp; Ondernemen project, Belgium); Flanders' Food i-FAST project (Agentschap Innoveren &amp; Ondernemen project, Belgium); iProcess project (Research Council of Norway project, Norway)</t>
  </si>
  <si>
    <t>This research was funded by the imec ICON project iXCon (Agentschap Innoveren &amp; Ondernemen project nr. HBC.2016.0164, Belgium), the Flanders' Food i-FAST project (Agentschap Innoveren &amp; Ondernemen project nr. IWT 140992, Belgium) and the iProcess project (Research Council of Norway project nr. 255596/E50, Norway).</t>
  </si>
  <si>
    <t>10.1016/j.foodcont.2020.107170</t>
  </si>
  <si>
    <t>LC4UY</t>
  </si>
  <si>
    <t>WOS:000525322400030</t>
  </si>
  <si>
    <t>Chen, CN; Lai, CH; Lu, GW; Huang, CC; Wu, LJ; Lin, HC; Chen, PS</t>
  </si>
  <si>
    <t>Chen, Chia-Nan; Lai, Chin-Hui; Lu, Guan-Wei; Huang, Ching-Chun; Wu, Le-Jean; Lin, Hui-Chuan; Chen, Ping-Shun</t>
  </si>
  <si>
    <t>Applying Simulation Optimization to Minimize Drug Inventory Costs: A Study of a Case Outpatient Pharmacy</t>
  </si>
  <si>
    <t>HEALTHCARE</t>
  </si>
  <si>
    <t>inventory simulation; simulation optimization; inventory policy; two-stage clustering model; outpatient pharmacy</t>
  </si>
  <si>
    <t>PHARMACEUTICAL SUPPLY CHAIN; VED ANALYSIS; MANAGEMENT; SYSTEM; ABC</t>
  </si>
  <si>
    <t>Drug inventory management is an important part of hospital management. The large amounts of drug data in hospitals bring challenges to optimizing the setting values for the safety stock and the maximum inventory of each drug. This study combined a two-stage clustering method with an inventory policy (s, S) and established a simulation optimization model for the case hospital's outpatient pharmacy. This research used the simulation optimization software Arena OptQuest, developed by Rockwell Automation Inc (Rockwell Automation, Coraopolis, PA, USA), in order to determine the minimum and maximum values (s, S) of the best stock amounts for each drug under the considerations of cost and related inventory constraints. The research results showed that the minimum and maximum inventory settings for each drug in the simulation model were better than those set by the case outpatient pharmacy system. The average inventory cost was reduced by 55%, while the average inventory volume was reduced by 68%. The proposed method can improve management efficiency and inventory costs of hospital pharmacies without affecting patient services and increasing the inventory turnover rate of the drugs.</t>
  </si>
  <si>
    <t>[Chen, Chia-Nan; Huang, Ching-Chun; Wu, Le-Jean; Lin, Hui-Chuan] Ditmanson Med Fdn Chia Yi Christian Hosp, Dept Pharm, Chiayi 600566, Taiwan; [Lai, Chin-Hui] Chung Yuan Christian Univ, Dept Informat Management, Taoyuan 320314, Taiwan; [Lu, Guan-Wei; Chen, Ping-Shun] Chung Yuan Christian Univ, Dept Ind &amp; Syst Engn, Taoyuan 320314, Taiwan</t>
  </si>
  <si>
    <t>Chung Yuan Christian University; Chung Yuan Christian University</t>
  </si>
  <si>
    <t>Chen, PS (corresponding author), Chung Yuan Christian Univ, Dept Ind &amp; Syst Engn, Taoyuan 320314, Taiwan.</t>
  </si>
  <si>
    <t>03166@cych.org.tw; chlai@cycu.edu.tw; zerosevenwei@gmail.com; 03827@cych.org.tw; 01543@cych.org.tw; 02398@cych.org.tw; pingshun@cycu.edu.tw</t>
  </si>
  <si>
    <t>Lai, Chin-Hui/0000-0002-7512-2964</t>
  </si>
  <si>
    <t>Ministry of Science and Technology of Taiwan [MOST 110-2221-E-033-032-]</t>
  </si>
  <si>
    <t>Ministry of Science and Technology of Taiwan(Ministry of Science and Technology, Taiwan)</t>
  </si>
  <si>
    <t>This research was funded by the Ministry of Science and Technology of Taiwan under Grant MOST 110-2221-E-033-032-.</t>
  </si>
  <si>
    <t>2227-9032</t>
  </si>
  <si>
    <t>HEALTHCARE-BASEL</t>
  </si>
  <si>
    <t>Healthcare</t>
  </si>
  <si>
    <t>10.3390/healthcare10030556</t>
  </si>
  <si>
    <t>Health Care Sciences &amp; Services; Health Policy &amp; Services</t>
  </si>
  <si>
    <t>0C9JZ</t>
  </si>
  <si>
    <t>WOS:000775622500001</t>
  </si>
  <si>
    <t>SADLER, D</t>
  </si>
  <si>
    <t>THE GEOGRAPHIES OF JUST-IN-TIME - JAPANESE INVESTMENT AND THE AUTOMOTIVE COMPONENTS INDUSTRY IN WESTERN-EUROPE</t>
  </si>
  <si>
    <t>ECONOMIC GEOGRAPHY</t>
  </si>
  <si>
    <t>JAPANESE INVESTMENT; JUST-IN-TIME PRODUCTION; AUTOMOBILE INDUSTRY; GEOGRAPHIC CONCENTRATION VS DECENTRALIZATION</t>
  </si>
  <si>
    <t>AUTOMOBILE-INDUSTRY; PRODUCTION SYSTEMS; LABOR PROCESS; ORGANIZATION; TRANSPLANTS</t>
  </si>
  <si>
    <t>Japanese investment in automobile production in North America and Western Europe during the 1980s and early 1990s posed some sharp questions about the future of domestically owned assemblers and automotive component companies. In North America, substantial expansion by Japanese parts suppliers established new locational patterns geared to producing ''just-in-time'' (JIT) for the Japanese ''transplant'' assemblers. In Western Europe, by contrast, Japanese auto manufacturers chose to work from the outset much more closely with an existing supply chain. The paper examines two questions: the extent to which JIT-style systems of production were emerging and the degree to which JIT production carried tendencies toward spatial clustering. The analysis focuses on parts purchasing at Japanese assembly plants in Europe and on restructuring within the European automotive components industry. I conclude that JIT is far from a universal organizational principle, but rather has different attributes according to its social context; that there is no necessary association between JIT and spatial clustering, at least as practiced in Europe; and that issues of technical collaboration between companies are increasingly important. I also speculate on future prospects for a global automotive components sector, mirroring trends in the assembly industry.</t>
  </si>
  <si>
    <t>SADLER, D (corresponding author), UNIV DURHAM,DEPT GEOG,DURHAM DH1 3LE,ENGLAND.</t>
  </si>
  <si>
    <t>WORCESTER</t>
  </si>
  <si>
    <t>CLARK UNIV, WORCESTER, MA 01610</t>
  </si>
  <si>
    <t>0013-0095</t>
  </si>
  <si>
    <t>ECON GEOGR</t>
  </si>
  <si>
    <t>Econ. Geogr.</t>
  </si>
  <si>
    <t>10.2307/143577</t>
  </si>
  <si>
    <t>MX021</t>
  </si>
  <si>
    <t>WOS:A1994MX02100003</t>
  </si>
  <si>
    <t>Lee, IG; Chung, SH; Yoon, SW</t>
  </si>
  <si>
    <t>Lee, In Gyu; Chung, Sung Hoon; Yoon, Sang Won</t>
  </si>
  <si>
    <t>Two-stage storage assignment to minimize travel time and congestion for warehouse order picking operations</t>
  </si>
  <si>
    <t>Order picking operation; Correlated and traffic balanced storage assignment; Multi-objective evolutionary algorithms; Warehouse operations; Supply chain management</t>
  </si>
  <si>
    <t>MULTIOBJECTIVE EVOLUTIONARY ALGORITHMS; MANY-OBJECTIVE OPTIMIZATION; NSGA-II; GENETIC ALGORITHM; MULTIPLE PICKERS; LOCATION; SYSTEM; ALLOCATION; POLICIES; DESIGN</t>
  </si>
  <si>
    <t>This research presents a systematic and integrated approach that extends the correlated storage assignment strategy to improve the efficiency of warehouse order picking operations. The correlated storage assignment can reduce a significant amount of travel costs, but could lead to traffic congestion due to the imbalanced traffic flow. Hence, this research proposes the correlated and traffic balanced storage assignment (C&amp;TBSA) to minimize the travel time and picking delays, which is modeled in two stages: clustering and assignment. In the clustering stage, a bi-objective optimization model is formulated to group items with the consideration of both travel efficiency and traffic flow balance, which is solved using multi-objective evolutionary algorithms (MOEAs). In the assignment stage, items in each cluster are distributed to the available storage locations. C&amp; TBSA is evaluated with an actual warehouse case study and the results show that C&amp;TBSA outperforms random, class-based, and correlated storage assignment methods by 48.74%, 23.82%, and 7.58% respectively, regarding the total time consisting of travel time and picking delays.</t>
  </si>
  <si>
    <t>[Lee, In Gyu; Chung, Sung Hoon; Yoon, Sang Won] SUNY Binghamton, Dept Syst Sci &amp; Ind Engn, Binghamton, NY 13902 USA</t>
  </si>
  <si>
    <t>State University of New York (SUNY) System; State University of New York (SUNY) Binghamton</t>
  </si>
  <si>
    <t>Chung, SH (corresponding author), SUNY Binghamton, Dept Syst Sci &amp; Ind Engn, Binghamton, NY 13902 USA.</t>
  </si>
  <si>
    <t>ilee13@binghamton.edu; schung@binghamton.edu; yoons@binghamton.edu</t>
  </si>
  <si>
    <t>Chung, Sung Hoon/0000-0002-5230-276X; Yoon, Sang Won/0000-0002-1613-0745</t>
  </si>
  <si>
    <t>Toyota Material Handling North America (TMHNA) through its University Research Program</t>
  </si>
  <si>
    <t>This research is partly supported by Toyota Material Handling North America (TMHNA) through its University Research Program.</t>
  </si>
  <si>
    <t>10.1016/j.cie.2019.106129</t>
  </si>
  <si>
    <t>WOS:000509784000004</t>
  </si>
  <si>
    <t>Peppel, M; Ringbeck, J; Spinler, S</t>
  </si>
  <si>
    <t>Peppel, Marcel; Ringbeck, Juergen; Spinler, Stefan</t>
  </si>
  <si>
    <t>How will last-mile delivery be shaped in 2040? A Delphi-based scenario study</t>
  </si>
  <si>
    <t>Last-mile delivery; Delphi study; Scenario planning; Fuzzy clustering; Delphi-based scenario study; Cluster analysis</t>
  </si>
  <si>
    <t>SUPPLY CHAIN MANAGEMENT; TECHNOLOGY ACCEPTANCE MODEL; INNOVATION DIFFUSION-THEORY; E-COMMERCE; URBAN AREAS; FUTURE; LOGISTICS; FORESIGHT; IMPACT; OPERATIONS</t>
  </si>
  <si>
    <t>Last-mile delivery (LMD) has experienced tremendous growth in recent years, primarily driven by e-commerce. The LMD sector is characterized by strong competition, with new entrants addressing unexplored business segments, while digitization and more sustainable operations are shifting current industry standards. This paper explores upcoming trends in the LMD sector using a Delphi-based scenario study for 2040. We develop projections of future consumer behavior, delivery technologies, delivery services, and regulation to validate them by conducting a two-round Delphi study among 36 experts from the LMD industry, academia, and politics. Based on the results, three future scenarios are identified by fuzzy c-means clustering, set within the context of innovation diffusion theory and the technology acceptance model. There is expert consensus on the scope of technologies that will be used in 2040 and how consumers' preferences may change, but the future design of delivery services is less certain. The identified scenarios provide managerial and policy guidance for logistics service providers, suppliers, municipalities, and e-commerce retailers to adapt their long-term strategies.</t>
  </si>
  <si>
    <t>[Peppel, Marcel; Ringbeck, Juergen; Spinler, Stefan] WHU Otto Beisheim Sch Management, Burgpl 2, D-56179 Vallendar, Germany</t>
  </si>
  <si>
    <t>WHU - Otto Beisheim School of Management</t>
  </si>
  <si>
    <t>Peppel, M (corresponding author), WHU Otto Beisheim Sch Management, Burgpl 2, D-56179 Vallendar, Germany.</t>
  </si>
  <si>
    <t>marcel.peppel@whu.edu</t>
  </si>
  <si>
    <t>10.1016/j.techfore.2022.121493</t>
  </si>
  <si>
    <t>0N7UY</t>
  </si>
  <si>
    <t>WOS:000783040300015</t>
  </si>
  <si>
    <t>Aydin, M; Ulutas, BH</t>
  </si>
  <si>
    <t>Aydin, Merve; Ulutas, Berna Haktanirlar</t>
  </si>
  <si>
    <t>A new methodology to cluster derivative product modules: an application</t>
  </si>
  <si>
    <t>clonal selection algorithm; clustering algorithm; commonality index; design structure matrix; modular design</t>
  </si>
  <si>
    <t>OF-THE-ART; MASS CUSTOMIZATION; FAMILY DESIGN; COMMONALITY INDEXES; PLATFORM DESIGN; CONFIGURATION; ALGORITHM</t>
  </si>
  <si>
    <t>Companies are trying several ways to offer competitive and highly differentiated products. The goal for the product platform is to share elements for common functions and to differentiate each product in the family by satisfying different requirements as much as possible. This study focuses on the product variety and short product life cycles that result from the increase and diversification in consumer needs and expectations. Proposed methodology aims to maximise the use of common product modules by considering platform-based derivative products and modular product design approaches to minimise the planning complexity in supply chain, manufacturing and service for derivative products. Functional and technical features of the products are determined in the first step. Then, design structure matrix is formed. After defining product components, similarity matrix for derivative products is formed. A clustering algorithm based on Clonal Selection is used to generate critical product modules. Data from a home appliance manufacturer are used to assess three versions of a product by also considering the production process. The grouping enabled to shorten the release time of a new derivative product to the market.</t>
  </si>
  <si>
    <t>[Aydin, Merve; Ulutas, Berna Haktanirlar] Eskisehir Osmangazi Univ, Dept Ind Engn, Eskisehir, Turkey; Eskisehir Osmangazi Univ, Eskisehir, Turkey</t>
  </si>
  <si>
    <t>Eskisehir Osmangazi University; Eskisehir Osmangazi University</t>
  </si>
  <si>
    <t>Ulutas, BH (corresponding author), Eskisehir Osmangazi Univ, Dept Ind Engn, Eskisehir, Turkey.</t>
  </si>
  <si>
    <t>bhaktan@ogu.edu.tr</t>
  </si>
  <si>
    <t>Aydın, Merve/GYD-5288-2022; Haktanirlar Ulutas, Berna/E-9639-2012</t>
  </si>
  <si>
    <t>Haktanirlar Ulutas, Berna/0000-0002-0026-4925</t>
  </si>
  <si>
    <t>10.1080/00207543.2016.1143133</t>
  </si>
  <si>
    <t>WOS:000386800900013</t>
  </si>
  <si>
    <t>Dellisanti, R</t>
  </si>
  <si>
    <t>Dellisanti, Roberto</t>
  </si>
  <si>
    <t>Spatial patterns of Cultural and Creative Industries: Creativity and filiere behind concentration</t>
  </si>
  <si>
    <t>PAPERS IN REGIONAL SCIENCE</t>
  </si>
  <si>
    <t>creative value chain; cultural and creative industries; innovation; localization economies; urbanizationc economies</t>
  </si>
  <si>
    <t>AGGLOMERATION ECONOMIES; UNRELATED VARIETY; INNOVATION; DETERMINANTS; PERSPECTIVE; DISTRICTS; PROXIMITY; KNOWLEDGE; DRIVERS; CITIES</t>
  </si>
  <si>
    <t>Spatial concentration of Cultural and Creative Industries (CCIs) is not a new topic in academic research. However, the analysis of this phenomenon often neglects that CCIs behave differently, due to their heterogeneity. Building on the literature on CCIs' concentration, a novel classification of CCIs is presented based on two key dimensions: heterogeneous creativity and filiere. CCIs spatial concentration is tested along these two dimensions, highlighting that the location determinants differ at their intersection. Results renew the interest on CCIs' clustering and define new perspectives for policy interventions.</t>
  </si>
  <si>
    <t>[Dellisanti, Roberto] Politecn Milan, ABC Dept, Bldg 5,Piazza L da Vinci 32, I-20133 Milan, Italy</t>
  </si>
  <si>
    <t>Polytechnic University of Milan</t>
  </si>
  <si>
    <t>Dellisanti, R (corresponding author), Politecn Milan, ABC Dept, Bldg 5,Piazza L da Vinci 32, I-20133 Milan, Italy.</t>
  </si>
  <si>
    <t>roberto.dellisanti@polimi.it</t>
  </si>
  <si>
    <t>Dellisanti, Roberto/GQZ-8232-2022</t>
  </si>
  <si>
    <t>Dellisanti, Roberto/0000-0002-1362-5603</t>
  </si>
  <si>
    <t>Urban and Regional Economics research group of the ABC Department, Politecnico di Milano</t>
  </si>
  <si>
    <t>The author would like to thank the Urban and Regional Economics research group of the ABC Department, Politecnico di Milano, for their support and suggestions. Special thanks to Roberta Capello and Andrea Caragliu for their valuable guidance. The author sincerely thanks the three anonymous reviewers whose suggestions helped improve and clarify this manuscript.</t>
  </si>
  <si>
    <t>1056-8190</t>
  </si>
  <si>
    <t>1435-5957</t>
  </si>
  <si>
    <t>PAP REG SCI</t>
  </si>
  <si>
    <t>Pap. Reg. Sci.</t>
  </si>
  <si>
    <t>+</t>
  </si>
  <si>
    <t>10.1111/pirs.12733</t>
  </si>
  <si>
    <t>K0RQ2</t>
  </si>
  <si>
    <t>WOS:000980879300001</t>
  </si>
  <si>
    <t>Xing, LZ</t>
  </si>
  <si>
    <t>Xing, Lizhi</t>
  </si>
  <si>
    <t>Analysis of inter-country input-output table based on citation network: How to measure the competition and collaboration between industrial sectors on the global value chain</t>
  </si>
  <si>
    <t>WORLD; COCITATION; DYNAMICS; TRADE</t>
  </si>
  <si>
    <t>The input-output table is comprehensive and detailed in describing the national economic system with complex economic relationships, which embodies information of supply and demand among industrial sectors. This paper aims to scale the degree of competition/collaboration on the global value chain from the perspective of econophysics. Global Industrial Strongest Relevant Network models were established by extracting the strongest and most immediate industrial relevance in the global economic system with inter-country input-output tables and then transformed into Global Industrial Resource Competition Network/Global Industrial Production Collaboration Network models embodying the competitive/collaborative relationships based on bibliographic coupling/co-citation approach. Three indicators well suited for these two kinds of weighted and non-directed networks with self-loops were introduced, including unit weight for competitive/collaborative power, disparity in the weight for competitive/collaborative amplitude and weighted clustering coefficient for competitive/collaborative intensity. Finally, these models and indicators were further applied to empirically analyze the function of sectors in the latest World Input-Output Database, to reveal inter-sector competitive/collaborative status during the economic globalization.</t>
  </si>
  <si>
    <t>[Xing, Lizhi] Beijing Univ Technol, Sch Econ &amp; Management, Beijing, Peoples R China</t>
  </si>
  <si>
    <t>Beijing University of Technology</t>
  </si>
  <si>
    <t>Xing, LZ (corresponding author), Beijing Univ Technol, Sch Econ &amp; Management, Beijing, Peoples R China.</t>
  </si>
  <si>
    <t>itwasa@163.com</t>
  </si>
  <si>
    <t>Bass, Koken/HNI-3110-2023</t>
  </si>
  <si>
    <t>Xing, Lizhi/0000-0001-9554-5414</t>
  </si>
  <si>
    <t>Beijing Municipal Social Science Foundation Youth Program; Research Base of Beijing Modern Manufacturing Development Tender Project</t>
  </si>
  <si>
    <t>The Author acknowledges support from Beijing Municipal Social Science Foundation Youth Program 2017 Construction of 'the Belt and the Road' and Global Cooperation on Production Capacity and Research Base of Beijing Modern Manufacturing Development Tender Project 2017.; The author acknowledges support from Beijing Municipal Social Science Foundation Youth Program 2017 Construction of the Belt and the Road and Global Cooperation on Production Capacity and Research Base of Beijing Modern Manufacturing Development Tender Project 2017. Besides, thank you to Prof. Jun Guan for copyediting.</t>
  </si>
  <si>
    <t>SEP 5</t>
  </si>
  <si>
    <t>e0184055</t>
  </si>
  <si>
    <t>10.1371/journal.pone.0184055</t>
  </si>
  <si>
    <t>FF8QL</t>
  </si>
  <si>
    <t>Green Submitted, gold, Green Published</t>
  </si>
  <si>
    <t>WOS:000409282800045</t>
  </si>
  <si>
    <t>Kollia, I; Stevenson, J; Kollias, S</t>
  </si>
  <si>
    <t>Kollia, Ilianna; Stevenson, Jack; Kollias, Stefanos</t>
  </si>
  <si>
    <t>AI-Enabled Efficient and Safe Food Supply Chain</t>
  </si>
  <si>
    <t>deep learning; deep neural networks; LSTM models; attention; latent variables; domain adaptation; yield prediction; growth prediction; greenhouses; energy optimization; refrigerator systems; expiry date; verification; recognition; food packaging</t>
  </si>
  <si>
    <t>STEM DIAMETER VARIATION; DEMAND RESPONSE; NEURAL-NETWORK; YIELD PREDICTION; AGRICULTURE; KNOWLEDGE; GROWTH; MODEL; DRIVEN; DOMAIN</t>
  </si>
  <si>
    <t>This paper provides a review of an emerging field in the food processing sector, referring to efficient and safe food supply chains, 'from farm to fork', as enabled by Artificial Intelligence (AI). The field is of great significance from economic, food safety and public health points of views. The paper focuses on effective food production, food maintenance energy management and food retail packaging labeling control, using recent advances in machine learning. Appropriate deep neural architectures are adopted and used for this purpose, including Fully Convolutional Networks, Long Short-Term Memories and Recurrent Neural Networks, Auto-Encoders and Attention mechanisms, Latent Variable extraction and clustering, as well as Domain Adaptation. Three experimental studies are presented, illustrating the ability of these AI methodologies to produce state-of-the-art performance in the whole food supply chain. In particular, these concern: (i) predicting plant growth and tomato yield in greenhouses, thus matching food production to market needs and reducing food waste or food unavailability; (ii) optimizing energy consumption across large networks of food retail refrigeration systems, through optimal selection of systems that can be shut-down and through prediction of the respective food de-freezing times, during peaks of power demand load; (iii) optical recognition and verification of food consumption expiry date in automatic inspection of retail packaged food, thus ensuring safety of food and people's health.</t>
  </si>
  <si>
    <t>[Kollia, Ilianna; Kollias, Stefanos] Natl Tech Univ Athens, Sch Elect &amp; Comp Engn, Athens 15780, Greece; [Stevenson, Jack; Kollias, Stefanos] Univ Lincoln, Sch Comp Sci, Lincoln LN6 7TS, England</t>
  </si>
  <si>
    <t>National Technical University of Athens; University of Lincoln</t>
  </si>
  <si>
    <t>Kollias, S (corresponding author), Natl Tech Univ Athens, Sch Elect &amp; Comp Engn, Athens 15780, Greece.;Kollias, S (corresponding author), Univ Lincoln, Sch Comp Sci, Lincoln LN6 7TS, England.</t>
  </si>
  <si>
    <t>ilianna2@mail.ntua.gr; jastevenson@lincoln.ac.uk; skollias@lincoln.ac.uk</t>
  </si>
  <si>
    <t>An, Hongda/GNH-4090-2022; Kollias, Stefanos/ACY-7285-2022; Kollia, Ilianna/ISA-6060-2023</t>
  </si>
  <si>
    <t>Kollia, Ilianna/0000-0002-4994-1106; Kollias, Stefanos/0000-0003-2899-0598</t>
  </si>
  <si>
    <t>10.3390/electronics10111223</t>
  </si>
  <si>
    <t>SP4QB</t>
  </si>
  <si>
    <t>WOS:000659654400001</t>
  </si>
  <si>
    <t>Mehdi, N; Starly, B</t>
  </si>
  <si>
    <t>Mehdi, Nabeel; Starly, Binil</t>
  </si>
  <si>
    <t>Witness Box Protocol: Automatic machine identification and authentication in industry 4.0</t>
  </si>
  <si>
    <t>Cybersecurity; Smart manufacturing; Manufacturing fingerprinting; Cyber physical systems; Digital supply Chain traceability</t>
  </si>
  <si>
    <t>SIGNATURE; SECURITY</t>
  </si>
  <si>
    <t>The current wave of Industrial Internet of Things (IIoT) is reshaping the manufacturing sector with system interoperability, remote real-time process monitoring and advanced analytics. As digitally enabled manufacturing machines continue to grow exponentially, it becomes imperative to uniquely and securely identify them in the cyber-physical world, particularly in defense, biomedical, energy and aerospace manufacturing. Research about threats originating from internal adversaries' i.e the machine/organization owner within a tiered digitally connected supply chain is scarce. This paper introduces a machine fingerprinting scheme named as the 'Witness Box Protocol' (WBP) that exploits the physical properties of manufacturing machines (legacy or smart) and their surroundings to create a unique biometric like fingerprint. WBP provides both machine registration and authentication on a digital network through a low cost, non-invasive approach. The fingerprint is generated by a Locality Sensitive Hashing (LSH) technique that accommodates small variations in physical signature data and can corroborate data provenance from machines by verifying machine identity through authentication. Additionally, this fingerprint hash simplifies asset management within a large enterprise or distributed network comprising of thousands of machines in a Manufacturing-as-a-Service (MaaS) paradigm. In this research, fingerprints were randomly generated from the statistical features of signals from 3D printers and CNC machine in a production-like lab environment. Using k-means clustering and Jaccard similarity index, these fingerprints are shown to identify the source equipment with 95 % accuracy. (c) 2020 Elsevier B.V. All rights reserved.</t>
  </si>
  <si>
    <t>[Mehdi, Nabeel; Starly, Binil] NC State Univ, Edward P Fitts Dept Ind &amp; Syst Engn, 111 Lampe Dr, Raleigh, NC 27607 USA</t>
  </si>
  <si>
    <t>Starly, B (corresponding author), NC State Univ, Edward P Fitts Dept Ind &amp; Syst Engn, 111 Lampe Dr, Raleigh, NC 27607 USA.</t>
  </si>
  <si>
    <t>bstarly@ncsu.edu</t>
  </si>
  <si>
    <t>Starly, Binil/0000-0002-8527-1269</t>
  </si>
  <si>
    <t>National Science Foundation [1764025]; Direct For Computer &amp; Info Scie &amp; Enginr; Division Of Computer and Network Systems [1764025] Funding Source: National Science Foundation</t>
  </si>
  <si>
    <t>National Science Foundation(National Science Foundation (NSF)); Direct For Computer &amp; Info Scie &amp; Enginr; Division Of Computer and Network Systems(National Science Foundation (NSF)NSF - Directorate for Computer &amp; Information Science &amp; Engineering (CISE))</t>
  </si>
  <si>
    <t>This work was in part supported by National Science Foundation grant #1764025. Special thanks to Colin Nickels &amp; Makerspace team at D. H. Hill Jr. Library for providing access to the test equipment.</t>
  </si>
  <si>
    <t>10.1016/j.compind.2020.103340</t>
  </si>
  <si>
    <t>TB0EB</t>
  </si>
  <si>
    <t>WOS:000667615300027</t>
  </si>
  <si>
    <t>Martin, K; Chitalia, P; Pugalenthi, M; Rau, KR; Maity, S; Kumar, R; Saksena, R; Hebbar, R; Krishnan, M; Hegde, G; Kesanapally, C; Bimbraw, TK; Subramanian, S</t>
  </si>
  <si>
    <t>Martin, Karl; Chitalia, Parag; Pugalenthi, Murugan; Rau, K. Raghava; Maity, Sudeep; Kumar, Rahul; Saksena, Rohit; Hebbar, Randhir; Krishnan, Mahesh; Hegde, Ganesh; Kesanapally, Chandrasekhar; Bimbraw, Tejinder Kaur; Subramanian, Sumathi</t>
  </si>
  <si>
    <t>Dell's Channel Transformation: Leveraging Operations Research to Unleash Potential Across the Value Chain</t>
  </si>
  <si>
    <t>INTERFACES</t>
  </si>
  <si>
    <t>channel; demand clustering; forecasting; multivariate testing; A/B testing; factor analysis; text mining; inventory modeling; ARIMAX; CPFR</t>
  </si>
  <si>
    <t>Dell pioneered the direct sales model by offering its customers technology solutions through full-system configurability. In 2007, Dell launched several strategic initiatives to drive channel transformation by offering fixed configurations through online channels, retailers, distributors, and other channel partners. Dell's center of excellence (CoE) in analytics developed solutions that apply operations research (OR) to address key challenges across the value chain and enable profitable growth in the new channels. These solutions include (1) a configuration optimizer to reduce product complexity by identifying fixed hardware configurations (FHCs), which Dell builds and stocks, (2) an online conversion rate accelerator to improve the online customer purchase experience, leading to increased revenues and customer satisfaction, and (3) a retail margin maximizer to improve forecasts, mitigate inventory risk, and recommend promotions to increase margins. Since 2007, OR has helped Dell solve complex business problems and has facilitated its growth in the FHC business to $15 billion. Since 2010, these OR solutions have delivered a margin impact of more than $ 140 million by reducing markdown expenditures, improving online conversion rates, increasing ocean shipments, and enhancing customer satisfaction.</t>
  </si>
  <si>
    <t>[Martin, Karl] Dell Comp, Austin, TX 78759 USA; [Chitalia, Parag; Pugalenthi, Murugan; Rau, K. Raghava; Maity, Sudeep; Kumar, Rahul; Saksena, Rohit; Hebbar, Randhir; Krishnan, Mahesh; Hegde, Ganesh; Kesanapally, Chandrasekhar; Bimbraw, Tejinder Kaur; Subramanian, Sumathi] Dell Int Serv, Bangalore 560071, Karnataka, India</t>
  </si>
  <si>
    <t>Martin, K (corresponding author), Dell Comp, Austin, TX 78759 USA.</t>
  </si>
  <si>
    <t>Karl_martin@dell.com; parag_chitalia@dell.com; murugan_pugalenthi@dell.com; dr_k_raghava_rau@dellteam.com; sudeep_maity@dell.com; rahul_k_kumar@dell.com; Rohit_saksena@dell.com; randhir_hebbar@dell.com; mahesh_krishnan@dell.com; ganesh_hegde@dell.com; chandrasekhar_kesana@dell.com; tejinder_kaur_bimbra@dell.com; sumathi_subramanian@dell.com</t>
  </si>
  <si>
    <t>INFORMS</t>
  </si>
  <si>
    <t>CATONSVILLE</t>
  </si>
  <si>
    <t>5521 RESEARCH PARK DR, SUITE 200, CATONSVILLE, MD 21228 USA</t>
  </si>
  <si>
    <t>0092-2102</t>
  </si>
  <si>
    <t>1526-551X</t>
  </si>
  <si>
    <t>Interfaces</t>
  </si>
  <si>
    <t>10.1287/inte.2013.0729</t>
  </si>
  <si>
    <t>AA4MZ</t>
  </si>
  <si>
    <t>WOS:000331071300006</t>
  </si>
  <si>
    <t>Canizes, B; Costa, J; Bairrao, D; Vale, Z</t>
  </si>
  <si>
    <t>Canizes, Bruno; Costa, Joao; Bairrao, Diego; Vale, Zita</t>
  </si>
  <si>
    <t>Local Renewable Energy Communities: Classification and Sizing</t>
  </si>
  <si>
    <t>classification and sizing; clustering algorithms; clustering evaluation metrics; decentralized renewable energy generation; renewable energy communities</t>
  </si>
  <si>
    <t>ANCILLARY SERVICES; DEMAND RESPONSE</t>
  </si>
  <si>
    <t>The transition from the current energy architecture to a new model is evident and inevitable. The coming future promises innovative and increasingly rigorous projects and challenges for everyone involved in this value chain. Technological developments have allowed the emergence of new concepts, such as renewable energy communities, decentralized renewable energy production, and even energy storage. These factors have incited consumers to play a more active role in the electricity sector and contribute considerably to the achievement of environmental objectives. With the introduction of renewable energy communities, the need to develop new management and optimization tools, mainly in generation and load management, arises. Thus, this paper proposes a platform capable of clustering consumers and prosumers according to their energy and geographical characteristics to create renewable energy communities. Thus, this paper proposes a platform capable of clustering consumers and prosumers according to their energy and geographical characteristics to create renewable energy communities. Moreover, through this platform, the identification (homogeneous energy communities, mixed energy communities, and self-sufficient energy communities) and the size of each community are also obtained. Three algorithms are considered to achieve this purpose: K-means, density-based spatial clustering of applications with noise, and linkage algorithms (single-link, complete-link, average-link, and Wards' method). With this work, it is possible to verify each algorithm's behavior and effectiveness in clustering the players into communities. A total of 233 members from 9 cities in the northern region of Portugal (Porto District) were considered to demonstrate the application of the proposed platform. The results demonstrate that the linkage algorithms presented the best classification performance, achieving 0.631 by complete-ink in the Silhouette score, 2124.174 by Ward's method in the Calinski-Harabasz index, and 0.329 by single-link on the Davies-Bouldin index. Additionally, the developed platform demonstrated adequacy, versatility, and robustness concerning the classification and sizing of renewable energy communities.</t>
  </si>
  <si>
    <t>[Canizes, Bruno; Vale, Zita] Polytech Porto, LASI Intelligent Syst Associate Lab, GECAD Res Grp Intelligent Engn &amp; Comp Adv Innovat, R Dr Antonio Bernardino de Almeida 431, P-4200072 Porto, Portugal; [Costa, Joao; Bairrao, Diego] Polytech Porto, Sch Engn, R Dr Antonio Bernardino de Almeida 431, P-4200072 Porto, Portugal</t>
  </si>
  <si>
    <t>Instituto Politecnico do Porto; Instituto Politecnico do Porto</t>
  </si>
  <si>
    <t>Canizes, B (corresponding author), Polytech Porto, LASI Intelligent Syst Associate Lab, GECAD Res Grp Intelligent Engn &amp; Comp Adv Innovat, R Dr Antonio Bernardino de Almeida 431, P-4200072 Porto, Portugal.</t>
  </si>
  <si>
    <t>bmc@isep.ipp.pt</t>
  </si>
  <si>
    <t>Bairrão, Diego Ricardo/IYJ-1949-2023; Vale, Zita/N-1643-2019; Canizes, Bruno/I-3492-2017</t>
  </si>
  <si>
    <t>Bairrão, Diego Ricardo/0000-0001-7550-0630; Vale, Zita/0000-0002-4560-9544; Canizes, Bruno/0000-0002-9808-5537</t>
  </si>
  <si>
    <t>NGS Innovation Pact-New Generation Storage [UIDB/00760/2020]; NGS consortium; NextGeneration EU, through the Incentive System Agendas for Business Innovation, within the scope of the Recovery and Resilience Plan (PRR)</t>
  </si>
  <si>
    <t>NGS Innovation Pact-New Generation Storage; NGS consortium; NextGeneration EU, through the Incentive System Agendas for Business Innovation, within the scope of the Recovery and Resilience Plan (PRR)</t>
  </si>
  <si>
    <t>The research has received funding from NGS Innovation Pact-New Generation Storage (C644936001-00000045), by the NGS consortium, co-financed by NextGeneration EU, through the Incentive System Agendas for Business Innovation, within the scope of the Recovery and Resilience Plan (PRR).</t>
  </si>
  <si>
    <t>10.3390/en16052389</t>
  </si>
  <si>
    <t>9U9FD</t>
  </si>
  <si>
    <t>WOS:000948008300001</t>
  </si>
  <si>
    <t>Diaz, R; Phan, C; Golenbock, D; Sanford, B</t>
  </si>
  <si>
    <t>Diaz, Rafael; Phan, Canh; Golenbock, Daniel; Sanford, Benjamin</t>
  </si>
  <si>
    <t>A prescriptive framework to support express delivery supply chain expansions in highly urbanized environments</t>
  </si>
  <si>
    <t>Last-mile; Multi-period hub assignment optimization; Spherical-clustering algorithms; Simulation</t>
  </si>
  <si>
    <t>HUB LOCATION PROBLEM; BIG DATA ANALYTICS; NETWORK DESIGN; ROBUST OPTIMIZATION; TRANSPORTATION NETWORKS; STOCHASTIC OPTIMIZATION; FACILITY LOCATION; LOGISTICS; INFORMATION; MANAGEMENT</t>
  </si>
  <si>
    <t>Purpose - With the proliferation of e-commerce companies, express delivery companies must increasingly maintain the efficient expansion of their networks in accordance with growing demands and lower margins in a highly uncertain environment. This paper provides a framework for leveraging demand data to determine sustainable network expansion to fulfill the increasing needs of startups in the express delivery industry. Design/methodology/approach - While the literature points out several hub assignment methods, the authors propose an alternative spherical-clustering algorithm for densely urbanized population environments to strengthen the accuracy and robustness of current models. The authors complement this approach with straightforward mathematical optimization and simulation models to generate and test designs that effectively align environmentally sustainable solutions. Findings - To examine the effects of different degrees of demand variability, the authors analyzed this approach's performance by solving a real-world case study from an express delivery company's primary market. The authors structured a four-stage implementation framework to facilitate practitioners applying the proposed model. Originality/value - Previous investigations explored driving distances on a spherical surface for facility location. The work considers densely urbanized population and traffic data to simultaneously capture demand patterns and other road dynamics. The inclusion of different population densities and sustainability data in current models is lacking; this paper bridges this gap by posing a novel framework that increases the accuracy of spherical-clustering methods.</t>
  </si>
  <si>
    <t>[Diaz, Rafael] Old Dominion Univ, VMASC, Norfolk, VA 23508 USA; [Phan, Canh] Viec Co Corp, Ho Chi Minh, Vietnam; [Golenbock, Daniel] Clariant Corp, Charlotte, NC USA; [Sanford, Benjamin] Yak Mat, E Columbia, MS USA</t>
  </si>
  <si>
    <t>Old Dominion University; Clariant</t>
  </si>
  <si>
    <t>Diaz, R (corresponding author), Old Dominion Univ, VMASC, Norfolk, VA 23508 USA.</t>
  </si>
  <si>
    <t>rdiaz@odu.edu; canh.phanxuan@gmail.com; daniel.golenbock@gmail.com; neilsanfordmail@yahoo.com</t>
  </si>
  <si>
    <t>Golenbock, Daniel/0000-0002-3084-1201; Sanford, Benjamin/0000-0002-0742-1970; Diaz, Rafael/0000-0002-8637-5967</t>
  </si>
  <si>
    <t>ODU-VMASC Internal Research and Development Project [300770-010]</t>
  </si>
  <si>
    <t>ODU-VMASC Internal Research and Development Project</t>
  </si>
  <si>
    <t>The authors would like to thank the subject matter experts and anonymous reviewers for their insightful guidance and suggestions. This research was supported in part by ODU-VMASC Internal Research and Development Project 300770-010: Exploring Additional Applications of Supply Chain Management, AI, and Cybersecurity.</t>
  </si>
  <si>
    <t>10.1108/IMDS-02-2022-0076</t>
  </si>
  <si>
    <t>2G2FJ</t>
  </si>
  <si>
    <t>WOS:000804714400001</t>
  </si>
  <si>
    <t>Tsekeris, T</t>
  </si>
  <si>
    <t>Tsekeris, Theodore</t>
  </si>
  <si>
    <t>Global value chains: Building blocks and network dynamics</t>
  </si>
  <si>
    <t>International trade; Network analysis; Centrality; Globalization; Clusters; Vulnerability</t>
  </si>
  <si>
    <t>KEY SECTORS; TRADE</t>
  </si>
  <si>
    <t>The paper employs measures and tools from complex network analysis to enhance the understanding and interpretation of structural characteristics pertaining to the Global Value Chains (GVCs) during the period 1995-2011. The analysis involves the country, sector and country-sector value chain networks to identify main drivers of structural change. The results indicate significant intertemporal changes, mirroring the increased globalization in terms of network size, strength and connectivity. They also demonstrate higher clustering and increased concentration of the most influential countries and country-sectors relative to all others in the GVC network, with the geographical dimension to prevail over the sectoral dimension in the formation of value chains. The regionalization and less hierarchical organization drive country-sector production sharing, while the sectoral value chain network has become more integrated and more competitive over time. The findings suggest that the impact of country-sector policies and/or shocks may vary with the own group and network-wide influence of each country, take place in multiple geographical scales, as GVCs have a block structure, and involve time dynamics. (C) 2017 Elsevier B.V. All rights reserved.</t>
  </si>
  <si>
    <t>[Tsekeris, Theodore] Ctr Planning &amp; Econ Res KEPE, Athens 10672, Greece</t>
  </si>
  <si>
    <t>Tsekeris, T (corresponding author), Ctr Planning &amp; Econ Res KEPE, Athens 10672, Greece.</t>
  </si>
  <si>
    <t>tsek@kepe.gr</t>
  </si>
  <si>
    <t>Tsekeris, Theodore/H-5838-2019</t>
  </si>
  <si>
    <t>10.1016/j.physa.2017.06.019</t>
  </si>
  <si>
    <t>FF8QX</t>
  </si>
  <si>
    <t>WOS:000409284000018</t>
  </si>
  <si>
    <t>Gören, S; Baccouche, A; Pierreval, H</t>
  </si>
  <si>
    <t>Goren, Selcuk; Baccouche, Ahlem; Pierreval, Henri</t>
  </si>
  <si>
    <t>A Framework to Incorporate Decision-Maker Preferences Into Simulation Optimization to Support Collaborative Design</t>
  </si>
  <si>
    <t>IEEE TRANSACTIONS ON SYSTEMS MAN CYBERNETICS-SYSTEMS</t>
  </si>
  <si>
    <t>Analytic hierarchy process; collaborative design; decision-maker preferences; multimodal optimization; preference aggregation; simulation optimization; supply chain</t>
  </si>
  <si>
    <t>ANALYTIC HIERARCHY PROCESS; SYSTEMS</t>
  </si>
  <si>
    <t>In this paper, we are concerned with the use of simulation optimization to handle collaborative design problems where more than one decision-maker is involved. We assume that the designers cannot enumerate all their considerations in closed-form, precise mathematical expressions but they can examine the merits of solutions with respect to their preferences and can compare candidate solutions with one another. We propose a three-stage framework to take the decision-makers' such considerations into account. The first step is to obtain a diverse set of designs that can all be considered efficient in terms of a performance metric ( i.e.,the objective function values of the simulation optimization model). These solutions are then passed on to the decision-makers to be analyzed in terms of their preferences that could not have been previously considered. Finally, the most appropriate solution is chosen. We address the problem encountered in the first step as a multimodal optimization problem. We address the second and the third subproblems as a preference aggregation problem in the social choice theory. We also illustrate the effectiveness of the proposed approach through a supply chain design problem inspired from the literature. We use the crowding clustering genetic algorithm as an example to demonstrate the first step. We use a multiplicative variant of the popular analytic hierarchy process to illustrate how the second and the third steps can be handled.</t>
  </si>
  <si>
    <t>[Goren, Selcuk] Abdullah Gul Univ, Dept Ind Engn, Sch Engn, TR-38060 Kayseri, Turkey; [Baccouche, Ahlem] Univ Gafsa, Dept Informat &amp; Telecommun, Higher Inst Appl Sci &amp; Technol Gafsa, Gafsa 2112, Tunisia; [Pierreval, Henri] SIGMA Clermont, CNRS, UMR 6158, LIMOS, F-63178 Aubiere, France</t>
  </si>
  <si>
    <t>Abdullah Gul University; Universite de Gafsa; Centre National de la Recherche Scientifique (CNRS); Universite Clermont Auvergne (UCA)</t>
  </si>
  <si>
    <t>Gören, S (corresponding author), Abdullah Gul Univ, Dept Ind Engn, Sch Engn, TR-38060 Kayseri, Turkey.</t>
  </si>
  <si>
    <t>selcuk.goren@agu.edu.tr; baccouche.ahlem@yahoo.fr; henri.pierreval@sigma-clermont.fr</t>
  </si>
  <si>
    <t>Gören, Selçuk/ABC-1985-2020</t>
  </si>
  <si>
    <t>Gören, Selçuk/0000-0002-5320-4213</t>
  </si>
  <si>
    <t>2168-2216</t>
  </si>
  <si>
    <t>2168-2232</t>
  </si>
  <si>
    <t>IEEE T SYST MAN CY-S</t>
  </si>
  <si>
    <t>IEEE Trans. Syst. Man Cybern. -Syst.</t>
  </si>
  <si>
    <t>10.1109/TSMC.2016.2531643</t>
  </si>
  <si>
    <t>Automation &amp; Control Systems; Computer Science, Cybernetics</t>
  </si>
  <si>
    <t>EN8DM</t>
  </si>
  <si>
    <t>WOS:000396231100003</t>
  </si>
  <si>
    <t>Moudio, MPE; Carpenter, A; Bolin, R; Reese, SB; Shehabi, A; Rao, P</t>
  </si>
  <si>
    <t>Moudio, Marie Pelagie Elimbi; Carpenter, Alberta; Bolin, Richard; Reese, Samantha Bench; Shehabi, Arman; Rao, Prakash</t>
  </si>
  <si>
    <t>Characterizing manufacturing sector disruptions with targeted mitigation strategies</t>
  </si>
  <si>
    <t>ENVIRONMENTAL RESEARCH: INFRASTRUCTURE AND SUSTAINABILITY</t>
  </si>
  <si>
    <t>resilient systems; risk management; manufacturing; disruption mitigation</t>
  </si>
  <si>
    <t>SUPPLY CHAIN MANAGEMENT; RISK-MANAGEMENT; RESILIENCE; SUSTAINABILITY; PERFORMANCE; DESIGN; MODEL; OPERATIONS; FRAMEWORK; NETWORKS</t>
  </si>
  <si>
    <t>It has become clear in recent decades that manufacturing supply chains are increasingly vulnerable to disruptions of varying geographical scales and intensities. These disruptions-whether intentional, accidental, or resulting from natural disasters-cause failures and capacity reductions to manufacturing infrastructure, with lasting effects that can cascade throughout the manufacturing network. An overall lack of understanding of solutions to mitigate disturbances has rendered the challenge of reducing manufacturing supply chain vulnerability even more difficult. Additionally, the variability of disruptions and their impacts complicates policy maker and stakeholder efforts to plan for specific disruptive scenarios. It is necessary to comprehend different kinds of disturbances and group them based on stakeholder-provided metrics to support planning processes and modeling efforts that promote adaptable, resilient manufacturing supply chains. This paper reviews existing methods for risk management in manufacturing supply chains and the economic and environmental impacts of disruptions. In addition, we develop a framework using agglomerative hierarchical clustering to classify disruptions using U.S. manufacturing network data between 2000 and 2021 and characteristic metrics defined in the literature. Our review identifies five groups of disruptions and discusses both general mitigation methods and strategies targeting each identified group. Further, we highlight gaps in the literature related to estimating and including environmental costs in disaster preparedness and mitigation planning. We also discuss the lack of easily available metrics to quantify environmental impacts of disruptions and how such metrics could be included into our methodology.</t>
  </si>
  <si>
    <t>[Moudio, Marie Pelagie Elimbi; Shehabi, Arman; Rao, Prakash] Lawrence Berkeley Natl Lab, Berkeley, CA 94720 USA; [Carpenter, Alberta; Bolin, Richard; Reese, Samantha Bench] Natl Renewable Energy Lab, Golden, CO 80401 USA; [Moudio, Marie Pelagie Elimbi] Univ Calif Berkeley, Ind Engn &amp; Operat Res, Berkeley, CA 94720 USA</t>
  </si>
  <si>
    <t>United States Department of Energy (DOE); Lawrence Berkeley National Laboratory; United States Department of Energy (DOE); National Renewable Energy Laboratory - USA; University of California System; University of California Berkeley</t>
  </si>
  <si>
    <t>Rao, P (corresponding author), Lawrence Berkeley Natl Lab, Berkeley, CA 94720 USA.</t>
  </si>
  <si>
    <t>prao@lbl.gov</t>
  </si>
  <si>
    <t>Shehabi, Arman/0000-0002-1735-6973</t>
  </si>
  <si>
    <t>Ernest Orlando Lawrence Berkeley National Laboratory is an equal opportunity employer.</t>
  </si>
  <si>
    <t>This work was co-authored by Lawrence Berkeley National Laboratory under Contract No. DE-AC02-05CH11231 and by the National Renewable Energy Laboratory, operated by Alliance for Sustainable Energy, LLC, for the U.S. Department of Energy (DOE) under Contract No. DE-AC36-08GO28308. Funding provided by the Office of Energy Efficiency and Renewable Energy (EERE) Advanced Manufacturing Office (AMO). The views expressed in the article do not necessarily represent the views of the DOE or the U.S. Government. The U.S. Government retains and the publisher, by accepting the article for publication, acknowledges that the U.S. Government retains a nonexclusive, paid-up, irrevocable, worldwide license to publish or reproduce the published form of this work, or allow others to do so, for U.S. Government purposes.r This document was prepared as an account of work sponsored by the U.S. Government. While this document is believed to contain correct information, neither the U.S. Government nor any agency thereof, nor The Regents of the University of California, nor any of their employees, makes any warranty, express or implied, or assumes any legal responsibility for the accuracy, completeness, or usefulness of any information, apparatus, product, or process disclosed, or represents that its use would not infringe privately owned rights. Reference herein to any specific commercial product, process, or service by its trade name, trademark, manufacturer, or otherwise, does not necessarily constitute or imply its endorsement, recommendation, or favoring by the U.S. Government or any agency thereof, or The Regents of the University of California. The views and opinions of the authors expressed herein do not necessarily state or reflect those of the U.S. Government or any agency thereof, or The Regents of the University of California.r Ernest Orlando Lawrence Berkeley National Laboratory is an equal opportunity employer.</t>
  </si>
  <si>
    <t>IOP Publishing Ltd</t>
  </si>
  <si>
    <t>2634-4505</t>
  </si>
  <si>
    <t>ENVIRON RES-INFRASTR</t>
  </si>
  <si>
    <t>Environ. Res.-Infrastruct. Sustain.</t>
  </si>
  <si>
    <t>10.1088/2634-4505/ac9c8c</t>
  </si>
  <si>
    <t>Q8OI2</t>
  </si>
  <si>
    <t>WOS:001060056000001</t>
  </si>
  <si>
    <t>Bhatnagar, A; Vrat, P; Shankar, R</t>
  </si>
  <si>
    <t>Bhatnagar, Aman; Vrat, Prem; Shankar, Ravi</t>
  </si>
  <si>
    <t>Multi-criteria clustering analytics for agro-based perishables in cold-chain</t>
  </si>
  <si>
    <t>Group technology; Cold-chain management; Cold-storage; Compatibility matrix; Multi-criteria clustering for perishables; Storage parameters</t>
  </si>
  <si>
    <t>OPERATIONS MANAGEMENT; SUPPLY CHAIN; AGRICULTURE; LOGISTICS; SELECTION; DEMAND; MODEL</t>
  </si>
  <si>
    <t>Purpose The purpose of this paper is to determine compatibility groups of different fruits and vegetables that can be stored and transported together based upon their requirements for temperature, relative humidity, odour and ethylene production. Pre-cooling which is necessary to prepare the commodity for subsequent shipping and safe storage is also discussed. Design/methodology/approach The methodology used in this journal is an attempt to form clusters/groups of storing together 43 identified fruits and vegetables based on four important parameters, namely, temperature, relative humidity, odour and ethylene production. An agglomerative hierarchical clustering algorithm is used to build a cluster hierarchy that is commonly displayed as a tree diagram called dendrogram. The same is further analyzed using K-means clustering to find clusters of comparable spatial extent. The results obtained from the analytics are compared with the available data of grouping fruits and vegetables. Findings This study investigates the usefulness and efficacy of the proposed clustering approach for storage and transportation of different fruits and vegetables that will eventually save huge investment made in terms of developing infrastructure components and energy consumption. This will enable the investors to adopt it for using the space more effectively and also reducing food wastage. Social implications This approach shall be useful for decision making by farmers, Farmer Producer Organization, cold-storage owners, practicing managers, policy makers and researchers in the areas of cold-chain management and will provide an opportunity to use the available space in the cold storage for storing different fruits and vegetables, thereby facilitating optimum use of infrastructure and resources. This will enable the investors to utilize the space more effectively and also reduce food wastage. It shall also facilitate organizations to manage their logistic activities to gain competitive advantage. Originality/value The proposed model would help decision makers to resolve the issues related to the selection of storing different perishable commodities together. From the secondary research, not much research papers have been found where such a multi-criteria clustering approach has been applied for the storage of fruits and vegetables incorporating four important parameters relevant for storage and transportation.</t>
  </si>
  <si>
    <t>[Bhatnagar, Aman; Shankar, Ravi] Indian Inst Technol Delhi, Dept Management Studies, New Delhi, India; [Vrat, Prem] NorthCap Univ, Sch Management, Gurugram, India</t>
  </si>
  <si>
    <t>Indian Institute of Technology System (IIT System); Indian Institute of Technology (IIT) - Delhi; The Northcap University</t>
  </si>
  <si>
    <t>Bhatnagar, A (corresponding author), Indian Inst Technol Delhi, Dept Management Studies, New Delhi, India.</t>
  </si>
  <si>
    <t>bhatnagariit@gmail.com</t>
  </si>
  <si>
    <t>10.1108/JAMR-10-2018-0093</t>
  </si>
  <si>
    <t>JC3CC</t>
  </si>
  <si>
    <t>WOS:000489153500008</t>
  </si>
  <si>
    <t>Mokhtarinejad, M; Ahmadi, A; Karimi, B; Rahmati, SHA</t>
  </si>
  <si>
    <t>Mokhtarinejad, Maede; Ahmadi, Abbas; Karimi, Behrooz; Rahmati, Seyed Habib A.</t>
  </si>
  <si>
    <t>A novel learning based approach for a new integrated location-routing and scheduling problem within cross-docking considering direct shipment</t>
  </si>
  <si>
    <t>Cross-docking; Vehicle routing scheduling; Bi-clustering; Genetic algorithm</t>
  </si>
  <si>
    <t>HYBRID; ALGORITHMS</t>
  </si>
  <si>
    <t>One of the most important problem in supply chain management is the design of distribution systems which can reduce the transportation costs and meet the customer's demand at the minimum time. In recent years, cross-docking (CD) centers have been considered as the place that reduces the transportation and inventory costs. Meanwhile, neglecting the optimum location of the centers and the optimum routing and scheduling of the vehicles mislead the optimization process to local optima. Accordingly, in this research, the integrated vehicle routing and scheduling problem in cross-docking systems is modeled. In this new model, the direct shipment from the manufacturers to the customers is also included. Besides, the vehicles are assigned to the cross-dock doors with lower cost. Next, to solve the model, a novel machine-learning-based heuristic method (MLBM) is developed, in which the customers, manufacturers and locations of the cross-docking centers are grouped through a bi-clustering approach. In fact, the MLBM is a filter based learning method that has three stages including customer clustering through a modified bi-clustering method, sub-problems' modeling and solving the whole model. In addition, for solving the scheduling problem of vehicles in cross-docking system, this paper proposes exact solution as well as genetic algorithm (GA). GA is also adapted for large-scale problems in which exact methods are not efficient. Furthermore, the parameters of the proposed GA are tuned via the Taguchi method. Finally, for validating the proposed model, several benchmark problems from literature are selected and modified according to new introduced assumptions in the base models. Different statistical analysis methods are implemented to assess the performance of the proposed algorithms. (C) 2015 Elsevier B.V. All rights reserved.</t>
  </si>
  <si>
    <t>[Mokhtarinejad, Maede; Ahmadi, Abbas; Karimi, Behrooz; Rahmati, Seyed Habib A.] Amirkabir Univ Technol, Dept Ind Engn, Tehran, Iran</t>
  </si>
  <si>
    <t>Ahmadi, A (corresponding author), Amirkabir Univ Technol, Dept Ind Engn, Tehran, Iran.</t>
  </si>
  <si>
    <t>abbas.ahmadi@aut.ac.ir</t>
  </si>
  <si>
    <t>Karimi, Behrooz/ABF-8000-2021</t>
  </si>
  <si>
    <t>Ahmadi, Abbas/0000-0001-9884-0830; Karimi, Behrooz/0000-0003-3556-8643</t>
  </si>
  <si>
    <t>10.1016/j.asoc.2015.04.062</t>
  </si>
  <si>
    <t>CM1VV</t>
  </si>
  <si>
    <t>WOS:000357469500022</t>
  </si>
  <si>
    <t>He, K</t>
  </si>
  <si>
    <t>He, Kun</t>
  </si>
  <si>
    <t>AP clustering algorithm for analysis of the impact of cold chain distribution center location on logistics costs</t>
  </si>
  <si>
    <t>JOURNAL OF INDUSTRIAL AND PRODUCTION ENGINEERING</t>
  </si>
  <si>
    <t>AP clustering algorithm; cost; distribution center; cold chain logistics; site selection</t>
  </si>
  <si>
    <t>The distribution center is a transit place for goods in the logistics network, used to achieve the distribution of goods. Compared with ordinary logistics, cold chain logistics has higher requirements for timeliness due to the low temperature or ultra-low temperature requirements of transport objects. Aiming at the problems of high cost and low efficiency of cold chain distribution center location, a new location model of cold chain distribution center is developed. The Affinity Propagation (AP) clustering algorithm is used to simplify location selection. And combine the binary semantics with entropy to reduce the subjectivity of the binary semantics in the process of experiment. The results show that the location selection using the research method is optimal, and the problem that multiple secondary distribution centers are the same retailer will not appear. The research method is more objective and scientific for the location of cold chain distribution centers.Compared with ordinary logistics, cold chain logistics has higher requirements for timeliness. Distribution center is the transfer place of goods in the logistics network, which plays an important role in the logistics supply chain system. A new location model of cold chain distribution center is developed. Using Affinity Propagation (AP) clustering algorithm to simplify location selection and combining binary semantics with entropy method can further improve the objectivity of influencing factor index weights. The results show that the problem of multiple secondary distribution centers providing logistics services for the same retailer will not occur in the research method, and the location selection results are optimal. And the logistics cost can be reduced by 0.042%. This study improves the distribution efficiency, enhances the customer experience of cold chain logistics distribution, and provides certain technology and reference value for the development of cold chain logistics distribution.</t>
  </si>
  <si>
    <t>[He, Kun] Chuzhou Polytech, Business Sch, Chuzhou 239000, Peoples R China</t>
  </si>
  <si>
    <t>Chuzhou Polytechnic</t>
  </si>
  <si>
    <t>He, K (corresponding author), Chuzhou Polytech, Business Sch, Chuzhou 239000, Peoples R China.</t>
  </si>
  <si>
    <t>hekun.he@yandex.com</t>
  </si>
  <si>
    <t>2168-1015</t>
  </si>
  <si>
    <t>2168-1023</t>
  </si>
  <si>
    <t>J IND PROD ENG</t>
  </si>
  <si>
    <t>J. IND. PROD. ENG.</t>
  </si>
  <si>
    <t>2023 SEP 20</t>
  </si>
  <si>
    <t>10.1080/21681015.2023.2257211</t>
  </si>
  <si>
    <t>SEP 2023</t>
  </si>
  <si>
    <t>S3VL5</t>
  </si>
  <si>
    <t>WOS:001070479400001</t>
  </si>
  <si>
    <t>Jiang, LL; Zhou, BC; Wang, XQ; Bi, YQ; Guo, WF; Wang, JH; Yao, RY; Li, MH</t>
  </si>
  <si>
    <t>Jiang, Linlin; Zhou, Baochang; Wang, Xiaoqin; Bi, Yaqiong; Guo, Wenfang; Wang, Jianhua; Yao, Ruyu; Li, Minhui</t>
  </si>
  <si>
    <t>The Quality Monitoring of Cistanches Herba (Cistanche deserticola Ma): A Value Chain Perspective</t>
  </si>
  <si>
    <t>FRONTIERS IN PHARMACOLOGY</t>
  </si>
  <si>
    <t>cistanches herba; quality control; value chain; chemical analysis; specifications and grades; DNA barcoding</t>
  </si>
  <si>
    <t>IDENTIFICATION</t>
  </si>
  <si>
    <t>Cistanche deserticola Ma was used as a medicine food homology, which was mainly produced in the Alxa region of northwest China. In recent years, it has been widely used in various food items. The increasing demand for Cistanches Herba has led to problems such as overexploitation and quality deterioration. The quality and safety of herbal medicines are critical and have been shown to be affected by the value chain (VC). Using the VC framework, the study is embedded in a larger study aiming to investigate the effects of different VCs types on the quality and stakeholders of Cistanches Herba. In this study, 90 Cistanches Herba samples were collected during fieldwork. An additional 40 samples were obtained from the herbal markets and medicine purchasing stations. Semi-structured interviews and key informant interviews were performed to collect data on stakeholders in major production areas. These samples were analyzed using high performance liquid chromatography (HPLC) coupled with the k-means clustering method; a targeted quality assessment strategy based on chemical analysis was adopted to understand the quality of Cistanches Herba. Based on market research, the collected samples were divided into different grades through k-means clustering analysis. Moreover, quality differences of Cistanches Herba in Alxa region were explored through DNA barcoding and chemical analysis. Accordingly, 10 different types of VCs were determined in the production of Cistanches Herba. The results show that there is a close relationship between the quality of Cistanches Herba and stakeholder benefits. Vertical integration at different levels was found for independent farmer-based VCs, horizontal collaboration was found in the cooperative-based VCs. The vertical coordination has led to a more consistent traceability system and strict regulation of supply chains. At the same time, the Cistanches Herba were divided into three grades. Through DNA barcoding and chemical analysis, we found that the quality differences between Cistanches Herba in the Alxa area were not significant. It was found that geographical suitability and vertical integration could impact the quality and sustainable production of Cistanches Herba. At the same time, the well-developed VCs can provide products with reliable quality, and ensure adequate financial revenue for relevant stakeholders.</t>
  </si>
  <si>
    <t>[Jiang, Linlin; Zhou, Baochang; Wang, Xiaoqin; Wang, Jianhua; Li, Minhui] Inner Mongolia Med Univ, Dept Pharm, Hohhot, Peoples R China; [Bi, Yaqiong; Guo, Wenfang; Li, Minhui] Inner Mongolia Hosp, Inst Tradit Chinese Med, Hohhot, Peoples R China; [Yao, Ruyu] Chinese Acad Med Sci &amp; Peking Union Med Coll, Inst Med Plant Dev, Beijing, Peoples R China; [Li, Minhui] Inner Mongolia Key Lab Characterist Geoherbs Reso, Baotou, Peoples R China; [Li, Minhui] Baotou Med Coll, Baotou, Peoples R China; [Li, Minhui] Inner Mongolia Hosp Tradit Chinese Med, Hohhot, Peoples R China</t>
  </si>
  <si>
    <t>Inner Mongolia Medical University; Chinese Academy of Medical Sciences - Peking Union Medical College; Peking Union Medical College; Institute of Medicinal Plant Development - CAMS; Baotou Medical College</t>
  </si>
  <si>
    <t>Wang, JH; Li, MH (corresponding author), Inner Mongolia Med Univ, Dept Pharm, Hohhot, Peoples R China.;Li, MH (corresponding author), Inner Mongolia Hosp, Inst Tradit Chinese Med, Hohhot, Peoples R China.;Yao, RY (corresponding author), Chinese Acad Med Sci &amp; Peking Union Med Coll, Inst Med Plant Dev, Beijing, Peoples R China.;Li, MH (corresponding author), Inner Mongolia Key Lab Characterist Geoherbs Reso, Baotou, Peoples R China.;Li, MH (corresponding author), Baotou Med Coll, Baotou, Peoples R China.;Li, MH (corresponding author), Inner Mongolia Hosp Tradit Chinese Med, Hohhot, Peoples R China.</t>
  </si>
  <si>
    <t>ny_wjh513@163.com; yry0255@126.com; prof_liminhui@yeah.net</t>
  </si>
  <si>
    <t>wang, jian/HRB-9588-2023; Yao, Ruyu/AAX-8432-2020</t>
  </si>
  <si>
    <t>Yao, Ruyu/0000-0003-2557-2622</t>
  </si>
  <si>
    <t>1663-9812</t>
  </si>
  <si>
    <t>FRONT PHARMACOL</t>
  </si>
  <si>
    <t>Front. Pharmacol.</t>
  </si>
  <si>
    <t>NOV 5</t>
  </si>
  <si>
    <t>10.3389/fphar.2021.782962</t>
  </si>
  <si>
    <t>WZ7ZE</t>
  </si>
  <si>
    <t>WOS:000720181400001</t>
  </si>
  <si>
    <t>Yucel, E; Salman, FS; Bozkaya, B; Gokalp, C</t>
  </si>
  <si>
    <t>Yucel, Eda; Salman, F. Sibel; Bozkaya, Burcin; Gokalp, Cemre</t>
  </si>
  <si>
    <t>A data-driven optimization framework for routing mobile medical facilities</t>
  </si>
  <si>
    <t>Mobile health care; Team orienteering; Partial coverage; Vehicle routing; Data analytics</t>
  </si>
  <si>
    <t>SUPPLY CHAIN MANAGEMENT; HEALTH-CARE FACILITIES; BIG DATA ANALYTICS; TOUR; LOGISTICS; ALGORITHM; MODEL; CHALLENGES</t>
  </si>
  <si>
    <t>We study the delivery of mobile medical services and in particular, the optimization of the joint stop location selection and routing of the mobile vehicles over a repetitive schedule consisting of multiple days. Considering the problem from the perspective of a mobile service provider company, we aim to provide the most revenue to the company by bringing the services closer to potential customers. Each customer location is associated with a score, which can be fully or partially covered based on the proximity of the mobile facility during the planning horizon. The problem is a variant of the team orienteering problem with prizes coming from covered scores. In addition to maximizing total covered score, a secondary criterion involves minimizing total travel distance/cost. We propose a data-driven optimization approach for this problem in which data analyses feed a mathematical programming model. We utilize a year-long transaction data originating from the customer banking activities of a major bank in Turkey. We analyze this dataset to first determine the potential service and customer locations in Istanbul by an unsupervised learning approach. We assign a score to each representative potential customer location based on the distances that the residents have taken for their past medical expenses. We set the coverage parameters by a spatial analysis. We formulate a mixed integer linear programming model and solve it to near-optimality using Cplex. We quantify the trade-off between capacity and service level. We also compare the results of several models differing in their coverage parameters to demonstrate the flexibility of our model and show the impact of accounting for full and partial coverage.</t>
  </si>
  <si>
    <t>[Yucel, Eda] TOBB Univ Econ &amp; Technol, Dept Ind Engn, Ankara, Turkey; [Salman, F. Sibel] Koc Univ, Dept Ind Engn, Istanbul, Turkey; [Bozkaya, Burcin; Gokalp, Cemre] Sabanci Univ, Sch Management, Istanbul, Turkey</t>
  </si>
  <si>
    <t>TOBB Ekonomi ve Teknoloji University; Koc University; Sabanci University</t>
  </si>
  <si>
    <t>Salman, FS (corresponding author), Koc Univ, Dept Ind Engn, Istanbul, Turkey.</t>
  </si>
  <si>
    <t>ssalman@ku.edu.tr</t>
  </si>
  <si>
    <t>Bozkaya, Burcin/AAY-8995-2020; Salman, Fatma Sibel/I-4548-2012</t>
  </si>
  <si>
    <t>Bozkaya, Burcin/0000-0002-3685-4791; Salman, Fatma Sibel/0000-0001-6833-2552</t>
  </si>
  <si>
    <t>10.1007/s10479-018-3058-x</t>
  </si>
  <si>
    <t>MM8BU</t>
  </si>
  <si>
    <t>WOS:000550377300041</t>
  </si>
  <si>
    <t>Lv, P</t>
  </si>
  <si>
    <t>Lv, Pin</t>
  </si>
  <si>
    <t>Evaluation of biomedical industry technological innovation ability based on a grey panel clustering model</t>
  </si>
  <si>
    <t>biomedical industry; technological innovation capability; technological research and development level; technological achievement transformation; panel data</t>
  </si>
  <si>
    <t>Technological innovation in the biomedical industry is the basis for improving the core competitiveness of the biomedical industry and promoting the high-quality development of the industry. However, the technological innovation capacity of China's biomedical industry is not balanced, and there are great differences between regions. Therefore, accurately grasping the status quo of technological innovation in China's biomedical industry and assessing regional differences are of great significance and effect for the country to formulate targeted policies and systems. In view of this, this paper designs a two-stage biomedical industry technological innovation capability evaluation index system from the perspective of the innovation value chain. According to the panel data of China's biomedical industry from 2012 to 2018, a grey relational clustering model based on panel data is constructed and used to evaluate the technological innovation capability of China's biomedicine industry from two dimensions: the level of technological research and development and the ability to transform technological achievements.</t>
  </si>
  <si>
    <t>[Lv, Pin] Wuxi Vocat Coll Sci &amp; Technol, Wuxi 214028, Jiangsu, Peoples R China</t>
  </si>
  <si>
    <t>Lv, P (corresponding author), Wuxi Vocat Coll Sci &amp; Technol, Wuxi 214028, Jiangsu, Peoples R China.</t>
  </si>
  <si>
    <t>lp768394866@163.com</t>
  </si>
  <si>
    <t>10.3934/mbe.2023070</t>
  </si>
  <si>
    <t>6J2NF</t>
  </si>
  <si>
    <t>WOS:000886663600011</t>
  </si>
  <si>
    <t>Papagiannis, F; Gazzola, P; Burak, O; Pokutsa, I</t>
  </si>
  <si>
    <t>Papagiannis, Fragkoulis; Gazzola, Patrizia; Burak, Olena; Pokutsa, Ilya</t>
  </si>
  <si>
    <t>A European household waste management approach: Intelligently clean Ukraine</t>
  </si>
  <si>
    <t>JOURNAL OF ENVIRONMENTAL MANAGEMENT</t>
  </si>
  <si>
    <t>Household waste management; Sustainable development; Regional taxonomy; Artificial intelligence clustering; Environmental economy</t>
  </si>
  <si>
    <t>FOOD WASTE; MODEL; GENERATION; DISPOSAL</t>
  </si>
  <si>
    <t>The European-wide environmental obstacles of inefficient and unsustainable recycling systems and flows constrain household waste (HW) management, endangering the circular economy. The European 2020 strategy and ongoing environmental disasters indicate the ineffectiveness of the current HW sustainability practices. This paper introduces an artificial intelligence (AI) approach for calculating urban residual waste, based on its generation level. It reforms the current diverse and high discrepancy levels of HW residual for EU-countries and Ukraine. Adopting a k-means clustering method with a multi-criteria taxonomic development level index (TIDL), it produces uniform clusters with higher accuracy and manageability. Findings discover and remedy opaque managerial practices, enabling sustainable and environment-friendly development at national and regional levels for EU-countries. Results reveal an increased number of clusters in crisis, contributing to a methodological reference for environmental planning. In conclusion, this AI approach could have a European-wide impact on sustainable economic value-chain, converging toward an eco-friendly economy.</t>
  </si>
  <si>
    <t>[Papagiannis, Fragkoulis] Liverpool John Moores Univ, Liverpool Business Sch, 70 Mt Pleasant, Liverpool L3 5UX, Merseyside, England; [Gazzola, Patrizia] Insubria Univ, Dept Econ, Via Ravasi 2, Varese, Italy; [Burak, Olena; Pokutsa, Ilya] OM Beketov Natl Univ Urban Econ Kharkiv, Dept Entrepreneurship &amp; Business Adm, 17 Marshal Bazhanov Str, Kharkiv, Ukraine</t>
  </si>
  <si>
    <t>Liverpool John Moores University; University of Liverpool; University of Insubria; Ministry of Education &amp; Science of Ukraine; O.M. Beketov National University of Urban Economy in Kharkiv</t>
  </si>
  <si>
    <t>Gazzola, P (corresponding author), Insubria Univ, Dept Econ, Via Ravasi 2, Varese, Italy.</t>
  </si>
  <si>
    <t>patrizia.gazzola@uninsubria.it</t>
  </si>
  <si>
    <t>Papagiannis, Fragkoulis/0000-0001-9941-4657; Pokutsa, Ilya/0000-0003-2629-9760</t>
  </si>
  <si>
    <t>ACADEMIC PRESS LTD- ELSEVIER SCIENCE LTD</t>
  </si>
  <si>
    <t>24-28 OVAL RD, LONDON NW1 7DX, ENGLAND</t>
  </si>
  <si>
    <t>0301-4797</t>
  </si>
  <si>
    <t>1095-8630</t>
  </si>
  <si>
    <t>J ENVIRON MANAGE</t>
  </si>
  <si>
    <t>J. Environ. Manage.</t>
  </si>
  <si>
    <t>10.1016/j.jenvman.2021.113015</t>
  </si>
  <si>
    <t>TQ0LZ</t>
  </si>
  <si>
    <t>WOS:000677982700006</t>
  </si>
  <si>
    <t>Perry, M</t>
  </si>
  <si>
    <t>Clustering small enterprise: lessons from policy experience in New Zealand</t>
  </si>
  <si>
    <t>ENVIRONMENT AND PLANNING C-GOVERNMENT AND POLICY</t>
  </si>
  <si>
    <t>Annual Conference of the Institute-for-Small-Business-and-Entrepreneurship (ISBE)</t>
  </si>
  <si>
    <t>NOV, 2004</t>
  </si>
  <si>
    <t>Univ Teesside, Middlesbrough, ENGLAND</t>
  </si>
  <si>
    <t>Inst Small Business &amp; Entrepreneurship</t>
  </si>
  <si>
    <t>Univ Teesside</t>
  </si>
  <si>
    <t>PERFORMANCE; FIRMS</t>
  </si>
  <si>
    <t>Doubts have been raised about the value of cluster-promotion policy given the lack of agreement over how clusters are identified. Such criticism overlooks how clusters are sometimes a mode of inquiry rather than a specific pattern of industrial location. The desire to promote business clusters is connected to a real phenomenon, but policy needs to acknowledge that exemplar clusters do not provide a role model for how other local economics may develop and that industry and market characteristics affect the significance of clustering. Efforts to promote business clusters in New Zealand show how the perceptions of cluster opportunities by business managers differ from those expected by policymakers. A review of twenty-Five cluster initiatives identifies six ways that the projects question widespread opportunity to benefit from encouraging localised business collaboration: (1) value-chain division, (2) conditions on cooperation, (3) the need to go national, (4) facilitator dependence, (5) need for a leader, and (6) missing clusters. Policy intervention should be based on determining how best to work with groups of variable significance and character rather than being driven by idealised interpretations of cluster development.</t>
  </si>
  <si>
    <t>Massey Univ, Dept Management &amp; Enterprise Dev, Wellington, New Zealand</t>
  </si>
  <si>
    <t>Massey University</t>
  </si>
  <si>
    <t>Perry, M (corresponding author), Massey Univ, Dept Management &amp; Enterprise Dev, Private Bag 756, Wellington, New Zealand.</t>
  </si>
  <si>
    <t>m.perry@massey.ac.nz</t>
  </si>
  <si>
    <t>0263-774X</t>
  </si>
  <si>
    <t>1472-3425</t>
  </si>
  <si>
    <t>ENVIRON PLANN C</t>
  </si>
  <si>
    <t>Environ. Plan. C-Gov. Policy</t>
  </si>
  <si>
    <t>10.1068/c0504</t>
  </si>
  <si>
    <t>012OP</t>
  </si>
  <si>
    <t>WOS:000235348800004</t>
  </si>
  <si>
    <t>Saghezchi, FB; Mantas, G; Violas, MA; Duarte, AMD; Rodriguez, J</t>
  </si>
  <si>
    <t>Saghezchi, Firooz B.; Mantas, Georgios; Violas, Manuel A.; de Oliveira Duarte, A. Manuel; Rodriguez, Jonathan</t>
  </si>
  <si>
    <t>Machine Learning for DDoS Attack Detection in Industry 4.0 CPPSs</t>
  </si>
  <si>
    <t>Industry 4; 0; cybersecurity; intrusion detection system (IDS); DDoS attack detection; machine learning; SCADA; industrial control system (ICS); cyber-physical system (CPS)</t>
  </si>
  <si>
    <t>INTRUSION DETECTION; SYSTEMS</t>
  </si>
  <si>
    <t>The Fourth Industrial Revolution (Industry 4.0) has transformed factories into smart Cyber-Physical Production Systems (CPPSs), where man, product, and machine are fully interconnected across the whole supply chain. Although this digitalization brings enormous advantages through customized, transparent, and agile manufacturing, it introduces a significant number of new attack vectors-e.g., through vulnerable Internet-of-Things (IoT) nodes-that can be leveraged by attackers to launch sophisticated Distributed Denial-of-Service (DDoS) attacks threatening the availability of the production line, business services, or even the human lives. In this article, we adopt a Machine Learning (ML) approach for network anomaly detection and construct different data-driven models to detect DDoS attacks on Industry 4.0 CPPSs. Existing techniques use data either artificially synthesized or collected from Information Technology (IT) networks or small-scale lab testbeds. To address this limitation, we use network traffic data captured from a real-world semiconductor production factory. We extract 45 bidirectional network flow features and construct several labeled datasets for training and testing ML models. We investigate 11 different supervised, unsupervised, and semi-supervised algorithms and assess their performance through extensive simulations. The results show that, in terms of the detection performance, supervised algorithms outperform both unsupervised and semi-supervised ones. In particular, the Decision Tree model attains an Accuracy of 0.999 while confining the False Positive Rate to 0.001.</t>
  </si>
  <si>
    <t>[Saghezchi, Firooz B.; Mantas, Georgios; Rodriguez, Jonathan] Univ Aveiro, Inst Telecomunicacoes, Campus Univ Santiago, P-3810193 Aveiro, Portugal; [Mantas, Georgios] Univ Greenwich, Fac Engn &amp; Sci, Chatham ME4 4TB, England; [Violas, Manuel A.; de Oliveira Duarte, A. Manuel] Univ Aveiro, Dept Elect Telecommun &amp; Informat, Campus Univ Santiago, P-3810193 Aveiro, Portugal; [Rodriguez, Jonathan] Univ South Wales, Fac Comp Engn &amp; Sci, Pontypridd CF37 1DL, M Glam, Wales</t>
  </si>
  <si>
    <t>Universidade de Aveiro; University of Greenwich; Universidade de Aveiro; University of South Wales</t>
  </si>
  <si>
    <t>Saghezchi, FB (corresponding author), Univ Aveiro, Inst Telecomunicacoes, Campus Univ Santiago, P-3810193 Aveiro, Portugal.</t>
  </si>
  <si>
    <t>firooz@av.it.pt; gimantas@av.it.pt; manuelv@ua.pt; duarte@ua.pt; jonathan@av.it.pt</t>
  </si>
  <si>
    <t>Saghezchi, Firooz B./F-9088-2014; Rodriguez, Jonathan/F-6055-2010</t>
  </si>
  <si>
    <t>Saghezchi, Firooz B./0000-0002-7429-2144; Rodriguez, Jonathan/0000-0001-9829-0955</t>
  </si>
  <si>
    <t>NATO Science for Peace and Security Programme [SPS G5797]</t>
  </si>
  <si>
    <t>NATO Science for Peace and Security Programme</t>
  </si>
  <si>
    <t>This research was sponsored in part by the NATO Science for Peace and Security Programme under grant SPS G5797 (PHYSEC), which authors Jonathan Rodriguez and Georgios Mantas would like to acknowledge.</t>
  </si>
  <si>
    <t>10.3390/electronics11040602</t>
  </si>
  <si>
    <t>ZL4NG</t>
  </si>
  <si>
    <t>WOS:000763654500001</t>
  </si>
  <si>
    <t>Murat, A; Verter, V; Laporte, G</t>
  </si>
  <si>
    <t>Murat, Alper; Verter, Vedat; Laporte, Gilbert</t>
  </si>
  <si>
    <t>A continuous analysis framework for the solution of location-allocation problems with dense demand</t>
  </si>
  <si>
    <t>Location-allocation problem; Continuous modeling; Fermat-Weber problem; Voronoi diagrams</t>
  </si>
  <si>
    <t>OPTIMIZATION PROBLEMS; DISTRIBUTION-SYSTEMS; RECTANGULAR REGIONS; WEBER PROBLEM; MODEL; DESIGN; DENSITIES; DISTANCES; FACILITY; CENTERS</t>
  </si>
  <si>
    <t>Location-allocation problems arise in several contexts, including supply chain and data mining. In its most common interpretation, the basic problem consists of optimally locating facilities and allocating customers to facilities so as to minimize the total cost. The standard approach to solving location-allocation problems is to model alternative location sites and customers as discrete entities. Many problem instances in practice involve dense demand data and uncertainties about the cost and locations of the potential sites. The use of discrete models is often inappropriate in such cases. This paper presents an alternative methodology where the market demand is modeled as a continuous density function and the resulting formulation is solved by means of calculus techniques. The methodology prioritizes the allocation decisions rather than location decisions, which is the common practice in the location literature. The solution algorithm proposed in this framework is a local search heuristic (steepest-descent algorithm) and is applicable to problems where the allocation decisions are in the form of polygons, e.g., with Euclidean distances. Extensive computational experiments confirm the efficiency of the proposed methodology. (C) 2009 Elsevier Ltd. All rights reserved.</t>
  </si>
  <si>
    <t>[Murat, Alper] Wayne State Univ, Dept Ind &amp; Mfg Engn, Detroit, MI 48202 USA; [Verter, Vedat] McGill Univ, Desautels Fac Management, Montreal, PQ H3A 1G5, Canada; [Laporte, Gilbert] HEC Montreal, Canada Res Chair Distribut Management, Montreal, PQ H3A 2A7, Canada</t>
  </si>
  <si>
    <t>Wayne State University; McGill University; Universite de Montreal; HEC Montreal</t>
  </si>
  <si>
    <t>Murat, A (corresponding author), Wayne State Univ, Dept Ind &amp; Mfg Engn, Detroit, MI 48202 USA.</t>
  </si>
  <si>
    <t>amurat@wayne.edu; vedat.verter@mcgill.ca; gilbert@crt.umontreal.ca</t>
  </si>
  <si>
    <t>Verter, Vedat/O-9061-2017</t>
  </si>
  <si>
    <t>Canadian Natural Sciences and Engineering Research council [39682-05, 183631-05]</t>
  </si>
  <si>
    <t>Canadian Natural Sciences and Engineering Research council(Natural Sciences and Engineering Research Council of Canada (NSERC))</t>
  </si>
  <si>
    <t>This research was partially supported by the Canadian Natural Sciences and Engineering Research council under Grants 39682-05 and 183631-05. This support is gratefully acknowledged. We also thank to two anonymous referees for their valuable comments.</t>
  </si>
  <si>
    <t>10.1016/j.cor.2009.04.001</t>
  </si>
  <si>
    <t>504PU</t>
  </si>
  <si>
    <t>WOS:000270630100013</t>
  </si>
  <si>
    <t>Tsang, D</t>
  </si>
  <si>
    <t>Tsang, Denise</t>
  </si>
  <si>
    <t>Innovation in the British Video Game Industry since 1978</t>
  </si>
  <si>
    <t>BUSINESS HISTORY REVIEW</t>
  </si>
  <si>
    <t>video game; knowledge &amp; innovation; value chain evolution; game console; digital distribution; Britain</t>
  </si>
  <si>
    <t>This article examines the evolution of the video game industry in Britain from its start in 1978. The industry originated with passionate hobbyists and amateurs who benefited from the national broadcaster's campaign to expand computer literacy. Unlike the regional clustering of the industry in the United States and Japan, the British industry was dispersed geographically, consisting of mini-clusters with porous boundaries. During the 2000s, the fragmented British industry was largely acquired by U.S. and Japanese multinational companies and became part of global value chains, but the development of mobile gaming and digital distribution provided opportunities for a new generation of start-ups to emerge in Britain.</t>
  </si>
  <si>
    <t>[Tsang, Denise] Henley Business Sch, Henley On Thames, England</t>
  </si>
  <si>
    <t>University of Reading</t>
  </si>
  <si>
    <t>Tsang, D (corresponding author), Henley Business Sch, Henley On Thames, England.</t>
  </si>
  <si>
    <t>CAMBRIDGE UNIV PRESS</t>
  </si>
  <si>
    <t>32 AVENUE OF THE AMERICAS, NEW YORK, NY 10013-2473 USA</t>
  </si>
  <si>
    <t>0007-6805</t>
  </si>
  <si>
    <t>2044-768X</t>
  </si>
  <si>
    <t>BUS HIST REV</t>
  </si>
  <si>
    <t>Bus. Hist. Rev.</t>
  </si>
  <si>
    <t>PII S0007680521000398</t>
  </si>
  <si>
    <t>10.1017/S0007680521000398</t>
  </si>
  <si>
    <t>Business; History Of Social Sciences</t>
  </si>
  <si>
    <t>WY5JZ</t>
  </si>
  <si>
    <t>WOS:000719315800009</t>
  </si>
  <si>
    <t>Dziminska, P; Drzewiecki, S; Ruman, M; Kosek, K; Mikolajewski, K; Licznar, P</t>
  </si>
  <si>
    <t>Dziminska, Paulina; Drzewiecki, Stanislaw; Ruman, Marek; Kosek, Klaudia; Mikolajewski, Karol; Licznar, Pawel</t>
  </si>
  <si>
    <t>The Use of Cluster Analysis to Evaluate the Impact of COVID-19 Pandemic on Daily Water Demand Patterns</t>
  </si>
  <si>
    <t>COVID-19; water consumption; urban environment; residential water demand pattern; cluster analysis; statistics</t>
  </si>
  <si>
    <t>SYSTEMS; STATE; MODEL</t>
  </si>
  <si>
    <t>Proper determination of unitary water demand and diurnal distribution of water consumption (water consumption histogram) provides the basis for designing, dimensioning, and all analyses of water supply networks. It is important in the case of mathematical modelling of flows in the water supply network, particularly during the determination of nodal water demands in the context of Extended Period Simulation (EPS). Considering the above, the analysis of hourly water consumption in selected apartment buildings was performed to verify the justification of the application of grouping by means of k-means clustering. The article presents a detailed description of the adopted methodology, as well as the obtained results in the form of synthetic distributions of hourly water consumption, and the effect of the COVID-19 pandemic on their change.</t>
  </si>
  <si>
    <t>[Dziminska, Paulina; Drzewiecki, Stanislaw] MWiK Water Supply &amp; Sewage Co Bydgoszcz Sp Zoo, PL-85817 Bydgoszcz, Poland; [Ruman, Marek; Mikolajewski, Karol] Univ Silesia Katowice, Fac Nat Sci, PL-41200 Sosnowiec, Poland; [Kosek, Klaudia] Gdansk Univ Technol, Fac Civil &amp; Environm Engn, PL-80233 Gdansk, Poland; [Mikolajewski, Karol] RETENCJAPL Sp Zoo, PL-80868 Gdansk, Poland; [Licznar, Pawel] Wroclaw Univ Sci &amp; Technol, Fac Environm Engn, PL-50377 Wroclaw, Poland</t>
  </si>
  <si>
    <t>University of Silesia in Katowice; Fahrenheit Universities; Gdansk University of Technology; Wroclaw University of Science &amp; Technology</t>
  </si>
  <si>
    <t>Ruman, M (corresponding author), Univ Silesia Katowice, Fac Nat Sci, PL-41200 Sosnowiec, Poland.;Kosek, K (corresponding author), Gdansk Univ Technol, Fac Civil &amp; Environm Engn, PL-80233 Gdansk, Poland.</t>
  </si>
  <si>
    <t>paulina.dziminska@mwik.bydgoszcz.pl; drzewiecki@mwik.bydgoszcz.pl; marek.ruman@us.edu.pl; klaudia.kosek@pg.edu.pl; karol.mikolajewski@retencja.pl; pawel.licznar@pwr.edu.pl</t>
  </si>
  <si>
    <t>Kosek, Klaudia/V-3800-2018; Dzimińska, Paulina/IVU-8713-2023; Ruman, Marek/S-9533-2017</t>
  </si>
  <si>
    <t>Kosek, Klaudia/0000-0003-1372-6567; Dzimińska, Paulina/0000-0003-0427-5960; Ruman, Marek/0000-0001-9424-7589; Licznar, Pawel/0000-0002-2559-5296</t>
  </si>
  <si>
    <t>10.3390/su13115772</t>
  </si>
  <si>
    <t>SR0JO</t>
  </si>
  <si>
    <t>WOS:000660732000001</t>
  </si>
  <si>
    <t>Jestratijevic, I; Vrabic-Brodnjak, U</t>
  </si>
  <si>
    <t>Jestratijevic, Iva; Vrabic-Brodnjak, Urska</t>
  </si>
  <si>
    <t>Sustainable and Innovative Packaging Solutions in the Fashion Industry: Global Report</t>
  </si>
  <si>
    <t>packaging; packaging materials; fashion brands; sustainability</t>
  </si>
  <si>
    <t>The fashion industry generates packaging waste through the entire supply chain. Although brands are making efforts to improve packaging sustainability as demands for low-impact packaging are rising, there is a lack of empirical evidence of innovative packaging solutions among fashion retailers. This study represents the first global report on sustainable packaging innovation in the fashion sector. A data-mining approach was utilized to gather a sample of 400 international fashion brands that advertise sustainable packaging solutions across five continents. The sustainability of the packaging solution was evaluated for each brand based on three factors: sustainability mission, the availability of packaging data, and the actual sustainability of the package. The results showed that 57% of brands have made evident progress in the sustainable packaging area; 34% of brands have initiated the transition from conventional to improved packaging; the remaining brands have committed to rethink (1%) or to improve (8%) their packaging in the future. By providing comprehensive state-of-the-art evidence about practical achievements in the sustainable packaging field, this global report intends to help academics and practitioners to evaluate the environmental, social, and economic impacts of existing packaging products and to design circular packaging that minimizes these impacts.</t>
  </si>
  <si>
    <t>[Jestratijevic, Iva] Univ North Texas, Coll Merchandising Hospitality &amp; Tourism, Denton, TX 76203 USA; [Vrabic-Brodnjak, Urska] Univ Ljubljana, Fac Nat Sci &amp; Engn, Dept Text Graph Arts &amp; Design, Ljubljana 1000, Slovenia</t>
  </si>
  <si>
    <t>University of North Texas System; University of North Texas Denton; University of Ljubljana</t>
  </si>
  <si>
    <t>Jestratijevic, I (corresponding author), Univ North Texas, Coll Merchandising Hospitality &amp; Tourism, Denton, TX 76203 USA.</t>
  </si>
  <si>
    <t>Iva.Jestratijevic@unt.edu</t>
  </si>
  <si>
    <t>Jestratijevic, Iva/AAJ-3902-2020; Vrabič Brodnjak, Urška/ABD-5072-2021</t>
  </si>
  <si>
    <t>Jestratijevic, Iva/0000-0002-1776-335X; Vrabič Brodnjak, Urška/0000-0003-0865-8619</t>
  </si>
  <si>
    <t>10.3390/su142013476</t>
  </si>
  <si>
    <t>5Q3FX</t>
  </si>
  <si>
    <t>WOS:000873722700001</t>
  </si>
  <si>
    <t>Liu, T; Yu, ZY</t>
  </si>
  <si>
    <t>Liu, Tao; Yu, Zhongyang</t>
  </si>
  <si>
    <t>The analysis of financial market risk based on machine learning and particle swarm optimization algorithm</t>
  </si>
  <si>
    <t>EURASIP JOURNAL ON WIRELESS COMMUNICATIONS AND NETWORKING</t>
  </si>
  <si>
    <t>Machine learning; Random forest; Clustering method; Financial market; Blockchain</t>
  </si>
  <si>
    <t>CLUSTERING-ALGORITHM; SECTOR; MANAGEMENT</t>
  </si>
  <si>
    <t>The financial industry is a key to promoting the development of the national economy, and the risk it takes is also the largest hidden risk in the financial market. Therefore, the risk existing in the current financial market should be deeply explored under blockchain technology (BT) to ensure the functions of financial markets. The risk of financial markets is analyzed using machine learning (ML) and random forest (RF). First, the clustering method is introduced, and an example is given to illustrate the RF classification model. The collected data sets are divided into test sets and training sets, the corresponding rules are formulated and generated, and the branches of the decision tree (DT) are constructed according to the optimization principle. Finally, the steps of constructing the branches of DT are repeated until they are not continued. The results show that the three major industries of the regional economy account for 3.5%, 51.8%, 3.2%, 3.4%, and 3.8% of the regional GDP, respectively, the secondary industry makes up 44.5%, 43%, 45.1%, 44.8%, and 43.6%, respectively, and the tertiary industry occupies 20%, 3.7%, 52.3%, 52.9%, 54%, and 54.6%, respectively. This shows that with the development of the industrial structure under BT, the economic subject gradually shifts from the primary industry to the tertiary industry; BT can improve the efficiency of the financial industry and reduce operating costs and dependence on media. Meanwhile, the financial features of BT can provide a good platform for business expansion. The application of BT to the supply chain gives a theoretical reference for promoting the synergy between companies.</t>
  </si>
  <si>
    <t>[Liu, Tao] East China Normal Univ, Fac Econ &amp; Management, Sch Business Adm, Shanghai 200241, Peoples R China; [Yu, Zhongyang] Shanghai Vonechain Informat Technol Co Ltd, Shanghai 200443, Peoples R China</t>
  </si>
  <si>
    <t>East China Normal University</t>
  </si>
  <si>
    <t>Yu, ZY (corresponding author), Shanghai Vonechain Informat Technol Co Ltd, Shanghai 200443, Peoples R China.</t>
  </si>
  <si>
    <t>zhongyang.yu@vonechain.com</t>
  </si>
  <si>
    <t>1687-1472</t>
  </si>
  <si>
    <t>1687-1499</t>
  </si>
  <si>
    <t>EURASIP J WIREL COMM</t>
  </si>
  <si>
    <t>EURASIP J. Wirel. Commun. Netw.</t>
  </si>
  <si>
    <t>APR 2</t>
  </si>
  <si>
    <t>10.1186/s13638-022-02117-3</t>
  </si>
  <si>
    <t>0F5JK</t>
  </si>
  <si>
    <t>WOS:000777395600001</t>
  </si>
  <si>
    <t>Elbashbishy, TS; Ali, GG; El-adaway, IH</t>
  </si>
  <si>
    <t>Elbashbishy, Tamima S.; Ali, Gasser G.; El-adaway, Islam H.</t>
  </si>
  <si>
    <t>Blockchain technology in the construction industry: mapping current research trends using social network analysis and clustering</t>
  </si>
  <si>
    <t>Construction industry; social network analysis; information and communication technology; network analysis; blockchain technology</t>
  </si>
  <si>
    <t>POTENTIALS; PYTHON; DESIGN; MODELS; BIM</t>
  </si>
  <si>
    <t>Blockchain represents an evolving technology for distributed and secure recording and sharing of information. Meanwhile, blockchain has thrived in banking, finance, and supply chain; its usage within the construction industry is still in its infancy. To this end, the existing literature falls short in providing comprehensive quantitative understanding, within a systems-based analytic context, of the factors affecting blockchain utilization in construction applications. This paper fills this knowledge gap. The authors: (1) conducted an extensive literature review on blockchain implementation in the construction domain; (2) identified a list of 41 factors affecting blockchain implementation in construction projects categorized in four categories: challenges, needs, requirements, and capabilities; (3) utilized a social network analysis (SNA) approach on a database of 111 publications to quantitatively analyze the literature as related to the aforementioned factors; and (4) performed clustering analysis on the SNA graphs to determine the combinations of factors that are most likely co-occurring in research publications. SNA results indicate that while the most investigated factor was increased trust and transparency between project parties, the least studied factors included: cash upfront funding system, change payment processes and procedures, smart contracts design errors, cryptocurrency fluctuations, lack of sufficiently skilled personnel, and increased awareness and capabilities of personnel. Also, clustering outcomes highlight that some combinations of factors are not well-represented in current scholarly efforts. Such imbalance and consequent knowledge gaps may contribute to the actual implementation rate of blockchain in construction applications. Ultimately, this paper provides a roadmap for potential future directions of blockchain construction-related research.</t>
  </si>
  <si>
    <t>[Elbashbishy, Tamima S.; Ali, Gasser G.; El-adaway, Islam H.] Missouri Univ Sci &amp; Technol, Dept Civil Architectural &amp; Environm Engn, Rolla, MO 65409 USA</t>
  </si>
  <si>
    <t>University of Missouri System; Missouri University of Science &amp; Technology</t>
  </si>
  <si>
    <t>El-adaway, IH (corresponding author), Missouri Univ Sci &amp; Technol, Dept Civil Architectural &amp; Environm Engn, Dept Engn Management &amp; Syst Engn, 228 Butler Carlton Hall,1401 N Pine St, Rolla, MO 65409 USA.</t>
  </si>
  <si>
    <t>eladaway@mst.edu</t>
  </si>
  <si>
    <t>El-adaway, Islam H/K-4394-2015</t>
  </si>
  <si>
    <t>10.1080/01416193.2022.2056216</t>
  </si>
  <si>
    <t>0P7HW</t>
  </si>
  <si>
    <t>WOS:000784401200005</t>
  </si>
  <si>
    <t>Zbrun, MV; Romero-Scharpen, A; Olivero, C; Zimmermann, JA; Rossler, E; Soto, LP; Astesana, DM; Blajman, JE; Berisvil, A; Frizzo, LS; Signorini, ML</t>
  </si>
  <si>
    <t>Zbrun, Maria V.; Romero-Scharpen, Analia; Olivero, Carolina; Zimmermann, Jorge A.; Rossler, Eugenia; Soto, Lorena P.; Astesana, Diego M.; Blajman, Jesica E.; Berisvil, Ayelen; Frizzo, Laureano S.; Signorini, Marcelo L.</t>
  </si>
  <si>
    <t>Genetic diversity of thermotolerant Campylobacter spp. isolates from different stages of the poultry meat supply chain in Argentina</t>
  </si>
  <si>
    <t>REVISTA ARGENTINA DE MICROBIOLOGIA</t>
  </si>
  <si>
    <t>Campylobacter coli; Campylobacter jejuni; Pulsed-field gel electrophoresis; Poultry mea</t>
  </si>
  <si>
    <t>FIELD GEL-ELECTROPHORESIS; ANTIMICROBIAL RESISTANCE; JEJUNI; FARM; RETAIL; COLI</t>
  </si>
  <si>
    <t>The objective of this study was to investigate a clonal relationship among thermotolerant Campylobacter spp. isolates from different stages of the poultry meat supply chain in Argentina. A total of 128 thermotolerant Campylobacter spp. (89 C. jejuni and 39 C. coil) isolates from six poultry meat chains were examined. These isolates were from: a) hens from breeder flocks, b) chickens on the farm (at ages 1 wk and 5 wk), c) chicken carcasses in the slaughterhouse, and d) chicken carcasses in the retail market. Chickens sampled along each food chain were from the same batch. Campylobacter spp. isolates were analyzed using pulsed-field gel electrophoresis to compare different profiles according to the source. Clustering of C. jejuni isolates resulted in 17 profiles, with four predominant genotypes and many small profiles with just a few isolates or unique patterns, showing a very high degree of heterogeneity among the C. jejuni isolates. Some clusters included isolates from different stages within the same chain, which would indicate a spread of strains along the same poultry meat chain. Moreover, twenty-two strains of C. coli. clustered in seven groups and the remaining 17 isolates exhibited unique profiles. Evidence for transmission of thermotolerant Campylobacter spp. through the food chain and cross contamination in the slaughterhouses were obtained. This collective evidence should be considered as the scientific basis to implement risk management measures to protect the public health. (C) 2017 Asociacion Argentina de Microbiologia. Published by Elsevier Espana, S.L.U.</t>
  </si>
  <si>
    <t>[Zbrun, Maria V.; Olivero, Carolina; Soto, Lorena P.; Frizzo, Laureano S.; Signorini, Marcelo L.] Natl Univ Littoral, Inst Vet Sci ICiVet Litoral, Natl Council Sci &amp; Tech Res UNL CONICET, Lab Food Anal, Esperanza, Santa Fe, Argentina; [Signorini, Marcelo L.] EEA Rafaela, Natl Inst Agr Technol INTA, Natl Council Sci &amp; Tech Res CONICET, Rafaela, Santa Fe, Argentina; [Zbrun, Maria V.; Romero-Scharpen, Analia; Zimmermann, Jorge A.; Rossler, Eugenia; Soto, Lorena P.; Astesana, Diego M.; Blajman, Jesica E.; Berisvil, Ayelen; Frizzo, Laureano S.] Natl Univ Littoral, Dept Publ Hlth, Fac Vet Sci, Esperanza, Santa Fe, Argentina</t>
  </si>
  <si>
    <t>National University of the Littoral; Instituto Nacional de Tecnologia Agropecuaria (INTA); National University of the Littoral</t>
  </si>
  <si>
    <t>Frizzo, LS (corresponding author), Natl Univ Littoral, Inst Vet Sci ICiVet Litoral, Natl Council Sci &amp; Tech Res UNL CONICET, Lab Food Anal, Esperanza, Santa Fe, Argentina.;Frizzo, LS (corresponding author), Natl Univ Littoral, Dept Publ Hlth, Fac Vet Sci, Esperanza, Santa Fe, Argentina.</t>
  </si>
  <si>
    <t>lfrizzo@fcv.unl.edu.ar</t>
  </si>
  <si>
    <t>Soto, Lorena/GRF-6197-2022; Blajman, Jesica/AAF-7013-2021; Signorini, Marcelo/B-7097-2009</t>
  </si>
  <si>
    <t>Blajman, Jesica/0000-0003-3226-8020; Signorini, Marcelo/0000-0001-6537-8782; Rossler, Eugenia/0000-0003-0717-8357</t>
  </si>
  <si>
    <t>CONICET [PIP 11220120100481CO]; SENASA (Research, Transfer and Communication - Health, Safety and Quality Agrifood Research Group for training. Collective award from SENASA)</t>
  </si>
  <si>
    <t>CONICET(Consejo Nacional de Investigaciones Cientificas y Tecnicas (CONICET)); SENASA (Research, Transfer and Communication - Health, Safety and Quality Agrifood Research Group for training. Collective award from SENASA)</t>
  </si>
  <si>
    <t>LSF, LPS, MVZ and MLS are Research Career Member from the Consejo Nacional de Investigaciones Cientificas y Tecnicas (CONICET, Argentina). JEB, DMA, ER, APB, ARS and JAZ are doctoral fellow from CONICET (Argentina). The authors would like to thank Dr. Gerardo Leotta Onstituto de Genetica Veterinaria (IGEVET-CONICET/UNLP) Facultad de Ciencias Veterinarias (UNLP) for the use of the Bionumerics software. We also thank Dr. Horacio Terzolo and Alejandra Velilla (National Institute of Agricultural Technology-EEA Balcarce, Argentina) for their assistance and cooperation in the training of our working group in bacteriological techniques of thermotolerant Campylobacter. This study was funded by CONICET (PIP 11220120100481CO) and SENASA (Research, Transfer and Communication - Health, Safety and Quality Agrifood Research Group for training. Collective award from SENASA).</t>
  </si>
  <si>
    <t>ASOCIACION ARGENTINA MICROBIOLOGIA</t>
  </si>
  <si>
    <t>BUENOS AIRES</t>
  </si>
  <si>
    <t>BULNES 44 PB B, BUENOS AIRES, 00000, ARGENTINA</t>
  </si>
  <si>
    <t>0325-7541</t>
  </si>
  <si>
    <t>1851-7617</t>
  </si>
  <si>
    <t>REV ARGENT MICROBIOL</t>
  </si>
  <si>
    <t>Rev. Argent. Microbiol.</t>
  </si>
  <si>
    <t>JUL-SEP</t>
  </si>
  <si>
    <t>10.1016/j.ram.2017.03.003</t>
  </si>
  <si>
    <t>Microbiology</t>
  </si>
  <si>
    <t>FO3SW</t>
  </si>
  <si>
    <t>WOS:000416755300006</t>
  </si>
  <si>
    <t>Wang, MZ; Yao, JM</t>
  </si>
  <si>
    <t>Wang, Mozhu; Yao, Jianming</t>
  </si>
  <si>
    <t>Replenishment and delivery optimization for unmanned vending machines service system based on fuzzy clustering</t>
  </si>
  <si>
    <t>Replenishment and delivery optimization; Unmanned vending machines (UVMs); Demand zone; Resilience strategy; Customer's satisfaction; Service reliability</t>
  </si>
  <si>
    <t>SUPPLY CHAIN RESILIENCE; CUSTOMER SATISFACTION; GENETIC ALGORITHM; NETWORK; DESIGN; RISK; BEHAVIOR; MODEL; MITIGATION; PREFERENCE</t>
  </si>
  <si>
    <t>The optimization of replenishment and delivery problem (RDP) for unmanned vending machines supply chain network (UVM-SCN) is challenging due to frequent service interruptions and supply-demand mismatches in operations. Many studies adopt proactive resilience strategies to solve those challenges. However, since most proactive resilience strategies are weak in providing dynamic redundancy towards frequent interruptions, we propose a two-stage resilience strategy to optimize the RDP for UVM-SCN, which redesigns the structure of UVM-SCN and allocates appropriate suppliers for different customers. The first stage focuses on the optimization of UVM-SCN structure. Based on the analysis of customers' preferences, UVMs with similar geographic locations and customer preferences are clustered into closely related demand zones through the improved fuzzy C-means algorithm. The mutual rescue strategy is applied in each demand zone when interruptions occur to achieve quick transfer of products and customers. In the second stage, the dynamic matching mechanism, which integrates suppliers' capabilities and customers' requirements, is proposed to guarantee the provision of various products. On this basis, a scheduling model is established to optimize the RDP of UVM-SCN considering total cost, completion time and customers' satisfaction, and solved by the genetic algorithm. The numerical studies show that the optimal solution can guarantee service reliability and satisfy customers' demands at a competitive cost under continuous uncertainties, thereby demonstrating the validity and effectiveness of the model and the corresponding algorithm. This work extends the research on SCN structural resilience under frequent interruptions and contributes to the UVM-SCN resilience management by integrating suppliers' capability and customers' multi-dimensional requirements into one research framework.</t>
  </si>
  <si>
    <t>[Wang, Mozhu; Yao, Jianming] Renmin Univ China, Sch Business, Beijing, Peoples R China</t>
  </si>
  <si>
    <t>Renmin University of China</t>
  </si>
  <si>
    <t>Yao, JM (corresponding author), Renmin Univ China, Sch Business, Beijing, Peoples R China.</t>
  </si>
  <si>
    <t>wmozhu123@163.com; jmyao@163.com</t>
  </si>
  <si>
    <t>National Natural Science Foundation of China [71872174]</t>
  </si>
  <si>
    <t>This work was supported by the National Natural Science Foundation of China [Grant Number 71872174].</t>
  </si>
  <si>
    <t>2022 MAR 19</t>
  </si>
  <si>
    <t>10.1007/s10660-022-09544-w</t>
  </si>
  <si>
    <t>ZV8CC</t>
  </si>
  <si>
    <t>WOS:000770750200002</t>
  </si>
  <si>
    <t>Zhu, YW; Zhang, XM; Yan, SM; Zou, L</t>
  </si>
  <si>
    <t>Zhu, Yiwen; Zhang, Xumin; Yan, Simin; Zou, Lin</t>
  </si>
  <si>
    <t>Research on Spatial Patterns and Mechanisms of Live Streaming Commerce in China Based on Geolocation Data</t>
  </si>
  <si>
    <t>ISPRS INTERNATIONAL JOURNAL OF GEO-INFORMATION</t>
  </si>
  <si>
    <t>live streaming commerce (LSC); spatial distribution; streamers; geographic location service data; China</t>
  </si>
  <si>
    <t>CITIES; GEOGRAPHIES; NETWORK; WEB</t>
  </si>
  <si>
    <t>Live streaming commerce (LSC) effectively combines the traditional real economy and e-commerce. Based on more than half a million unique GIS data values on LSC activities sourced via Taobao (Alibaba), we traced the spatial distribution of different players along the supply chain and further highlighted the intermediary role of streamers in developing the inter-regional industry. This study guides industrial planning in a diversified regional context, especially in economically peripheral regions. Our results show the following outcomes: (1) in contrast to dispersed suppliers, streamers and consumers are highly clustered. This trend proves that streamers are rooted in a specific urban context while playing the role of an intermediary in inter-regional supply chains, effectively extending geographic interactivity between suppliers and (potential) customers. (2) LSC primarily promotes regional light industry, especially in economically peripheral and rural areas, and provides opportunities for rapid development in cities with skilled handicraft providers. (3) China's LSC streams have a pyramid structure, and the top group is highly clustered in metropolitan regions, such as the Yangtze River Delta (YRD) and the Pearl River Delta (PRD). This clustering makes it easier for streamers to work with large, well-known brands. The bottom group is mainly in charge of expanding the supply chain within the region and relies more on the local industrial base. It is diversified due to the different types of businesses or products. Ultimately, we draw attention to adaptive spatial planning and resource allocation in the context of the economic and geographic reforms brought by this growing industry, and discuss the policy implications based on the relationships between the supply of and demand for live streamers from a broader regional perspective.</t>
  </si>
  <si>
    <t>[Zhu, Yiwen; Yan, Simin] East China Normal Univ, Ctr Modern Chinese City Studies, Shanghai 200062, Peoples R China; [Zhang, Xumin] East China Normal Univ, Sch Urban &amp; Reg Sci, Shanghai 200062, Peoples R China; [Yan, Simin; Zou, Lin] Heidelberg Univ, Inst Geog, Fac Chem &amp; Earth Sci, D-69120 Heidelberg, Germany</t>
  </si>
  <si>
    <t>East China Normal University; East China Normal University; Ruprecht Karls University Heidelberg</t>
  </si>
  <si>
    <t>Yan, SM (corresponding author), East China Normal Univ, Ctr Modern Chinese City Studies, Shanghai 200062, Peoples R China.;Yan, SM (corresponding author), Heidelberg Univ, Inst Geog, Fac Chem &amp; Earth Sci, D-69120 Heidelberg, Germany.</t>
  </si>
  <si>
    <t>ywzhu@geo.ecnu.edu.cn; 51213902032@stu.ecnu.edu.cn; simin.yan@stud.uni-heidelberg.de; lr1@uni-heidelberg.de</t>
  </si>
  <si>
    <t>Yan, Simin/0000-0003-2163-3125</t>
  </si>
  <si>
    <t>National Nature Science Foundation of China [42101175]; Shanghai Soft Science Research Project of Science and Technological Innovation Plan [23692110300]; Fundamental Research Funds for the Central Universities [2020ECNU-HWFW005]</t>
  </si>
  <si>
    <t>National Nature Science Foundation of China(National Natural Science Foundation of China (NSFC)); Shanghai Soft Science Research Project of Science and Technological Innovation Plan; Fundamental Research Funds for the Central Universities(Fundamental Research Funds for the Central Universities)</t>
  </si>
  <si>
    <t>This research was funded by the National Nature Science Foundation of China, grant number 42101175; the Shanghai Soft Science Research Project of Science and Technological Innovation Plan, grant number 23692110300; and the Fundamental Research Funds for the Central Universities, grant number 2020ECNU-HWFW005.</t>
  </si>
  <si>
    <t>2220-9964</t>
  </si>
  <si>
    <t>ISPRS INT J GEO-INF</t>
  </si>
  <si>
    <t>ISPRS Int. J. Geo-Inf.</t>
  </si>
  <si>
    <t>10.3390/ijgi12060229</t>
  </si>
  <si>
    <t>Computer Science, Information Systems; Geography, Physical; Remote Sensing</t>
  </si>
  <si>
    <t>Computer Science; Physical Geography; Remote Sensing</t>
  </si>
  <si>
    <t>M1LH6</t>
  </si>
  <si>
    <t>WOS:001027837000001</t>
  </si>
  <si>
    <t>Merlino, VM; Sciullo, A; Pettenati, G; Sottile, F; Peano, C; Massaglia, S</t>
  </si>
  <si>
    <t>Merlino, Valentina Maria; Sciullo, Alessandro; Pettenati, Giacomo; Sottile, Francesco; Peano, Cristiana; Massaglia, Stefano</t>
  </si>
  <si>
    <t>Local Production: What Do Consumers Think?</t>
  </si>
  <si>
    <t>local production; consumer perception; food chain; clustering; sustainability; eating styles</t>
  </si>
  <si>
    <t>PURCHASE INTENTION; FOOD; PERCEPTIONS; PREFERENCES; MOTIVATIONS; MOTIVES; HEALTH; CONSTRUCTION; PERSPECTIVE; PROGRAMS</t>
  </si>
  <si>
    <t>Since the mid-1990s, there has been a growing interest among consumers and producers in downscaling to a local level the length of the agri-food chains as a solution for fairer and more sustainable food production systems. From the point of view of consumption, the attribute local is assuming an important role in defining food purchasing preferences, both in terms of expectations of product quality and in terms of its perceived relevance in determining the supply chain sustainability. This research aims to define how individuals' perception of local production influences the definition of local among consumers based on a survey submitted to a sample of 500 consumers in North-Western Italy. The paper provides: (i) a semantic map built on keywords adopted by the respondents to describe local production; (ii) a categorization of food consumers divided in clusters on the basis of their eating styles; and (iii) a characterization of consumers clusters according to the preferences and knowledge expressed towards local production. The results show that consumers' awareness and attitudes towards the concept of the local are influenced by the joint effect of their socio-demographic profile and their food consumption style, with some unexpected evidences that would deserve to be deepen with further research. However, given this uncertainty, three main traits seem to characterize the consumers attitude towards the local: a positive relation among the dimensions of environment, local development and product quality and the strength of the link between local production and the reduction of the length of the supply chain. Ultimately, territoriality is perceived as an index of higher product quality (seasonal, therefore fresh and genuine).</t>
  </si>
  <si>
    <t>[Merlino, Valentina Maria; Peano, Cristiana; Massaglia, Stefano] Univ Turin, Dept Agr Forest &amp; Food Sci, I-10095 Grugliasco, Italy; [Sciullo, Alessandro; Pettenati, Giacomo] Univ Turin, Dept Culture Polit &amp; Soc, I-10153 Turin, Italy; [Sottile, Francesco] Univ Palermo, Dept Architecture, Viale Sci,Ed 14, I-90128 Palermo, Italy</t>
  </si>
  <si>
    <t>University of Turin; University of Turin; University of Palermo</t>
  </si>
  <si>
    <t>Merlino, VM (corresponding author), Univ Turin, Dept Agr Forest &amp; Food Sci, I-10095 Grugliasco, Italy.</t>
  </si>
  <si>
    <t>valentina.merlino@unito.it; alessandro.sciullo@unito.it; giacomo.pettenati@unito.it; francesco.sottile@unipa.it; cristiana.peano@unito.it; stefano.massaglia@unito.it</t>
  </si>
  <si>
    <t>Merlino, VALENTINA Maria/K-7517-2019; Sottile, Francesco/I-8115-2019</t>
  </si>
  <si>
    <t>Merlino, VALENTINA Maria/0000-0003-1894-2058; Sottile, Francesco/0000-0002-7774-6172; MASSAGLIA, STEFANO/0000-0002-7617-1696; peano, cristiana/0000-0001-8860-0139</t>
  </si>
  <si>
    <t>10.3390/su14063623</t>
  </si>
  <si>
    <t>0B0BY</t>
  </si>
  <si>
    <t>WOS:000774310500001</t>
  </si>
  <si>
    <t>DuHadway, S; Narasimhan, R</t>
  </si>
  <si>
    <t>DuHadway, Scott; Narasimhan, Ram</t>
  </si>
  <si>
    <t>Subverting Process-Based Controls: Oscillation in Automotive Recalls and a Simulation on Opportunism within a Network</t>
  </si>
  <si>
    <t>Agent-Based Simulation; Fraud Triangle; Networks; Opportunism; Product Recalls; Risk; Supply Chain Fraud</t>
  </si>
  <si>
    <t>SUPPLY CHAIN ISSUES; TRUST; DEPENDENCE; GOVERNANCE; MECHANISMS; KNOWLEDGE; DYNAMICS; QUALITY; SYSTEM; DRIVEN</t>
  </si>
  <si>
    <t>The increase in the frequency and impact of automotive recalls has had broad reaching economic and social consequences. Recent examples of automotive recalls suggest that some are due to deliberate actions of firms to subvert processes designed to ensure quality. Such controls are dependent on partners acting in good faith in the relationship and abiding by relational norms and so do not recognize the risks of firms lying, falsifying data, or intentionally circumventing process-based controls. Data on automotive recalls shows that recalls exhibit a statistically significant oscillatory pattern with an estimated period of around 3.6 years. We argue that the cyclical pattern in automotive recalls is due, in part, to opportunistic behavior within a network, which is likely to spread and be reciprocated. To test whether opportunism can lead to similar network effects, we develop an agent-based simulation to model opportunism within a network of connected firms. The simulation is based on an extension of the prisoner's dilemma where the cooperate/defect decision is based on a dyadic relational model driven by trust, knowledge, and dependence levels within each relationship. The results from the simulation suggest that cyclical patterns, similar to those in automotive recalls, emerge as well as behavioral clustering within the network, where connected firms exhibit highly similar behaviors that tend to cycle within small clusters. Therefore, opportunistic behavior in supply networks might be an important, relational determinant of product recalls. Our dynamic modeling approach differs from current perspectives on understanding product recalls, contributing to the current literature.</t>
  </si>
  <si>
    <t>[DuHadway, Scott] Portland State Univ, Sch Business, Portland, OR 97201 USA; [Narasimhan, Ram] Michigan State Univ, Broad Coll Business, E Lansing, MI 48824 USA</t>
  </si>
  <si>
    <t>Portland State University; Michigan State University</t>
  </si>
  <si>
    <t>DuHadway, S (corresponding author), Portland State Univ, Sch Business, Portland, OR 97201 USA.</t>
  </si>
  <si>
    <t>duhadway@pdx.edu; narasimh@broad.msu.edu</t>
  </si>
  <si>
    <t>10.1111/deci.12472</t>
  </si>
  <si>
    <t>XT0RL</t>
  </si>
  <si>
    <t>WOS:000548237300001</t>
  </si>
  <si>
    <t>Vale, R; Vale, P; Gibbs, H; Pedrón, D; Engelmann, J; Pereira, R; Barreto, P</t>
  </si>
  <si>
    <t>Vale, Ricardo; Vale, Petterson; Gibbs, Holly; Pedron, Daniel; Engelmann, Jens; Pereira, Ritaumaria; Barreto, Paulo</t>
  </si>
  <si>
    <t>Regional expansion of the beef industry in Brazil: from the coast to the Amazon, 1960-2017</t>
  </si>
  <si>
    <t>REGIONAL STUDIES REGIONAL SCIENCE</t>
  </si>
  <si>
    <t>region; Amazon; Cerrado; cattle; beef; meatpacking; slaughterhouse; Brazil; market concentration; land use</t>
  </si>
  <si>
    <t>SUPPLY-CHAIN; MEAT-PACKING; POWER; DEFORESTATION; CONSERVATION; COMPETITION</t>
  </si>
  <si>
    <t>A regional approach to the study of Brazil's beef industry is increasingly relevant as deforestation takes centre stage in policy debates worldwide. To what extent has beef production expanded toward regions hosting sensitive ecosystems such as the Amazon? Important data limitations remain to answer this question, especially regarding slaughterhouses, fundamental to the beef supply chain. This paper addresses the data gap on slaughterhouse location and history and provides novel regional analysis. We map the beef industry's evolution into Brazil's interior over the last six decades and quantify changes in market concentration between 2006 and 2016. To accomplish this, we triangulated across fiscal and animal sanitation data sources to produce the first longitudinal dataset with information on the opening and closing dates, locations, and production volumes of 2602 slaughterhouses. We show the linear movement of slaughterhouses and cattle herds to the Amazon by tracking their geographical centres of gravity. We also show the clustering pattern of slaughterhouses. Until the 1960s, all the geographical clusters were located south of the capital, Brasilia. By the early 2000s, clusters north of Brasilia were almost as extensive. Finally, we assessed the degree of market power that the largest beef-processing companies possess. The results indicate that market concentration increased in regions of more recent settlement further away from the coast, and that it remained relatively stable in states near the coast (Minas Gerais, Sao Paulo). The results shed light on the relationship between displacement toward the Amazon and Cerrado regions and economic concentration.</t>
  </si>
  <si>
    <t>[Vale, Ricardo; Vale, Petterson; Pedron, Daniel] Univ Sao Paulo Ribeirao Preto, Dept Econ, Ribeirao Preto, Brazil; [Vale, Ricardo; Vale, Petterson; Gibbs, Holly; Engelmann, Jens] Univ Wisconsin, Nelson Inst Environm Studies, Ctr Sustainabil &amp; Global Environm SAGE, Madison, WI 53706 USA; [Gibbs, Holly] Univ Wisconsin, Dept Geog, Madison, WI 53706 USA; [Pereira, Ritaumaria; Barreto, Paulo] IMAZON Amazon Inst People &amp; Environm, Belem, Para, Brazil</t>
  </si>
  <si>
    <t>Universidade de Sao Paulo; University of Wisconsin System; University of Wisconsin Madison; University of Wisconsin System; University of Wisconsin Madison</t>
  </si>
  <si>
    <t>Vale, R (corresponding author), Univ Sao Paulo Ribeirao Preto, Dept Econ, Ribeirao Preto, Brazil.;Vale, R (corresponding author), Univ Wisconsin, Nelson Inst Environm Studies, Ctr Sustainabil &amp; Global Environm SAGE, Madison, WI 53706 USA.</t>
  </si>
  <si>
    <t>ricampante@gmail.com</t>
  </si>
  <si>
    <t>Pereira, Ritaumaria/J-7584-2015</t>
  </si>
  <si>
    <t>Pereira, Ritaumaria/0000-0002-9841-4775; Campante Cardoso Vale, Ricardo/0000-0003-0285-3464; Vale, Petterson/0000-0003-1897-0243; Gibbs, Holly/0000-0001-8420-3259</t>
  </si>
  <si>
    <t>Direktoratet for Utviklingssamarbeid; Norwegian Agency for Development Cooperation's Department for Civil Society under the Norwegian Forest and Climate Initiative [1706-055]; Gordon and Betty Moore Foundation [1810-02]</t>
  </si>
  <si>
    <t>Direktoratet for Utviklingssamarbeid; Norwegian Agency for Development Cooperation's Department for Civil Society under the Norwegian Forest and Climate Initiative; Gordon and Betty Moore Foundation(Gordon and Betty Moore Foundation)</t>
  </si>
  <si>
    <t>This work was supported by the Direktoratet for Utviklingssamarbeid, the Norwegian Agency for Development Cooperation's Department for Civil Society under the Norwegian Forest and Climate Initiative [grant number 1706-055]; and the Gordon and Betty Moore Foundation [grant number 1810-02]. The funders had no involvement in the study's execution or in the decision to submit the paper.</t>
  </si>
  <si>
    <t>2168-1376</t>
  </si>
  <si>
    <t>REG STUD REG SCI</t>
  </si>
  <si>
    <t>Reg. Stud. Reg. Sci.</t>
  </si>
  <si>
    <t>10.1080/21681376.2022.2130088</t>
  </si>
  <si>
    <t>5U7SO</t>
  </si>
  <si>
    <t>WOS:000876743100001</t>
  </si>
  <si>
    <t>Göçmen, E</t>
  </si>
  <si>
    <t>Gocmen, Elifcan</t>
  </si>
  <si>
    <t>Linear programming with fuzzy parameters for inventory routing problem in effective management of personal protective equipment: a case study of corona virus disease 2019</t>
  </si>
  <si>
    <t>ENERGY SOURCES PART A-RECOVERY UTILIZATION AND ENVIRONMENTAL EFFECTS</t>
  </si>
  <si>
    <t>Inventory-routing problem; covid-19; epidemic outbreaks; medical waste; fuzzy environment</t>
  </si>
  <si>
    <t>Coronavirus disease 2019 (COVID-19) brings about severe disruptions for human living, economics, and environmental balance. This pandemic has boosted the demand for personal protective equipment (PPE) and thus, medical wastes. Thus, a research hypothesis is stated whether it would be possible to provide more efficient distribution and inventory planning to optimize the PPE availability in a fuzzy environment. To confirm the hypothesis, in addition to addressing a scientific novelty considering integration of linear programming with fuzzy parameters, named as the Jimenez's method and clustering heuristic methods, the practicality of these approaches is provided on a real case study and generated instances from Turkey. The computational results reveal that clustering the 32% of the hospitals ensures optimum total cost and solution time while feasibility degree changes between 0, 4, and 1 values of the Jimenez are not more effective on the results. Improved cost results reveal the economic importance of the healthcare supply chain management and optimal PPE distribution and inventory planning can break down the disease propagation and reduce the detrimental impacts on human life. The proposed approach, for the first time, ensures practical and theoretical insights of distribution and storage decisions across disciplines, namely, engineering and health-care organization authorities.</t>
  </si>
  <si>
    <t>[Gocmen, Elifcan] Munzur Univ, Dept Ind Engn, Fac Engn, Tunceli, Turkey</t>
  </si>
  <si>
    <t>Munzur University</t>
  </si>
  <si>
    <t>Göçmen, E (corresponding author), Munzur Univ, Dept Ind Engn, Fac Engn, Tunceli, Turkey.</t>
  </si>
  <si>
    <t>elifcangocmen@munzur.edu.tr</t>
  </si>
  <si>
    <t>Göçmen, Elifcan/GRJ-9181-2022</t>
  </si>
  <si>
    <t>1556-7036</t>
  </si>
  <si>
    <t>1556-7230</t>
  </si>
  <si>
    <t>ENERG SOURCE PART A</t>
  </si>
  <si>
    <t>Energy Sources Part A-Recovery Util. Environ. Eff.</t>
  </si>
  <si>
    <t>DEC 21</t>
  </si>
  <si>
    <t>10.1080/15567036.2020.1861133</t>
  </si>
  <si>
    <t>Energy &amp; Fuels; Engineering, Chemical; Environmental Sciences</t>
  </si>
  <si>
    <t>Energy &amp; Fuels; Engineering; Environmental Sciences &amp; Ecology</t>
  </si>
  <si>
    <t>5M8MX</t>
  </si>
  <si>
    <t>WOS:000603746800001</t>
  </si>
  <si>
    <t>Bhatnagar, V; Majhi, R; Jena, PR</t>
  </si>
  <si>
    <t>Bhatnagar, Vikas; Majhi, Ritanjali; Jena, Pradyot Ranjan</t>
  </si>
  <si>
    <t>Comparative Performance Evaluation of Clustering Algorithms for Grouping Manufacturing Firms</t>
  </si>
  <si>
    <t>ARABIAN JOURNAL FOR SCIENCE AND ENGINEERING</t>
  </si>
  <si>
    <t>K-Means; Hierarchical; Fuzzy C-Means; Gaussian Mixture Modeling (GMM); Self Organized Maps (SOM); Cluster evaluation; Cluster ranking</t>
  </si>
  <si>
    <t>PRODUCT DEVELOPMENT; TECHNOLOGICAL-INNOVATION; KNOWLEDGE ACQUISITION; MODERATING ROLES; SUPPLY CHAIN; INVESTMENT; IMPACT</t>
  </si>
  <si>
    <t>Surviving and remaining profitable in market is the biggest requirement for any enterprise in today's business environment because of the stiff competition. Being innovative and staying updated with the latest and trending changes happening in the sector is the key for firms to leave their impression as successful and profit building business house. However, it is not necessary that all the firms should follow same pattern of structure or production procedure even if they come under the same cap of industry but at some point of time up gradation is needed. Appropriate grouping of various manufacturing firms plays a vital role in assessing their credentials. Data relating to appropriate attributes of three types of manufacturing firms are collected. By employing five different clustering techniques each type of these firms are grouped and rank of each method and for each category of industry is evaluated and presented. Results obtained from analysis demonstrate that the overall ranking based on cluster potentiality of different methods is ordered as Self Organized Maps, Gaussian Mixture Model, Fuzzy C-Means, K-Means and Hierarchical techniques. Finding of this study can help the decision makers to devise appropriate strategy for their production pattern according to the firm capability.</t>
  </si>
  <si>
    <t>[Bhatnagar, Vikas; Majhi, Ritanjali] Natl Inst Technol Warangal, Warangal, Andhra Pradesh, India; [Jena, Pradyot Ranjan] Natl Inst Technol Karnataka, Surathkal, India</t>
  </si>
  <si>
    <t>National Institute of Technology (NIT System); National Institute of Technology Warangal; National Institute of Technology (NIT System); National Institute of Technology Karnataka</t>
  </si>
  <si>
    <t>Majhi, R (corresponding author), Natl Inst Technol Warangal, Warangal, Andhra Pradesh, India.</t>
  </si>
  <si>
    <t>ritanjalimajhi@gmail.com</t>
  </si>
  <si>
    <t>Majhi, Ritanjali/AAL-4239-2020; Jena, Dr. Pradyot Ranjan/AAK-2995-2020; Bhatnagar, Vikas/AAX-3844-2021; Li, Wang/M-1612-2019; Majhi, Dr Ritanjali/AAZ-9336-2020</t>
  </si>
  <si>
    <t>Majhi, Ritanjali/0000-0001-6610-4732; Jena, Dr. Pradyot Ranjan/0000-0002-0674-3441; Bhatnagar, Vikas/0000-0002-2683-7189; Majhi, Dr Ritanjali/0000-0001-6610-4732</t>
  </si>
  <si>
    <t>2193-567X</t>
  </si>
  <si>
    <t>2191-4281</t>
  </si>
  <si>
    <t>ARAB J SCI ENG</t>
  </si>
  <si>
    <t>Arab. J. Sci. Eng.</t>
  </si>
  <si>
    <t>10.1007/s13369-017-2788-4</t>
  </si>
  <si>
    <t>GL8KQ</t>
  </si>
  <si>
    <t>WOS:000437469800016</t>
  </si>
  <si>
    <t>Kang, J; Tariq, S; Oh, H; Woo, SS</t>
  </si>
  <si>
    <t>Kang, Junhyung; Tariq, Shahroz; Oh, Han; Woo, Simon S.</t>
  </si>
  <si>
    <t>A Survey of Deep Learning-Based Object Detection Methods and Datasets for Overhead Imagery</t>
  </si>
  <si>
    <t>Object detection; Head; Detectors; Transformers; Satellites; Feature extraction; Remote sensing; Object detection; satellites; synthetic aperture radar; unmanned aerial vehicles</t>
  </si>
  <si>
    <t>VEHICLE DETECTION; SHIP DETECTION; BUILDINGS</t>
  </si>
  <si>
    <t>Significant advancements and progress made in recent computer vision research enable more effective processing of various objects in high-resolution overhead imagery obtained by various sources from drones, airplanes, and satellites. In particular, overhead images combined with computer vision allow many real-world uses for economic, commercial, and humanitarian purposes, including assessing economic impact from access crop yields, financial supply chain prediction for company's revenue management, and rapid disaster surveillance system (wildfire alarms, rising sea levels, weather forecast). Likewise, object detection in overhead images provides insight for use in many real-world applications yet is still challenging because of substantial image volumes, inconsistent image resolution, small-sized objects, highly complex backgrounds, and nonuniform object classes. Although extensive studies in deep learning-based object detection have achieved remarkable performance and success, they are still ineffective yielding a low detection performance, due to the underlying difficulties in overhead images. Thus, high-performing object detection in overhead images is an active research field to overcome such difficulties. This survey paper provides a comprehensive overview and comparative reviews on the most up-to-date deep learning-based object detection in overhead images. Especially, our work can shed light on capturing the most recent advancements of object detection methods in overhead images and the introduction of overhead datasets that have not been comprehensively surveyed before.</t>
  </si>
  <si>
    <t>[Kang, Junhyung; Woo, Simon S.] Sungkyunkwan Univ, Dept Artificial Intelligence, Suwon 16419, South Korea; [Tariq, Shahroz] Sungkyunkwan Univ, Dept Comp Sci &amp; Engn, Suwon, South Korea; [Tariq, Shahroz] CSIRO, Data61, Canberra, ACT, Australia; [Oh, Han] Korea Aerosp Res Inst KARI, Natl Satellite Operat &amp; Applicat Ctr, Daejeon 34133, South Korea; [Woo, Simon S.] Sungkyunkwan Univ, Dept Appl Data Sci, Suwon 16419, South Korea</t>
  </si>
  <si>
    <t>Sungkyunkwan University (SKKU); Sungkyunkwan University (SKKU); Commonwealth Scientific &amp; Industrial Research Organisation (CSIRO); Korea Aerospace Research Institute (KARI); Sungkyunkwan University (SKKU)</t>
  </si>
  <si>
    <t>Woo, SS (corresponding author), Sungkyunkwan Univ, Dept Artificial Intelligence, Suwon 16419, South Korea.;Woo, SS (corresponding author), Sungkyunkwan Univ, Dept Appl Data Sci, Suwon 16419, South Korea.</t>
  </si>
  <si>
    <t>swoo@g.skku.edu</t>
  </si>
  <si>
    <t>Tariq, Shahroz/AAL-4231-2021</t>
  </si>
  <si>
    <t>Tariq, Shahroz/0000-0001-9090-0579; Kang, Junhyung/0000-0003-1258-6232</t>
  </si>
  <si>
    <t>Institute of Information and Communications Technology Planning and Evaluation (IITP) - Korea Government (MSIT), AI Graduate School Support Program, Sungkyunkwan University [2019-0-00421]; Regional strategic industry convergence security core talent training business [2019-0-01343]; Basic Science Research Program through the National Research Foundation of Korea (NRF) - Korea Government (MSIT) [2020R1C1C1006004, 2020M1A3B2A02084969]; IITP grant - Korea Government (MSIT), Original Technology Development of Artificial Intelligence Industry [2021-0-02157, 2021-0-00017]; Institute of Information and Communications Technology Planning and Evaluation (IITP) Grant - Korea Government (MSIT) (Artificial Intelligence Innovation Hub) [2021-0-02068]; National Research Foundation of Korea [2020R1C1C1006004, 2020M1A3B2A02084969] Funding Source: Korea Institute of Science &amp; Technology Information (KISTI), National Science &amp; Technology Information Service (NTIS)</t>
  </si>
  <si>
    <t>Institute of Information and Communications Technology Planning and Evaluation (IITP) - Korea Government (MSIT), AI Graduate School Support Program, Sungkyunkwan University(Institute for Information &amp; Communication Technology Planning &amp; Evaluation (IITP), Republic of KoreaMinistry of Science &amp; ICT (MSIT), Republic of Korea); Regional strategic industry convergence security core talent training business; Basic Science Research Program through the National Research Foundation of Korea (NRF) - Korea Government (MSIT)(National Research Foundation of KoreaMinistry of Science &amp; ICT (MSIT), Republic of Korea); IITP grant - Korea Government (MSIT), Original Technology Development of Artificial Intelligence Industry(Institute for Information &amp; Communication Technology Planning &amp; Evaluation (IITP), Republic of KoreaMinistry of Science &amp; ICT (MSIT), Republic of Korea); Institute of Information and Communications Technology Planning and Evaluation (IITP) Grant - Korea Government (MSIT) (Artificial Intelligence Innovation Hub)(Institute for Information &amp; Communication Technology Planning &amp; Evaluation (IITP), Republic of KoreaMinistry of Science &amp; ICT (MSIT), Republic of Korea); National Research Foundation of Korea(National Research Foundation of Korea)</t>
  </si>
  <si>
    <t>This work was supported in part by the Institute of Information and Communications Technology Planning and Evaluation (IITP) grant funded by the Korea Government (MSIT), AI Graduate School Support Program, Sungkyunkwan University, under Grant 2019-0-00421; in part by the Regional strategic industry convergence security core talent training business under Grant 2019-0-01343; in part by the Basic Science Research Program through the National Research Foundation of Korea (NRF) grant funded by Korea Government (MSIT) under Grant 2020R1C1C1006004 and Grant 2020M1A3B2A02084969; in part by IITP grant funded by the Korea Government (MSIT), Original Technology Development of Arti~cial Intelligence Industry, under Grant 2021-0-02157 and Grant 2021-0-00017; and in part by the Institute of Information and Communications Technology Planning and Evaluation (IITP) Grant funded by the Korea Government (MSIT) (Arti~cial Intelligence Innovation Hub) under Grant 2021-0-02068.</t>
  </si>
  <si>
    <t>10.1109/ACCESS.2022.3149052</t>
  </si>
  <si>
    <t>ZM0PF</t>
  </si>
  <si>
    <t>WOS:000764068100001</t>
  </si>
  <si>
    <t>Huma, ZE; Latif, S; Ahmad, J; Idrees, Z; Ibrar, A; Zou, Z; Alqahtani, F; Baothman, F</t>
  </si>
  <si>
    <t>Huma, Zil E.; Latif, Shahid; Ahmad, Jawad; Idrees, Zeba; Ibrar, Anas; Zou, Zhuo; Alqahtani, Fehaid; Baothman, Fatmah</t>
  </si>
  <si>
    <t>A Hybrid Deep Random Neural Network for Cyberattack Detection in the Industrial Internet of Things</t>
  </si>
  <si>
    <t>Industrial Internet of Things; Industries; Performance evaluation; Servers; Malware; Deep learning; Feature extraction; Attack detection; cybersecurity; deep learning; Industrial Internet of Things; random neural network</t>
  </si>
  <si>
    <t>The Industrial Internet of Things (IIoT) refers to the use of traditional Internet of Things (IoT) concepts in industrial sectors and applications. IIoT has several applications in smart homes, smart cities, smart grids, connected cars, and supply chain management. However, these systems are being more frequently targeted by cybercriminals. Deep learning and big data analytics have great potential in designing and developing robust security mechanisms for IIoT networks. In this paper, a novel hybrid deep random neural network (HDRaNN) for cyberattack detection in the IIoT is presented. The HDRaNN combines a deep random neural network and a multilayer perceptron with dropout regularization. The proposed technique is evaluated using two IIoT security-related datasets: (i) DS2OS and (ii) UNSW-NB15. The performance of the proposed scheme is analyzed through a number of performance metrics such as accuracy, precision, recall, F1 score, log loss, Region of Convergence (ROC), and Area Under the Curve (AUC). The HDRaNN classified 16 different types of cyberattacks using with higher accuracy of 98% and 99% for DS2OS and UNSW-NB15, respectively. To measure the effectiveness of the proposed scheme, the performance metrics are also compared with several state-of-the-art attack detection algorithms. The findings of HDRaNN proved its superior performance over other DL-based schemes. The deployment perspective of the proposed work is also highlighted in this work.</t>
  </si>
  <si>
    <t>[Huma, Zil E.] Natl Univ Sci &amp; Technol, Sch Elect Engn &amp; Comp Sci, Islamabad 44000, Pakistan; [Latif, Shahid; Idrees, Zeba; Zou, Zhuo] Fudan Univ, Sch Informat Sci &amp; Engn, State Key Lab ASIC &amp; Syst, Shanghai 200433, Peoples R China; [Ahmad, Jawad] Edinburgh Napier Univ, Sch Comp, Edinburgh EH10 5DT, Midlothian, Scotland; [Ibrar, Anas] Univ Wah, Wah Engn Coll, Dept Elect Engn, Wah Cantt 47040, Pakistan; [Alqahtani, Fehaid] King Fahad Naval Acad, Dept Comp Sci, Jubail Ind City, Saudi Arabia; [Baothman, Fatmah] King Abdulaziz Univ, Fac Comp &amp; Informat Technol, Jeddah 21431, Saudi Arabia</t>
  </si>
  <si>
    <t>National University of Sciences &amp; Technology - Pakistan; Fudan University; Edinburgh Napier University; King Abdulaziz University</t>
  </si>
  <si>
    <t>Ahmad, J (corresponding author), Edinburgh Napier Univ, Sch Comp, Edinburgh EH10 5DT, Midlothian, Scotland.</t>
  </si>
  <si>
    <t>J.Ahmad@napier.ac.uk</t>
  </si>
  <si>
    <t>Ahmad, Jawad/AAC-3119-2020; Baothman, Fatmah FB/I-1019-2016; Latif, Shahid/ABD-5640-2020; Ahmad, Jamil/AAF-5499-2021; Nasarian, Elham/ISB-6863-2023</t>
  </si>
  <si>
    <t>Ahmad, Jawad/0000-0001-6289-8248; Baothman, Fatmah FB/0000-0003-0344-1007; Latif, Shahid/0000-0002-6368-2729; Ahmad, Jamil/0000-0001-6618-6811; zou, zhuo/0000-0002-8546-1329; Idrees, Zeba/0000-0002-7918-0440; Ibrar, Anas/0000-0001-7942-4663</t>
  </si>
  <si>
    <t>10.1109/ACCESS.2021.3071766</t>
  </si>
  <si>
    <t>RO4LK</t>
  </si>
  <si>
    <t>WOS:000641016300001</t>
  </si>
  <si>
    <t>Hashemi, M; Momeni, A; Pashrashid, A; Mohammadi, S</t>
  </si>
  <si>
    <t>Hashemi, M.; Momeni, A.; Pashrashid, A.; Mohammadi, S.</t>
  </si>
  <si>
    <t>Graph Centrality Algorithms for Hardware Trojan Detection at Gate-Level Netlists</t>
  </si>
  <si>
    <t>INTERNATIONAL JOURNAL OF ENGINEERING</t>
  </si>
  <si>
    <t>Hardware Trojan Detection; Structural Gate-Level Analysis; Graph Centrality Algorithms; Feature Extraction; Feature Selection</t>
  </si>
  <si>
    <t>FEATURES</t>
  </si>
  <si>
    <t>The rapid growth in the supply chain of electronic devices has led companies to purchase Intellectual Property or Integrated Circuits from unreliable sources. This dispersion in the design to fabrication stages of IP/IC has led to new attacks called hardware Trojans. Hardware Trojans can bargain information, reduce performance, or cause failure. Various methods have been introduced to detect or prevent hardware Trojans. Machine learning methods are one of these. Selecting the type and number of input variables in the learning algorithm has an important role in the performance of the learning model. Some previous hardware Trojan detection studies have used structural gate-level features to create data sets for machine learning models. In this paper, a method based on directed graphs for extracting features is proposed. The proposed method use Graph Centrality Algorithm and structural gate-level features. To examine the importance and the impact of the extracted features with the proposed method, three types of data sets are created as input to the learning model made with XGBoost. The trained learning models based on these three data sets show that extracting graph-based features has improved the F1-score by 10% and the ROC by 22%. The combination of these features with the structural gate-level features improved the F1-score by 17.5% and the ROC by 38.5%.</t>
  </si>
  <si>
    <t>[Hashemi, M.; Momeni, A.; Mohammadi, S.] Univ Tehran, Coll Engn, Sch Elect &amp; Comp Engn, Tehran, Iran; [Pashrashid, A.] Sharif Univ Technol, Dept Comp Engn, Tehran, Iran</t>
  </si>
  <si>
    <t>University of Tehran; Sharif University of Technology</t>
  </si>
  <si>
    <t>Mohammadi, S (corresponding author), Univ Tehran, Coll Engn, Sch Elect &amp; Comp Engn, Tehran, Iran.</t>
  </si>
  <si>
    <t>smohamadi@ut.ac.ir</t>
  </si>
  <si>
    <t>Pashrashid, Arash/0000-0001-7414-3571</t>
  </si>
  <si>
    <t>MATERIALS &amp; ENERGY RESEARCH CENTER-MERC</t>
  </si>
  <si>
    <t>16, AHURAMAZDA ST, ALVAND AVE, TEHRAN, 15169, IRAN</t>
  </si>
  <si>
    <t>1025-2495</t>
  </si>
  <si>
    <t>1735-9244</t>
  </si>
  <si>
    <t>INT J ENG-IRAN</t>
  </si>
  <si>
    <t>Int. J. Eng.</t>
  </si>
  <si>
    <t>10.5829/ije.2022.35.07a.16</t>
  </si>
  <si>
    <t>8U2LW</t>
  </si>
  <si>
    <t>WOS:000929783000002</t>
  </si>
  <si>
    <t>Reis, MS; Saraiva, PM</t>
  </si>
  <si>
    <t>Reis, Marco S.; Saraiva, Pedro M.</t>
  </si>
  <si>
    <t>Data-Driven Process System Engineering-Contributions to its consolidation following the path laid down by George Stephanopoulos</t>
  </si>
  <si>
    <t>Process Analytics; Process Systems Engineering 4.0; Data science; Industry 4.0; Artificial Intelligence; Data-Driven PSE</t>
  </si>
  <si>
    <t>PRINCIPAL COMPONENT ANALYSIS; AUTOMATIC FEATURE-EXTRACTION; PROCESS DESIGN OPTIMIZATION; MONITORING BATCH PROCESSES; FAULT-DETECTION; MEASUREMENT UNCERTAINTY; MISSING DATA; INFORMATION FUSION; COMPLEX-SYSTEMS; TIME RESOLUTION</t>
  </si>
  <si>
    <t>The number and diversity of Process Analytics applications is growing fast, impacting areas ranging from process operations to strategic planning or supply chain management. However, this field has not reached yet a maturity level characterized by a stable, organized and consolidated body of knowledge for handling the main classes of problems that need to be faced. Data-Driven Process Systems Engineering and Process Analytics only recently received wider recognition, becoming a regular presence in journals and conferences. As a tribute to the groundbreaking Process Analytics contributions of George Stephanopoulos, namely through his academic tree, to which we are proud to belong, this article aims to contribute to the systematization and consolidation of this field in the broad PSE scope, starting from a fundamental understanding of the key challenges facing it, and constructing from them a workflow that can flexibly be adapted to handle different problems, aimed at supporting value creation through good decision-making. In this path, we base our foresight and conceptual framework on the authors' experience, as well as on contributions from other researchers that, across the world, have been collectively pushing forward Data-Driven Process Systems Engineering. (C) 2022 Elsevier Ltd. All rights reserved.</t>
  </si>
  <si>
    <t>[Reis, Marco S.; Saraiva, Pedro M.] Univ Coimbra, Dept Chem Engn, CIEPQPF, Rua Silvio Lima, P-3030790 Coimbra, Portugal; [Saraiva, Pedro M.] NOVA Univ Lisbon, P-1099085 Lisbon, Portugal</t>
  </si>
  <si>
    <t>Universidade de Coimbra; Universidade Nova de Lisboa</t>
  </si>
  <si>
    <t>Reis, MS (corresponding author), Univ Coimbra, Dept Chem Engn, CIEPQPF, Rua Silvio Lima, P-3030790 Coimbra, Portugal.</t>
  </si>
  <si>
    <t>marco@eq.uc.pt</t>
  </si>
  <si>
    <t>Chemical Process Engineering and Forest Products Research center (CIEPQPF) - FCT/MCTES [UID/EQU/00102/2019]</t>
  </si>
  <si>
    <t>Chemical Process Engineering and Forest Products Research center (CIEPQPF) - FCT/MCTES</t>
  </si>
  <si>
    <t>The authors acknowledge support from the Chemical Process Engineering and Forest Products Research center (CIEPQPF), which is financed by national funds from FCT/MCTES (reference UID/EQU/00102/2019).</t>
  </si>
  <si>
    <t>10.1016/j.compchemeng.2022.107675</t>
  </si>
  <si>
    <t>YY1RL</t>
  </si>
  <si>
    <t>WOS:000754571300008</t>
  </si>
  <si>
    <t>Batni, RP; Heck, JF</t>
  </si>
  <si>
    <t>Batni, Ramachendra P.; Heck, John F.</t>
  </si>
  <si>
    <t>An Analytics Engine Architecture for Service Provider Deployments</t>
  </si>
  <si>
    <t>BELL LABS TECHNICAL JOURNAL</t>
  </si>
  <si>
    <t>Service providers are continually looking for new applications to increase revenues, enhance the end user experience, and be a part of an emerging next-generation services value chain. Service providers can play an important role in this emerging market by leveraging data mining and analytics. In this paper, we propose an analytics engine (AE), an application enabler that accepts inputs from various sources in real time and non-real time, such as subscriber historic, static, dynamic, and application data available in the service provider's network and from external sources including end users. It analyzes the data to develop and continuously refine user profiles that can be used by other applications. There is a growing demand for real time business intelligence which correlates to a shift in how that information is being used. The idea is to use some small aggregate summary output of analytics to help guide the real time decisions, such as in providing relevant advertising and in service simplification/personalization. Use of an analytics engine will enable service providers quickly to monetize information available in their networks today (C) 2008 Alcatel-Lucent.</t>
  </si>
  <si>
    <t>[Batni, Ramachendra P.] AT&amp;T Bell Labs, Murray Hill, NJ USA; [Batni, Ramachendra P.] IIT, US &amp; Int Telecommun Div, Chicago, IL 60616 USA</t>
  </si>
  <si>
    <t>Nokia Corporation; Nokia Bell Labs; AT&amp;T; Illinois Institute of Technology</t>
  </si>
  <si>
    <t>JOHN WILEY &amp; SONS INC</t>
  </si>
  <si>
    <t>111 RIVER ST, HOBOKEN, NJ 07030 USA</t>
  </si>
  <si>
    <t>1089-7089</t>
  </si>
  <si>
    <t>BELL LABS TECH J</t>
  </si>
  <si>
    <t>Bell Labs Tech. J.</t>
  </si>
  <si>
    <t>10.1002/bltj.20329</t>
  </si>
  <si>
    <t>376QW</t>
  </si>
  <si>
    <t>WOS:000261199100012</t>
  </si>
  <si>
    <t>The European value chain network: key regions and Brexit implications</t>
  </si>
  <si>
    <t>EUROPEAN PLANNING STUDIES</t>
  </si>
  <si>
    <t>Global value chains; key regions; clusters; network analysis; European Union; Brexit</t>
  </si>
  <si>
    <t>GLOBAL VALUE CHAINS; AGGLOMERATION</t>
  </si>
  <si>
    <t>This paper provides an original empirical analysis of the European regional production network, making use of the interregional world input-output database. Similar to the concept of key sectors, a network analysis of key regions and key region-sectors of the EU in the global value chains (GVC) is carried out, taking into account both direct and indirect linkages. Additionally, a clustering analysis is performed to indicate the existence of highly interconnected groups of regions and the polarized structure of the European value chain network. The analysis is extended to quantify implications of Brexit, showing the relative vulnerability of the most internationalized regions and the differentiated sectoral impact according to the geographical origin, as London would mostly affect (tourism and financial) services, whereas the rest of the UK regions would mainly affect manufacturing activities. The findings suggest the considerable heterogeneity of European value chains as a result of varying levels of urban hierarchy, trade specialization between and within countries as well as sectoral concentration of regional economies. The empirical findings can provide valuable policy insights for supporting coordinated economic strategies to enhance regional competitiveness, development and cohesion, and reduce trade imbalances and spatial inequalities in the EU.</t>
  </si>
  <si>
    <t>[Tsekeris, Theodore] Ctr Planning &amp; Econ Res KEPE, 11 Amerikis Str, Athens 10672, Greece; [Tsekeris, Theodore] Stellenbosch Univ, Sch Publ Leadership, Stellenbosch, Western Cape, South Africa</t>
  </si>
  <si>
    <t>Stellenbosch University</t>
  </si>
  <si>
    <t>Tsekeris, T (corresponding author), Ctr Planning &amp; Econ Res KEPE, 11 Amerikis Str, Athens 10672, Greece.</t>
  </si>
  <si>
    <t>0965-4313</t>
  </si>
  <si>
    <t>1469-5944</t>
  </si>
  <si>
    <t>EUR PLAN STUD</t>
  </si>
  <si>
    <t>Eur. Plan. Stud.</t>
  </si>
  <si>
    <t>10.1080/09654313.2020.1850646</t>
  </si>
  <si>
    <t>Environmental Studies; Geography; Regional &amp; Urban Planning; Urban Studies</t>
  </si>
  <si>
    <t>Environmental Sciences &amp; Ecology; Geography; Public Administration; Urban Studies</t>
  </si>
  <si>
    <t>TE5RI</t>
  </si>
  <si>
    <t>WOS:000591482700001</t>
  </si>
  <si>
    <t>Khan, AA; Abonyi, J</t>
  </si>
  <si>
    <t>Khan, Athar Ajaz; Abonyi, Janos</t>
  </si>
  <si>
    <t>Information sharing in supply chains-Interoperability in an era of circular economy</t>
  </si>
  <si>
    <t>CLEANER LOGISTICS AND SUPPLY CHAIN</t>
  </si>
  <si>
    <t>Supply chains informatics; Data Integration; Interoperability; Supply chain data standards; Circular economy; SSCM; Optimization; Industry 5; 0</t>
  </si>
  <si>
    <t>BIG DATA ANALYTICS; SIMULATION-BASED OPTIMIZATION; ELECTRONIC DATA INTERCHANGE; PRODUCT LIFE-CYCLE; BLOCKCHAIN-TECHNOLOGY; PREDICTIVE ANALYTICS; INVENTORY MANAGEMENT; DECISION-MAKING; CLOUD SERVICE; DIGITAL TWIN</t>
  </si>
  <si>
    <t>In order to realize the goals of Industry 5.0 (I5.0), which has data interoperability as one of its core principles, the future research in the Supply Chain (SC) visibility has to be aligned with socially, economically and environmentally sustainable objectives. Within the purview of circular economy, this paper indicates various aspects and implications of data sharing in the SCs in light of the published research. Taking into consideration the heterogeneity of data sources and standards, this article also catalogs all the major data-sharing technologies being employed in sharing data digitally across the SCs. Drawing on the published research from 2015 to 2021, following the PRISMA framework, this paper presents the state of research in the field of data sharing in SCs in terms of their standardization, optimization, simulation, automation, security and more notably sustainability. Using the co-occurrence metric, bibliometric analysis has been conducted such that the collected research is categorized under various keyword clusters and regional themes. This article brings together two major themes in reviewing the research in the field. Firstly, the bibliometric analysis of the published articles demonstrates the contours of the current state of research and the future possibilities in the field. Secondly, in synthesizing the research on the foundations of sustainability within the CRoss Industry Standard Process for Data Mining (CRISP-DM) framework, this article deals with various aspects and implications of information sharing in the SCs. By bringing these two themes together, this paper affords a prospective researcher with the research vis-`a-vis the information sharing in SC, starting from the actual data standards in use to the modality and consequence of their application within the perspective of the circular economy. This article, in essence, indicates how all the aspects of data sharing in SCs may be brought together in service of the paradigm of I5.0.</t>
  </si>
  <si>
    <t>[Khan, Athar Ajaz; Abonyi, Janos] Univ Pannonia, ELKH PE Complex Syst Monitoring Res Grp, H-8200 Veszprem, Hungary</t>
  </si>
  <si>
    <t>Eotvos Lorand Research Network; Office for Supported Research Groups (ELKH); University of Pannonia</t>
  </si>
  <si>
    <t>Khan, AA (corresponding author), Univ Pannonia, ELKH PE Complex Syst Monitoring Res Grp, H-8200 Veszprem, Hungary.</t>
  </si>
  <si>
    <t>athar.ajaz.khan@fmt.uni-pannon.hu; janos@abonyilab.com</t>
  </si>
  <si>
    <t>Ministry for Innovation and Technology of Hungary from the National Research, Development and Innovation Fund [TKP2020-NKA-10]</t>
  </si>
  <si>
    <t>Ministry for Innovation and Technology of Hungary from the National Research, Development and Innovation Fund</t>
  </si>
  <si>
    <t>The publication of the work has been supported by the TKP2020-NKA-10 project with the support provided by the Ministry for Innovation and Technology of Hungary from the National Research, Development and Innovation Fund, enanced under the 2020 Thematic ExcellenceProgramme funding scheme and it has been implemented by the 2020-1.1.2-PIACI-KFI-2020-00076 (Hybrid Cluster) project.</t>
  </si>
  <si>
    <t>2772-3909</t>
  </si>
  <si>
    <t>CLEAN LOGIST SUPPL C</t>
  </si>
  <si>
    <t>Clean. Logist. Supply Chain</t>
  </si>
  <si>
    <t>10.1016/j.clscn.2022.100074</t>
  </si>
  <si>
    <t>O6DH0</t>
  </si>
  <si>
    <t>WOS:001044686700007</t>
  </si>
  <si>
    <t>Abbasi, B; Babaei, T; Hosseinifard, Z; Smith-Miles, K; Dehghani, M</t>
  </si>
  <si>
    <t>Abbasi, Babak; Babaei, Toktam; Hosseinifard, Zahra; Smith-Miles, Kate; Dehghani, Maryam</t>
  </si>
  <si>
    <t>Predicting solutions of large-scale optimization problems via machine learning: A case study in blood supply chain management</t>
  </si>
  <si>
    <t>Data mining; Large-Scale optimization; Machine learning; Perishable inventory management; Neural networks; CART; k-NN; Blood supply chain</t>
  </si>
  <si>
    <t>NEURAL-NETWORKS; SELECTION; IMPACTS; CELLS; MODEL</t>
  </si>
  <si>
    <t>Practical constrained optimization models are often large, and solving them in a reasonable time is a challenge in many applications. Further, many industries have limited access to professional commercial optimization solvers or computational power for use in their day-to-day operational decisions. In this paper, we propose a novel approach to deal with the issue of solving large operational stochastic optimization problems (SOPs) by using machine learning models. We assume that decision makers have access to facilities to optimally solve their large-scale optimization model for some initial and limited period and for some test instances. This might be through a collaborative project with research institutes or through short-term use of high-performance computing facilities. We propose that longer term support can be provided by utilizing the solutions (i.e., the optimal value of the actionable decision variables) of the stochastic optimization model from this initial period to train a machine learning model to learn optimal operational decisions in the future. In this study, the proposed approach is employed to make decisions on transshipment of blood units in a network of hospitals. We compare the decisions learned by several machine learning models with the optimal results obtained if the hospitals had access to commercial optimization solvers and computational power, and with the hospital network's current empirical heuristic policy. The results show that using a trained neural network model reduces the average daily cost by about 29% compared with current policy, while the exact optimal policy reduces the average daily cost by 37%. Although optimization models cannot be fully replaced by machine learning, our proposed approach while not guaranteed to be optimal can improve operational decisions when optimization models are computationally expensive and infeasible for daily operational decisions in organizations such as not-for-profit and small and medium-sized enterprises. (C) 2020 Elsevier Ltd. All rights reserved.</t>
  </si>
  <si>
    <t>[Abbasi, Babak; Dehghani, Maryam] RMIT Univ, Coll Business &amp; Law, Melbourne, Vic 3000, Australia; [Hosseinifard, Zahra] Univ Melbourne, Fac Business &amp; Econ, Parkville, Vic 3010, Australia; [Smith-Miles, Kate] Univ Melbourne, Sch Math &amp; Stat, Parkville, Vic 3010, Australia; [Babaei, Toktam] Queensland Univ Technol, Sch Math Sci, Brisbane, Qld 4000, Australia</t>
  </si>
  <si>
    <t>Royal Melbourne Institute of Technology (RMIT); University of Melbourne; University of Melbourne; Queensland University of Technology (QUT)</t>
  </si>
  <si>
    <t>Abbasi, B (corresponding author), RMIT Univ, Coll Business &amp; Law, Melbourne, Vic 3000, Australia.</t>
  </si>
  <si>
    <t>babak.Abbasi@rmit.edu.au; Toki.babaei@qut.edu.au; zahra.h@unimelb.edu.au; smith-miles@unimelb.edu.au; maryam.dehghani@rmit.edu.au</t>
  </si>
  <si>
    <t>Abbasi, Babak/K-6506-2012; Smith-Miles, Kate/Q-9004-2019; Smith, Kate/IZD-4956-2023</t>
  </si>
  <si>
    <t>Smith-Miles, Kate/0000-0003-2718-7680; Abbasi, Babak/0000-0002-4332-2662; HosseiniFard, Zahra/0000-0002-1064-9079</t>
  </si>
  <si>
    <t>10.1016/j.cor.2020.104941</t>
  </si>
  <si>
    <t>LD6CC</t>
  </si>
  <si>
    <t>WOS:000526116900014</t>
  </si>
  <si>
    <t>Deng, XG; Huet, G; Tan, S; Fortin, C</t>
  </si>
  <si>
    <t>Deng, Xiaoguang; Huet, Greg; Tan, Suo; Fortin, Clement</t>
  </si>
  <si>
    <t>Product decomposition using design structure matrix for intellectual property protection in supply chain outsourcing</t>
  </si>
  <si>
    <t>Risk management; Intellectual property protection; Decision making; Design structure matrix; Supplier selection</t>
  </si>
  <si>
    <t>REQUIREMENTS</t>
  </si>
  <si>
    <t>In global recession, outsourcing becomes a question of survival for most executives who need to restore profitability and growth. One of the critical challenges faced by such decisions is the potential risk of leaking confidential information through shared suppliers and partners. In this paper, a new approach is proposed to decompose a product into several sub-components for mitigating the risk of Intellectual Property (IP) leakage caused by inferences in supply chains. A design structure matrix is employed to study the potential risk of IP leakage considering different types of interactions between product components. Based on such a matrix, a clustering algorithm is developed to decompose and allocate the product components regarding IP protection issue. This methodology can be considered as a decision support tool to help the manufacturer select a set of optimal suppliers while minimizing the information leakage risk and the manufacturing cost. (C) 2012 Elsevier B.V. All rights reserved.</t>
  </si>
  <si>
    <t>[Deng, Xiaoguang; Tan, Suo] Concordia Univ, Inst Informat Syst Engn, Montreal, PQ H3G 1M8, Canada; [Huet, Greg] Ecole Technol Super, Automated Mfg Engn Dept, Montreal, PQ H3C 1K3, Canada; [Fortin, Clement] Polytech Montreal, Dept Mech Engn, Montreal, PQ H3T 1J4, Canada</t>
  </si>
  <si>
    <t>Concordia University - Canada; University of Quebec; Ecole de Technologie Superieure - Canada; Universite de Montreal; Polytechnique Montreal</t>
  </si>
  <si>
    <t>Deng, XG (corresponding author), Concordia Univ, Inst Informat Syst Engn, Montreal, PQ H3G 1M8, Canada.</t>
  </si>
  <si>
    <t>tonydeng@encs.concordia.ca</t>
  </si>
  <si>
    <t>Natural Sciences and Engineering Research Council (NSERC) of Canada [PJ 350114-06, EGP 411677-11]; CRIAQ Pratt &amp; Whitney Canada Corp.; Bombardier Inc.; CMC Electronics Inc.; Rolls-Royce Canada Limited; Mecanica Solution Inc.; NSERC</t>
  </si>
  <si>
    <t>Natural Sciences and Engineering Research Council (NSERC) of Canada(Natural Sciences and Engineering Research Council of Canada (NSERC)); CRIAQ Pratt &amp; Whitney Canada Corp.; Bombardier Inc.; CMC Electronics Inc.; Rolls-Royce Canada Limited(Rolls-Royce Holding Group); Mecanica Solution Inc.; NSERC(Natural Sciences and Engineering Research Council of Canada (NSERC))</t>
  </si>
  <si>
    <t>The research reported in this paper is partially supported by Natural Sciences and Engineering Research Council (NSERC) of Canada through a CRD project (PJ 350114-06) and Engaged project (EGP 411677-11). We are grateful to the financial support from NSERC, CRIAQ Pratt &amp; Whitney Canada Corp., Bombardier Inc., CMC Electronics Inc., Rolls-Royce Canada Limited and Mecanica Solution Inc. Moreover, we express our many thanks to Dr. Yong Zeng and Dr. Lingyu Wang, for their invaluable help and suggestions on this paper. We also thank Xuan Sun, Hamzeh Bani Milhim and Quan Ye, for their constructive comments to enhance the quality of this paper. We also thank the anonymous reviewers to help us greatly in revising this paper.</t>
  </si>
  <si>
    <t>10.1016/j.compind.2012.03.007</t>
  </si>
  <si>
    <t>973TQ</t>
  </si>
  <si>
    <t>WOS:000306383100009</t>
  </si>
  <si>
    <t>Yung, IS; Lai, MH</t>
  </si>
  <si>
    <t>Yung, Ing-Shane; Lai, Ming-Hong</t>
  </si>
  <si>
    <t>Dynamic capabilities in new product development: the case of Asus in motherboard production</t>
  </si>
  <si>
    <t>TOTAL QUALITY MANAGEMENT &amp; BUSINESS EXCELLENCE</t>
  </si>
  <si>
    <t>dynamic capability; motherboard; dominant design; time-to-market</t>
  </si>
  <si>
    <t>PERFORMANCE; MANAGEMENT; EXCELLENCE</t>
  </si>
  <si>
    <t>This empirical research applies the dynamic capability perspective to the field of new product development. Our major focus is in the time-to-market competition of motherboard production in the information technology hardware industry. Product developments of motherboards follow standards of CPUs and chipsets. The dominant architecture of motherboards has been set by Intel and elaborated by Asus. This research studies how processes, positions, and paths of Asus improve its new product development performance. The result shows that sustainable competitive advantages of Asus stem from high-performance routines both inside and outside the firm. The process of integration and coordination, the process of learning, practicing and accumulation of core competence, and the process of reconfiguration and transformation work jointly to shape the best practices in its industry. Positions of technological teamwork and supply chain clustering consolidate its competitive advantages. Learning from original equipment manufacturer operations and collaboration with key suppliers increase technological opportunities and mark the road ahead.</t>
  </si>
  <si>
    <t>[Lai, Ming-Hong] Natl Taichung Univ Sci &amp; Technol, Dept Business Adm, Taichung, Taiwan; [Yung, Ing-Shane] Natl Chiayi Univ, Dept Business Adm, Chiayi, Taiwan</t>
  </si>
  <si>
    <t>National Taichung University of Science &amp; Technology; National Chiayi University</t>
  </si>
  <si>
    <t>Lai, MH (corresponding author), Natl Taichung Univ Sci &amp; Technol, Dept Business Adm, 129,Sect 3,Sun Min Rd, Taichung, Taiwan.</t>
  </si>
  <si>
    <t>mhlai@nutc.edu.tw</t>
  </si>
  <si>
    <t>1478-3363</t>
  </si>
  <si>
    <t>1478-3371</t>
  </si>
  <si>
    <t>TOTAL QUAL MANAG BUS</t>
  </si>
  <si>
    <t>Total Qual. Manag. Bus. Excell.</t>
  </si>
  <si>
    <t>10.1080/14783363.2012.669542</t>
  </si>
  <si>
    <t>033ZJ</t>
  </si>
  <si>
    <t>WOS:000310839600009</t>
  </si>
  <si>
    <t>Balamurugan, S; Ayyasamy, A; Joseph, KS</t>
  </si>
  <si>
    <t>Balamurugan, S.; Ayyasamy, A.; Joseph, K. Suresh</t>
  </si>
  <si>
    <t>Enhanced petri nets for traceability of food management using internet of things</t>
  </si>
  <si>
    <t>Petri nets; Traceability; Supply chain management; K-means; SOM; Clustering</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</si>
  <si>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t>
  </si>
  <si>
    <t>[Balamurugan, S.; Ayyasamy, A.] Annamalai Univ, Dept Comp Sci &amp; Engn, Chidambaram, Tamil Nadu, India; [Joseph, K. Suresh] Pondicherry Univ, Dept Comp Sci, Pondicherry, India</t>
  </si>
  <si>
    <t>Annamalai University; Pondicherry University</t>
  </si>
  <si>
    <t>Balamurugan, S (corresponding author), Annamalai Univ, Dept Comp Sci &amp; Engn, Chidambaram, Tamil Nadu, India.</t>
  </si>
  <si>
    <t>chella40978@gmail.com; samy7771@yahoo.co.in; ksjoseph.csc@gmail.com</t>
  </si>
  <si>
    <t>Balamurugan, Appavu alias/E-4778-2016</t>
  </si>
  <si>
    <t>Balamurugan, Appavu alias/0000-0002-4117-3253</t>
  </si>
  <si>
    <t>10.1007/s12083-020-00943-0</t>
  </si>
  <si>
    <t>PU3IL</t>
  </si>
  <si>
    <t>WOS:000547345900001</t>
  </si>
  <si>
    <t>Wu, DQ; Yan, R; Jin, HT; Cai, FM</t>
  </si>
  <si>
    <t>Wu, Daqing; Yan, Rong; Jin, Hongtao; Cai, Fengmao</t>
  </si>
  <si>
    <t>An Adaptive Nutcracker Optimization Approach for Distribution of Fresh Agricultural Products with Dynamic Demands</t>
  </si>
  <si>
    <t>AGRICULTURE-BASEL</t>
  </si>
  <si>
    <t>dynamic demand; adaptive nutcracker optimizer algorithm; green vehicle routing problem; fresh agricultural products</t>
  </si>
  <si>
    <t>ROUTING PROBLEM; VEHICLE; ALGORITHMS</t>
  </si>
  <si>
    <t>In the operational, strategic and tactical decision-making problems of the agri-food supply chain, the perishable nature of the commodities can represent a particular complexity problem. It is, therefore, appropriate to consider decision support tools that take into account the characteristics of the products, the needs and the requirements of producers, sellers and consumers. This paper presents a green vehicle routing model for fresh agricultural product distribution and designs an adaptive hybrid nutcracker optimization algorithm (AH-NOA) based on k-means clustering to solve the problem. In the process, the AH-NOA uses the CW algorithm to increase population diversity and adds genetic operators and local search operators to enhance the global search ability for nutcracker optimization. Finally, the experimental data show that the proposed approaches effectively avoid local optima, promote population diversity and reduce total costs and carbon emission costs.</t>
  </si>
  <si>
    <t>[Wu, Daqing; Yan, Rong; Jin, Hongtao] Shanghai Ocean Univ, Coll Econ &amp; Management, Shanghai 201306, Peoples R China; [Wu, Daqing] Dept Nanchang Technol, 901 Yingxiong Dadao, Nanchang 330044, Peoples R China; [Cai, Fengmao] Univ Sheffield, Dept Elect &amp; Elect Engn, Sheffield S37AZ, England</t>
  </si>
  <si>
    <t>Shanghai Ocean University; University of Sheffield</t>
  </si>
  <si>
    <t>Jin, HT (corresponding author), Shanghai Ocean Univ, Coll Econ &amp; Management, Shanghai 201306, Peoples R China.</t>
  </si>
  <si>
    <t>htjin@shou.edu.cn</t>
  </si>
  <si>
    <t>China National Social Science Fund Project Study on dynamic optimization of urban main and non-staple food reserve and supply system under abnormal conditions [22BGL274]; Major Projects of the National Social Science Foundation of China [22ZDA058]</t>
  </si>
  <si>
    <t>China National Social Science Fund Project Study on dynamic optimization of urban main and non-staple food reserve and supply system under abnormal conditions; Major Projects of the National Social Science Foundation of China(National Office of Philosophy and Social Sciences)</t>
  </si>
  <si>
    <t>This research was funded by the China National Social Science Fund Project Study on dynamic optimization of urban main and non-staple food reserve and supply system under abnormal conditions (No. 22BGL274), and the Major Projects of the National Social Science Foundation of China (No. 22ZDA058).</t>
  </si>
  <si>
    <t>2077-0472</t>
  </si>
  <si>
    <t>Agriculture-Basel</t>
  </si>
  <si>
    <t>10.3390/agriculture13071430</t>
  </si>
  <si>
    <t>N5ZQ5</t>
  </si>
  <si>
    <t>WOS:001037794700001</t>
  </si>
  <si>
    <t>Vinayavekhin, S; Li, F; Banerjee, A; Caputo, A</t>
  </si>
  <si>
    <t>Vinayavekhin, Sukrit; Li, Feng; Banerjee, Aneesh; Caputo, Andrea</t>
  </si>
  <si>
    <t>The academic landscape of sustainability in management literature: Towards a more interdisciplinary research agenda</t>
  </si>
  <si>
    <t>bibliometric analysis; citation network analysis; sustainability; sustainable development goal (SDG); text mining; literature review</t>
  </si>
  <si>
    <t>BIBLIOMETRIC ANALYSIS; SYSTEMS THINKING; SCIENCE; TRENDS; GREEN; MICROFINANCE; OUTREACH; TOURISM</t>
  </si>
  <si>
    <t>Sustainability research is vast and complex, making it difficult to grasp the big picture. To help researchers understand the field better, we created a comprehensive knowledge map of sustainability in management literature by utilising citation-based clustering and text mining techniques to analyse 25,737 sustainability-related papers across 22 academic disciplines, as categorised by the Chartered Association of Business Schools (ABS)'s Academic Journal Guide. We identify 23 research streams, with the top three being corporate social responsibility, operations &amp; supply chain and tourism. Each research stream has varying degrees of definition coverage, levels of analysis, levels of interdisciplinarity and connections to the 17 United Nations' Sustainable Development Goals (SDGs). Goals #9, #10, #12 and #13 receive more attention than Goals #3, #14 and #15. Our findings suggest a need for more interdisciplinary collaboration between researchers, and we propose four research directions to achieve this.</t>
  </si>
  <si>
    <t>[Vinayavekhin, Sukrit; Li, Feng; Banerjee, Aneesh] City Univ London, Bayes Business Sch Formerly Cass, London, England; [Vinayavekhin, Sukrit] Thammasat Univ, Thammasat Business Sch, Bangkok, Thailand; [Caputo, Andrea] Univ Trento, Dept Econ &amp; Management, Trento, Italy; [Caputo, Andrea] Univ Lincoln, Dept Management, Lincoln, England; [Caputo, Andrea] Univ Trento, Dept Econ &amp; Management, Via Inama 5, I-38122 Trento, Italy</t>
  </si>
  <si>
    <t>City University London; Thammasat University; University of Trento; University of Lincoln; University of Trento</t>
  </si>
  <si>
    <t>Caputo, A (corresponding author), Univ Trento, Dept Econ &amp; Management, Via Inama 5, I-38122 Trento, Italy.</t>
  </si>
  <si>
    <t>andrea.caputo@unitn.it</t>
  </si>
  <si>
    <t>Banerjee, Aneesh/0000-0001-8961-7223; Caputo, Andrea/0000-0003-2498-182X; Li, Feng/0000-0002-6589-6392; Vinayavekhin, Sukrit/0000-0002-7417-8851</t>
  </si>
  <si>
    <t>2023 MAY 11</t>
  </si>
  <si>
    <t>10.1002/bse.3447</t>
  </si>
  <si>
    <t>F9DO5</t>
  </si>
  <si>
    <t>WOS:000985281300001</t>
  </si>
  <si>
    <t>Shi, L; Liu, Y</t>
  </si>
  <si>
    <t>Shi, Li; Liu, Yuan</t>
  </si>
  <si>
    <t>Supplier Incentive Considering Overconfidence of Main Manufacturers from the Perspective of Capability Maturity of Intelligent Manufacturing</t>
  </si>
  <si>
    <t>intelligent manufacturing; capability maturity; overconfidence; supplier incentives; t-distributed; stochastic neighbor embedding; game model</t>
  </si>
  <si>
    <t>In the process of intelligent manufacturing transformation and upgrading, the main manufacturer's cognitive deviation of its intelligent manufacturing level leads to overconfidence, which affects the collaborative efficiency of intelligent manufacturing supply chain and the profits of other supplier members. This article considers the risk of overconfidence behavior of the main manufacturer and conducts supplier incentive research from the perspective of intelligent manufacturing capacity maturity. Firstly, the index system is constructed based on the intelligent manufacturing capability maturity theory, and then the overconfidence degree of the main manufacturer is judged through the clustering image of t-distributed stochastic neighbor embedding algorithm. Then, based on the Stackelberg game idea, the overconfidence coefficient of the main manufacturer and the supplier incentive factor are introduced to construct the supplier incentive model to test the overconfidence of the main manufacturer. Finally, an example is given to verify the effectiveness of the proposed model.</t>
  </si>
  <si>
    <t>[Shi, Li] Huaibei Normal Univ, Sch Comp Sci &amp; Technol, 100 Dongshan Rd, Huaibei 235000, Peoples R China; [Shi, Li] Hefei Univ Technol, Sch Management, 100 Dongshan Rd, Hefei 230009, Peoples R China; [Liu, Yuan] Huaibei Normal Univ, Sch Econ &amp; Management, 100 Dongshan Rd, Huaibei 235000, Peoples R China</t>
  </si>
  <si>
    <t>Huaibei Normal University; Hefei University of Technology; Huaibei Normal University</t>
  </si>
  <si>
    <t>Shi, L (corresponding author), Huaibei Normal Univ, Sch Comp Sci &amp; Technol, 100 Dongshan Rd, Huaibei 235000, Peoples R China.;Shi, L (corresponding author), Hefei Univ Technol, Sch Management, 100 Dongshan Rd, Hefei 230009, Peoples R China.</t>
  </si>
  <si>
    <t>Sally_shili@163.com</t>
  </si>
  <si>
    <t>National Natural Science Foundation of China; Overseas Visit Program for outstanding young backbone teachers in colleges and universities; [71801108]; [62006091]; [62006092]; [gxgwfx2020038]</t>
  </si>
  <si>
    <t>National Natural Science Foundation of China(National Natural Science Foundation of China (NSFC)); Overseas Visit Program for outstanding young backbone teachers in colleges and universities; ; ; ;</t>
  </si>
  <si>
    <t>ACKNOWLEDGMENTS The research is supported by The National Natural Science Foundation of China (Nos. 71801108, 62006091, 62006092) ; Overseas Visit Program for outstanding young backbone teachers in colleges and universities (No. gxgwfx2020038) .</t>
  </si>
  <si>
    <t>10.1520/JTE20220114</t>
  </si>
  <si>
    <t>D5WM1</t>
  </si>
  <si>
    <t>WOS:000882600200001</t>
  </si>
  <si>
    <t>Hu, LP; Zhang, HW; Hu, ZH; Chin, YX; Zhang, XM; Chen, JC; Liu, DH; Hu, YQ</t>
  </si>
  <si>
    <t>Hu, Lingping; Zhang, Hongwei; Hu, Zhiheng; Chin, Yaoxian; Zhang, Xiaomei; Chen, Jianchu; Liu, Donghong; Hu, Yaqin</t>
  </si>
  <si>
    <t>Comparative proteomics analysis of three commercial tuna species through SWATH-MS based mass spectrometry and chemometrics</t>
  </si>
  <si>
    <t>Tuna; Proteomic; Mass spectrometry; Chemometrics</t>
  </si>
  <si>
    <t>QUANTIFICATION; IDENTIFICATION; AUTHENTICATION; ACQUISITION; PRODUCTS; SPECTRA</t>
  </si>
  <si>
    <t>The adulteration of tuna is found as attenuation of morphological characteristics during processing due to the exhaustion of tuna resource. The authenticity of tuna is now concentrated in the seafood supply chain. Protein, as the most important component of tuna muscle, plays a very important role in tuna. In this study, the protein relative quantitation of 3 commercial tuna species (skipjack tuna, bigeye tuna and yellowfin tuna) were revealed through the developed sequential window acquisition of all theoretical fragment ion mass spectra (SWATH-MS)based proteomic analysis with 81 proteins being reliably quantified. Further protein biomarkers discovery was carried out by chemometrics, leading to 14 proteins screened as potential biomarkers. Hierarchical clustering analysis showed that the screened protein biomarkers have the ability to distinguish the 3 tuna species. Gene ontology (GO) annotation of the screened protein biomarkers most of them were relevant to molecular functions.</t>
  </si>
  <si>
    <t>[Hu, Lingping; Hu, Zhiheng; Chen, Jianchu; Liu, Donghong] Zhejiang Univ, Fuli Inst Food Sci, Coll Biosyst Engn &amp; Food Sci, Natl Local Joint Engn Lab Intelligent Food Technol, Hangzhou 310058, Peoples R China; [Hu, Lingping; Hu, Zhiheng; Chin, Yaoxian; Hu, Yaqin] Hainan Trop Ocean Univ, Coll Food Sci &amp; Engn, Sanya, Peoples R China; [Hu, Lingping; Hu, Zhiheng; Chin, Yaoxian; Hu, Yaqin] Marine Food Engn Technol Res Ctr Hainan Prov, Haikou, Peoples R China; [Hu, Lingping; Hu, Zhiheng; Chin, Yaoxian; Hu, Yaqin] Yazhou Bay Innovat Inst, Sanya 572022, Peoples R China; [Zhang, Hongwei; Zhang, Xiaomei] Technol Ctr Qingdao Customs Dist, Food &amp; Agr Prod Testing Agcy, Qingdao 266002, Shandong, Peoples R China; [Hu, Yaqin] Hainan Trop Ocean Univ, Coll Food Sci &amp; Technol, Yucai Rd 1, Sanya 572022, Peoples R China</t>
  </si>
  <si>
    <t>Zhejiang University; Hainan Tropical Ocean University; Hainan Tropical Ocean University</t>
  </si>
  <si>
    <t>Hu, YQ (corresponding author), Hainan Trop Ocean Univ, Coll Food Sci &amp; Technol, Yucai Rd 1, Sanya 572022, Peoples R China.</t>
  </si>
  <si>
    <t>957625928@qq.com; light04@126.com; 1617836482@qq.com; chinyx1@163.com; zhangxm@aoacchina.org; jc@zju.edu.cn; dhliu@zju.edu.cn; yqhu@hntou.edu.cn</t>
  </si>
  <si>
    <t>liu, dongsheng/IWM-1597-2023; liu, dong/GRJ-9115-2022; Chin, Yao Xian/O-4302-2018</t>
  </si>
  <si>
    <t>Chin, Yao Xian/0000-0001-9612-9295</t>
  </si>
  <si>
    <t>Hainan Provincial Natural Science Foundation of China [321CXTD1012]; Scientific Research Foundation of Hainan Tropical Ocean University [RHDRC202117, NSFC31871868]; Ningbo science and technology [202002N3071]; Scientific Research Program of the General Administration of Customs P.R.China [2020HK209]; Qingdao Customs District Scientific Research Program [QK202101]</t>
  </si>
  <si>
    <t>Hainan Provincial Natural Science Foundation of China; Scientific Research Foundation of Hainan Tropical Ocean University; Ningbo science and technology; Scientific Research Program of the General Administration of Customs P.R.China; Qingdao Customs District Scientific Research Program</t>
  </si>
  <si>
    <t>The authors are grateful to Ying Shao, Fan Yang and Chen Nie (Technology Center of Qingdao Customs District) for their help in in- strument operation. This work was financially supported by the Foun- dation of Hainan Provincial Natural Science Foundation of China (321CXTD1012) , Scientific Research Foundation of Hainan Tropical Ocean University (RHDRC202117) , NSFC31871868, Ningbo science and technology project 202002N3071, Scientific Research Program of the General Administration of Customs P.R.China (2020HK209) and Qingdao Customs District Scientific Research Program (QK202101) .</t>
  </si>
  <si>
    <t>10.1016/j.foodcont.2022.109162</t>
  </si>
  <si>
    <t>3B3LK</t>
  </si>
  <si>
    <t>WOS:000827845100001</t>
  </si>
  <si>
    <t>Syaekhoni, MA; Alfian, G; Kwon, YS</t>
  </si>
  <si>
    <t>Syaekhoni, M. Alex; Alfian, Ganjar; Kwon, Young S.</t>
  </si>
  <si>
    <t>Customer Purchasing Behavior Analysis as Alternatives for Supporting In-Store Green Marketing Decision-Making</t>
  </si>
  <si>
    <t>retail store; green promotion; green marketing; customers' shopping behavior; store analysis; clustering</t>
  </si>
  <si>
    <t>CONSUMER RESPONSE; ADVANTAGE THEORY; RETAIL; SUSTAINABILITY; STRATEGY; IMPACT; FOOD; CONSUMPTION; PRODUCT; PERCEPTIONS</t>
  </si>
  <si>
    <t>Due to increasing concerns about environmental protection, the environmental sustainability of businesses has been widely considered in the manufacturing and supply chain context. Further, its adoption has been implemented in the retail industry for marketing field, including green product promotion. This study aimed to propose a customer purchasing behavior analysis as an alternative for supporting decision-making in order to promote green products in retail stores. Hence, right-on-target marketing strategies can be implemented appropriately. The study was carried out using shopping path data collected by radio frequency identification (RFID) from a large retail store in Seoul, South Korea. In addition, the store layout and its traffic were also analyzed. This method is expected to help experts providing appropriate decision alternatives. In addition, it can help retailers in order to increase product sales and achieve high levels of customer satisfaction.</t>
  </si>
  <si>
    <t>[Syaekhoni, M. Alex; Kwon, Young S.] Dongguk Univ, Dept Ind &amp; Syst Engn, Seoul 100715, South Korea; [Alfian, Ganjar] Dongguk Univ, U SCM Res Ctr, Nano Informat Technol Acad, Seoul 100715, South Korea</t>
  </si>
  <si>
    <t>Kwon, YS (corresponding author), Dongguk Univ, Dept Ind &amp; Syst Engn, Seoul 100715, South Korea.</t>
  </si>
  <si>
    <t>alexs@dongguk.edu; ganjar@dongguk.edu; yskwon@dongguk.edu</t>
  </si>
  <si>
    <t>Alfian, Ganjar/P-5217-2018</t>
  </si>
  <si>
    <t>Alfian, Ganjar/0000-0002-3273-1452</t>
  </si>
  <si>
    <t>Technology Innovation Program: Industrial Strategic Technology Development Program - MOTIE, Korea [11073162]</t>
  </si>
  <si>
    <t>Technology Innovation Program: Industrial Strategic Technology Development Program - MOTIE, Korea(Ministry of Trade, Industry &amp; Energy (MOTIE), Republic of Korea)</t>
  </si>
  <si>
    <t>This work was supported by the Technology Innovation Program: Industrial Strategic Technology Development Program (No. 11073162) funded by the Minister of Trade, Industry &amp; Energy (MOTIE, Korea).</t>
  </si>
  <si>
    <t>10.3390/su9112008</t>
  </si>
  <si>
    <t>WOS:000416793400088</t>
  </si>
  <si>
    <t>Ertay, T; Kahveci, A; Tabanli, RM</t>
  </si>
  <si>
    <t>Ertay, T.; Kahveci, A.; Tabanli, R. M.</t>
  </si>
  <si>
    <t>An integrated multi-criteria group decision-making approach to efficient supplier selection and clustering using fuzzy preference relations</t>
  </si>
  <si>
    <t>supplier selection; fuzzy sets; group decision making; ELECTRE III; AHP</t>
  </si>
  <si>
    <t>ELECTRE-III</t>
  </si>
  <si>
    <t>In the last decades, supply chain management (SCM) has become a significant issue in real life and in the literature due to increasing globalisation. Moreover, supplier selection and periodical evaluation has become an important tool for the companies in order to maintain an effective SCM. The main goal of this study is to construct an integrated method to build a decision support system for supplier evaluation and selection that incorporates quantitative and qualitative calculations together to deal with vague and uncertain data available to decision makers. A methodology, which is capable of evaluating and monitoring suppliers' performance, is constructed, using fuzzy analytic hierarchy process (AHP) to weight the established decision criteria and ELECTRE III to evaluate, rank and classify performance of suppliers regarding relative criteria. The proposed methodology is applied to a real-life supplier-selection and classification problem of a pharmaceutical company.</t>
  </si>
  <si>
    <t>[Ertay, T.] Istanbul Tech Univ, Fac Management, Dept Engn Management, TR-34367 Istanbul, Turkey; [Kahveci, A.] Schering Plough Med Prod Corp, Turkey Agcy, Akatlar Istanbul, Turkey; [Tabanli, R. M.] Istanbul Tech Univ, Fac Mech Engn, Dept Engn Management, TR-34367 Istanbul, Turkey</t>
  </si>
  <si>
    <t>Istanbul Technical University; Istanbul Technical University</t>
  </si>
  <si>
    <t>Ertay, T (corresponding author), Istanbul Tech Univ, Fac Management, Dept Engn Management, TR-34367 Istanbul, Turkey.</t>
  </si>
  <si>
    <t>ertay@itu.edu.tr</t>
  </si>
  <si>
    <t>TABANLI, RAMAZAN/AAG-3718-2021</t>
  </si>
  <si>
    <t>TABANLI, RAMAZAN/0000-0002-1884-0804</t>
  </si>
  <si>
    <t>10.1080/0951192X.2011.615342</t>
  </si>
  <si>
    <t>886VG</t>
  </si>
  <si>
    <t>WOS:000299881400006</t>
  </si>
  <si>
    <t>Poirier, E; Staub-French, S; Pilon, A; Fallahi, A; Teshnizi, Z; Tannert, T; Froese, T</t>
  </si>
  <si>
    <t>Poirier, Erik; Staub-French, Sheryl; Pilon, Angelique; Fallahi, Azadeh; Teshnizi, Zahra; Tannert, Thomas; Froese, Thomas</t>
  </si>
  <si>
    <t>Design process innovation on brock commons tallwood house</t>
  </si>
  <si>
    <t>Mass timber; Tall wood; Virtual design and construction; Design for manufacturing and assembly; Integrated design process; Quality control quality assurance</t>
  </si>
  <si>
    <t>CONSTRUCTION; POLICY; MODELS</t>
  </si>
  <si>
    <t>Purpose The purpose of this paper is to study the design process innovations that enabled the successful delivery of a hybrid, mass-timber high-rise building in Canada, the Brock Commons Tallwood House at the University of British Columbia. It is one of a set of papers examining the project, including companion papers that describe innovations used during the mass timber construction process and the impact of these innovations on construction performance. Design/methodology/approach A mixed-method, longitudinal case study approach was used in this research project to investigate and document the Tallwood House project over a three-year period. Both quantitative and qualitative data collection and analysis techniques were used. Graduate student researchers were embedded within the project team to observe meetings and decision-making and to conduct periodic interviews. Findings The research highlights a case of a balanced triple-helix system that provided a context for the successful clustering of product and process innovation, which were developed and implemented to flow throughout the project's lifecycle and across its supply chain to provide benefits at each stage. Four significant process-based innovations were implemented at the design phase of the building project to support radical product innovation: an integrated design process, virtual design and construction, designing for manufacturing and assembling and a rigorous quality control and quality assurance process. The product innovations developed through these process innovations were the structural system and the prefabricated envelope system. The context of innovation was seen to allow this clustering, which is believed to be a key condition of success and enabled the efficient and successful delivery of the project. Generally, the approach was successful; however, some factors including the number of stakeholders and good-faith collaboration may limit the replicability of these strategies. Originality/value This paper presents an in-depth investigation into the instantiation of an innovation system, identified as a balanced triple-helix system, which enabled and facilitated the design and decision-making process for a radical product innovation. Moreover, this paper describes the deployment of a cluster of process innovations that flowed throughout the project's lifecycle and across the project supply chain. This was seen as a key factor in ensuring the successful delivery of the project.</t>
  </si>
  <si>
    <t>[Poirier, Erik] Ecole Technol Super, Dept Construct Engn, Montreal, PQ, Canada; [Staub-French, Sheryl] Univ British Columbia, Dept Civil Engn, Vancouver, BC, Canada; [Pilon, Angelique] Univ British Columbia, UBC Sustainabil Initiat, Vancouver, BC, Canada; [Fallahi, Azadeh] Hathathway Dinwiddie, San Francisco, CA USA; [Teshnizi, Zahra] Mantle Dev, Vancouver, BC, Canada; [Tannert, Thomas] Univ Northern British Columbia, Sch Engn, Prince George, BC, Canada; [Froese, Thomas] Univ Victoria, Dept Civil Engn, Victoria, BC, Canada</t>
  </si>
  <si>
    <t>University of Quebec; Ecole de Technologie Superieure - Canada; University of British Columbia; University of British Columbia; University of Northern British Columbia; University of Victoria</t>
  </si>
  <si>
    <t>Pilon, A (corresponding author), Univ British Columbia, UBC Sustainabil Initiat, Vancouver, BC, Canada.</t>
  </si>
  <si>
    <t>erik.poirier@etsmtl.ca; ssf@civil.ubc.ca; angelique.pilon@ubc.ca; azadeh.fallahi@gmail.com; zahra.teshnizi@ubc.ca; THOMAS.TANNERT@UNBC.CA; froese@uvic.ca</t>
  </si>
  <si>
    <t>Tannert, Thomas/0000-0001-9699-2750</t>
  </si>
  <si>
    <t>Forestry Innovation Investment</t>
  </si>
  <si>
    <t>The authors would like to thank Forestry Innovation Investment for funding the research program on Brock Commons Tallwood House. They would also like to acknowledge the personal at the University of British Columbia and the project team, especially Acton Ostry Architects, Fast and Epp, Urban One Builders, Structurlam and Seagate Structures, who generously shared their knowledge, time and experiences with the researchers.</t>
  </si>
  <si>
    <t>10.1108/CI-11-2019-0116</t>
  </si>
  <si>
    <t>XX1EE</t>
  </si>
  <si>
    <t>WOS:000681520500001</t>
  </si>
  <si>
    <t>Sharma, C; Sakhuja, S; Nijjer, S</t>
  </si>
  <si>
    <t>Sharma, Chetan; Sakhuja, Sumit; Nijjer, Shivinder</t>
  </si>
  <si>
    <t>Recent trends of green human resource management: Text mining and network analysis</t>
  </si>
  <si>
    <t>Green human resource management; KNIME; TF-IDF; Latent semantic analysis; VOSviewer; Text mining; Network analysis</t>
  </si>
  <si>
    <t>SUPPLY CHAIN MANAGEMENT; PERFORMANCE; OPERATIONS; SCIENCE; IMPACT; KNIME</t>
  </si>
  <si>
    <t>Issues of the environmental crisis are being addressed by researchers, government, and organizations alike. GHRM is one such field that is receiving lots of research focus since it is targeted at greening the firms and making them eco-friendly. This research reviews 317 articles from the Scopus database published on green human resource management (GHRM) from 2008 to 2021. The study applies text mining, latent semantic analysis (LSA), and network analysis to explore the trends in the research field in GHRM and establish the relationship between the quantitative and qualitative literature of GHRM. The study has been carried out using KNIME and VOSviewer tools. As a result, the research identifies five recent research trends in GHRM using K-mean clustering. Future researchers can work upon these identified trends to solve environmental issues, make the environment eco-friendly, and motivate firms to implement GHRM in their practices.</t>
  </si>
  <si>
    <t>[Sharma, Chetan] Chitkara Univ, Solan, Himachal Prades, India; [Sakhuja, Sumit; Nijjer, Shivinder] Chitkara Univ, Chitkara Business Sch, Rajpura, Punjab, India</t>
  </si>
  <si>
    <t>Chitkara University, Punjab</t>
  </si>
  <si>
    <t>Sharma, C (corresponding author), Chitkara Univ, Solan, Himachal Prades, India.</t>
  </si>
  <si>
    <t>chetanshekhu@gmail.com; sumit.sakhuja@chitkara.edu.in; shivinder.kaur@chitkara.edu.in</t>
  </si>
  <si>
    <t>sharma, chetan/IWU-9248-2023</t>
  </si>
  <si>
    <t>sharma, chetan/0000-0001-5401-8503</t>
  </si>
  <si>
    <t>10.1007/s11356-022-21471-9</t>
  </si>
  <si>
    <t>6I1PI</t>
  </si>
  <si>
    <t>WOS:000821984800020</t>
  </si>
  <si>
    <t>Wang, SC; Tsai, YT; Ciou, YY</t>
  </si>
  <si>
    <t>Wang, Shu-Ching; Tsai, Yao-Te; Ciou, Yi-Syuan</t>
  </si>
  <si>
    <t>A hybrid big data analytical approach for analyzing customer patterns through an integrated supply chain network</t>
  </si>
  <si>
    <t>JOURNAL OF INDUSTRIAL INFORMATION INTEGRATION</t>
  </si>
  <si>
    <t>Customer segmentation; Big data analytics; RFM; K-means; Naive Bayes' algorithm; Bloom filters</t>
  </si>
  <si>
    <t>The recent technology innovation such as big data and its applications has been adopted widely in industries in order to deal with massive datasets. Through data integration, data analysis, and data interpretation, big data technologies can assist business stakeholders in gaining the benefits in their decision-making process. In this research, we hypothesize that combining several big data analytical methods for analyzing integrated customer data can provide more effective and intelligent strategies. A hybrid model combining recency, frequency, and monetary value (RFM) model, K-means clustering, Naive Baye's algorithm, and linked Bloom filters is proposed to target different customer segments. Our results suggest that (1) the use of big data analytics can provide marketers a direction to make marketing strategies; (2) the use of big data analytics can predict potential customer demands; and (3) the proposed linked Bloom filters can store inactive data in a more efficient way for future use.</t>
  </si>
  <si>
    <t>[Wang, Shu-Ching; Ciou, Yi-Syuan] Chaoyang Univ Technol, Dept Informat Management, Taichung 413, Taiwan; [Tsai, Yao-Te] Feng Chia Univ, Dept Int Business, Taichung 407, Taiwan</t>
  </si>
  <si>
    <t>Chaoyang University of Technology; Feng Chia University</t>
  </si>
  <si>
    <t>Tsai, YT (corresponding author), Feng Chia Univ, Dept Int Business, Taichung 407, Taiwan.</t>
  </si>
  <si>
    <t>yaottsai@fcu.edu.tw</t>
  </si>
  <si>
    <t>Tsai, Yao-Te/P-9225-2018</t>
  </si>
  <si>
    <t>Tsai, Yao-Te/0000-0003-3158-1517</t>
  </si>
  <si>
    <t>2467-964X</t>
  </si>
  <si>
    <t>2452-414X</t>
  </si>
  <si>
    <t>J IND INF INTEGR</t>
  </si>
  <si>
    <t>J. Ind. Inf. Integr.</t>
  </si>
  <si>
    <t>10.1016/j.jii.2020.100177</t>
  </si>
  <si>
    <t>PA0NI</t>
  </si>
  <si>
    <t>WOS:000595313300003</t>
  </si>
  <si>
    <t>Ulieru, M; Norrie, D; Kremer, R; Shen, WM</t>
  </si>
  <si>
    <t>A multi-resolution collaborative architecture for web-centric global manufacturing</t>
  </si>
  <si>
    <t>recursive multi-resolution collaborative architecture; multi-agent systems; web-centric inter-enterprise cooperation; task decomposition; mediator-centric organization; virtual clustering; global resource allocation</t>
  </si>
  <si>
    <t>We propose a recursive multi-resolution collaborative architecture (MRCA), based on multi-agent coordination mechanisms as a solid foundation for the development of web-centric cooperative applications in global manufacturing. The architecture consists of three layers: a low-level internetworking communication-support layer; a coordination layer - managing inter-agent cooperation through intelligent conversation/communication mechanisms; and an agent layer consisting of five categories of agents: interface, collaboration, knowledge management, application and resource agents. From a functional perspective, two distinctive hierarchies shape the multi-dimensionality of this architecture: a vertical hierarchy of agents and a horizontal hierarchical communication-coordination platform. The versatility of the proposed architecture (which supports practically any kind of collaborative application) and its recursive replication at all levels of resolution within the collaborative application are illustrated on a supply-chain example. (C) 2000 Elsevier Science Inc, All rights reserved.</t>
  </si>
  <si>
    <t>Univ Calgary, Fac Engn, Intelligent Syst Grp, Calgary, AB T2N 1N4, Canada; Univ Calgary, Fac Sci, Calgary, AB T2N 1N4, Canada</t>
  </si>
  <si>
    <t>University of Calgary; University of Calgary</t>
  </si>
  <si>
    <t>Ulieru, M (corresponding author), Univ Calgary, Fac Engn, Intelligent Syst Grp, 2500 Univ Dr, Calgary, AB T2N 1N4, Canada.</t>
  </si>
  <si>
    <t>Shen, Weiming/B-7400-2013; shen, Weiming/HJZ-2337-2023</t>
  </si>
  <si>
    <t>Shen, Weiming/0000-0001-5204-7992;</t>
  </si>
  <si>
    <t>655 AVENUE OF THE AMERICAS, NEW YORK, NY 10010 USA</t>
  </si>
  <si>
    <t>10.1016/S0020-0255(00)00026-8</t>
  </si>
  <si>
    <t>344VD</t>
  </si>
  <si>
    <t>WOS:000088779400002</t>
  </si>
  <si>
    <t>Tsai, BH; Li, YM</t>
  </si>
  <si>
    <t>Tsai, Bi-Huei; Li, Yiming</t>
  </si>
  <si>
    <t>Cluster evolution of IC industry from Taiwan to China</t>
  </si>
  <si>
    <t>Lotka-Volterra model; Bass model; FDI; Clustering; Competitive analysis; Equilibrium analysis; Vertical disintegration structure</t>
  </si>
  <si>
    <t>DYNAMIC COMPETITION ANALYSIS; TECHNOLOGY; MODEL; SUBSTITUTION; ADOPTION; LOCATION; MARKET</t>
  </si>
  <si>
    <t>In this work, we for the first time study the inter-industrial clustering behaviors of integrated circuit (IC) industry from Taiwan to China via amount of foreign direct investment (FDI). According to the mutual dependence among IC design, manufacturing and packaging-and-testing industries, Lotka-Volterra model is solved to explore the cluster evolutions. Effects of inter-level collaborations along production value chain on FDI flows into China are considered. Evolution of FDI into China for IC design industry significantly inspires the subsequent FDI of IC manufacturing, packaging and testing industries. Since the production of IC manufacturing, packing and testing enterprises depends on the preceded products that design industry has devised, the middle-stream manufacturing and downstream packaging-and-testing firms tend to converge toward upstream design houses. Taiwan IC industry's FDI amount into China is estimated to be cumulatively increasing, which suggests the clustering tendency of Taiwan IC industry. Prediction of FDI with Lotka-Volterra model is superior to that of the conventional growth model (i.e.. Bass model) because the industrial mutualism among various stages is included. The flows of FDI have not yet reached equilibrium points, so the FDI inflows into China will expand for IC design or packaging-and-testing industry, while decline for manufacturing industry. (C) 2009 Elsevier Inc. All rights reserved.</t>
  </si>
  <si>
    <t>[Tsai, Bi-Huei] Natl Chiao Tung Univ, Dept Management Sci, Coll Management, Hsinchu 300, Taiwan; [Li, Yiming] Natl Chiao Tung Univ, Dept Elect Engn, Hsinchu 300, Taiwan; [Li, Yiming] Natl Chiao Tung Univ, Inst Management Technol, Hsinchu 300, Taiwan; [Li, Yiming] Natl Nano Device Labs, Hsinchu 300, Taiwan</t>
  </si>
  <si>
    <t>National Yang Ming Chiao Tung University; National Yang Ming Chiao Tung University; National Yang Ming Chiao Tung University</t>
  </si>
  <si>
    <t>Tsai, BH (corresponding author), Natl Chiao Tung Univ, Dept Management Sci, Coll Management, Hsinchu 300, Taiwan.</t>
  </si>
  <si>
    <t>bhtsai@faculty.nctu.edu.tw</t>
  </si>
  <si>
    <t>Li, Yiming/Q-5428-2016</t>
  </si>
  <si>
    <t>Li, Yiming/0000-0001-7374-0964</t>
  </si>
  <si>
    <t>10.1016/j.techfore.2009.03.006</t>
  </si>
  <si>
    <t>500YW</t>
  </si>
  <si>
    <t>WOS:000270344000007</t>
  </si>
  <si>
    <t>Schreck, G; Lisounkin, A; Krüger, J</t>
  </si>
  <si>
    <t>Schreck, Gerhard; Lisounkin, Alexei; Krueger, Joerg</t>
  </si>
  <si>
    <t>Knowledge modelling for rule-based supervision and control of production facilities</t>
  </si>
  <si>
    <t>7th IFIP International Conference on Information Technology for Balanced Automation Systems in Manufacturing and Services</t>
  </si>
  <si>
    <t>SEP 04-06, 2006</t>
  </si>
  <si>
    <t>Niagara Falls, CANADA</t>
  </si>
  <si>
    <t>IFIP TC 5, WG 5 5</t>
  </si>
  <si>
    <t>supervisory control; knowledge modelling; simulation; decision support; water supply network</t>
  </si>
  <si>
    <t>The technological complexity of modern production facilities and the increasing demands on operation procedures result in new tasks and requirements for automation solutions and operating staff qualification. On the one hand, supervision and control systems must assign tasks which have been carried out by operators - e.g. operative planning of resources, scheduling of maintenance, operation tuning. On the other hand, the operating principles and techniques must become more objective; operating experience and knowledge should be more easily collected, conserved and disseminated. The general objective of this paper is to develop methods and techniques for these issues. The studied approach is based on integrated use of several formalizations of facility operation knowledge - mathematical modelling, data-driven methods, and scenario-oriented supervision and control routines. Here, facility events in the past are classified by means of Data Mining. Cause-and-effect relations between process states and phenomena are expressed by equations. Facility operation routines are modelled in the form of 'if-then' scenarios. The functional chain, which begins with operator knowledge acquisition and moves to knowledge and facility modelling and finally to their integration into a real Supervisory Control and Data Acquisition system, have been implemented and tested for a water treatment and supply plant.</t>
  </si>
  <si>
    <t>[Schreck, Gerhard; Lisounkin, Alexei; Krueger, Joerg] Fraunhofer Inst Prod Syst &amp; Design Technol, D-10587 Berlin, Germany</t>
  </si>
  <si>
    <t>Fraunhofer Gesellschaft</t>
  </si>
  <si>
    <t>Schreck, G (corresponding author), Fraunhofer Inst Prod Syst &amp; Design Technol, Pascalstr 8-9, D-10587 Berlin, Germany.</t>
  </si>
  <si>
    <t>gerhard.schreck@ipk.fraunhofer.de</t>
  </si>
  <si>
    <t>10.1080/00207540701738128</t>
  </si>
  <si>
    <t>275KH</t>
  </si>
  <si>
    <t>WOS:000254069800014</t>
  </si>
  <si>
    <t>Birisci, E; McGarvey, RG</t>
  </si>
  <si>
    <t>Birisci, Esma; McGarvey, Ronald G.</t>
  </si>
  <si>
    <t>Cost-versus environmentally-optimal production in institutional food service operations</t>
  </si>
  <si>
    <t>Production planning; Food waste; Environmental operations; Inventory control</t>
  </si>
  <si>
    <t>SUPPLY CHAIN; UNCERTAIN DEMAND; WASTE; SYSTEM; LOSSES; SAFETY</t>
  </si>
  <si>
    <t>We explore production planning in all-you-care-to-eat food service operations, where lack of marginal revenue associated with lost sales constrains the applicability of cost-minimizing strategies. We integrate forecast uncertainty considerations into an operational model of food service production, and derive strategies that minimize food waste subject to target shortfall probabilities. We model this situation using a nonlinear penalty function formulation, utilizing kernel density estimation to characterize deviations from demand forecasts, allowing enumeration of the efficient frontier between conflicting objectives of demand shortfall and food waste, where food waste is measured by either its mass or its embodied CO2-equivalent emissions. When food waste is measured using the weight of wasted food, reducing the substitution threshold (minimum-allowable production level for leftover substitution) for meat-based items at certain meals is preferable. Alternatively, when using CO2-equivalents embodied in wasted food, a variety of strategies, including reducing the substitution threshold at certain meals, increasing the percentage of demands that are satisfied from leftovers at certain meals, and increasing the allowable shortfall probability for beef-based meals, are all attractive. The results provide insight into targeted production level modifications, rather than broad increases or decreases, that can help food service operators manage the tradeoff between these conflicting objectives.</t>
  </si>
  <si>
    <t>[Birisci, Esma; McGarvey, Ronald G.] Univ Missouri, Dept Ind &amp; Mfg Syst Engn, Columbia, MO 65211 USA; [McGarvey, Ronald G.] Univ Missouri, Harry S Truman Sch Publ Affairs, Columbia, MO 65211 USA; [Birisci, Esma] Uludag Univ, Dept Econ &amp; Adm Sci, Bursa, Turkey</t>
  </si>
  <si>
    <t>University of Missouri System; University of Missouri Columbia; University of Missouri System; University of Missouri Columbia; Uludag University</t>
  </si>
  <si>
    <t>McGarvey, RG (corresponding author), Univ Missouri, Dept Ind &amp; Mfg Syst Engn, Columbia, MO 65211 USA.</t>
  </si>
  <si>
    <t>mcgarveyr@missouri.edu</t>
  </si>
  <si>
    <t>Lopes, Mariana f/IAR-3054-2023; McGarvey, Ronald G/M-1562-2015; Birisci, Esma/AAG-7620-2021</t>
  </si>
  <si>
    <t>McGarvey, Ronald G/0000-0002-8825-8553; Birisci, Esma/0000-0002-2963-650X</t>
  </si>
  <si>
    <t>10.1016/j.seps.2021.101169</t>
  </si>
  <si>
    <t>3J7AZ</t>
  </si>
  <si>
    <t>WOS:000833547600002</t>
  </si>
  <si>
    <t>Hayashi, Y; Oishi, K; Sugiyama, H</t>
  </si>
  <si>
    <t>Hayashi, Yusuke; Oishi, Kota; Sugiyama, Hirokazu</t>
  </si>
  <si>
    <t>Cost-effectiveness analysis in the manufacture of allogeneic human induced pluripotent cells in Japan by agent-based modeling</t>
  </si>
  <si>
    <t>Regenerative medicine; Healthcare; Disability-adjusted life year; Therapeutic effect; Drug price; Kernel density estimation</t>
  </si>
  <si>
    <t>STEM-CELLS; OPTIMIZATION; INDUCTION; THERAPY</t>
  </si>
  <si>
    <t>This work presents a model-based cost-effectiveness analysis in the manufacture of allogeneic human induced pluripotent (hiPS) cells in Japan. A model was developed that can quantify the disability-adjusted life years (DALYs) of each patient (the effectiveness) and the manufacturing cost of the cells (the cost indicator). Agent-based modeling was applied to consider the individual condition of each patient and to convert the input parameters of disease, annual number of treated patients, treatment mode (e.g., young people prioritized), and treatment period to the output indicators. For the cost-effectiveness analysis, the total manufacturing cost per one DALY was defined as the indicator. The model was then applied to the analysis of allogeneic hiPS cell therapy for three diseases that are undergoing clinical studies in Japan. The results indicated that when the number of treated patients is small, the treatment mode needs to be discussed carefully. Also, the type of supply chain network should be chosen between centralized or distributed considering the cryopreservation tolerance of the cells. To provide the first estimate of cost effectiveness from the manufacturing perspective, the number of required cells and the patient age were suggested as a proxy.(c) 2022 Institution of Chemical Engineers. Published by Elsevier Ltd. All rights reserved.</t>
  </si>
  <si>
    <t>[Hayashi, Yusuke; Oishi, Kota; Sugiyama, Hirokazu] Univ Tokyo, Dept Chem Syst Engn, Bunkyo Ku, 7-3-1 Hongo, Tokyo 1138656, Japan</t>
  </si>
  <si>
    <t>University of Tokyo</t>
  </si>
  <si>
    <t>Sugiyama, H (corresponding author), Univ Tokyo, Dept Chem Syst Engn, Bunkyo Ku, 7-3-1 Hongo, Tokyo 1138656, Japan.</t>
  </si>
  <si>
    <t>sugiyama@chemsys.t.u-tokyo.ac.jp</t>
  </si>
  <si>
    <t>Hayashi, Yusuke/AGO-1017-2022</t>
  </si>
  <si>
    <t>Hayashi, Yusuke/0000-0003-2365-1220; Oishi, Kota/0009-0005-9560-8944</t>
  </si>
  <si>
    <t>Japan Society for the Promotion of Science, Japan [20K21102]; Grants-in-Aid for Scientific Research [20K21102] Funding Source: KAKEN</t>
  </si>
  <si>
    <t>Japan Society for the Promotion of Science, Japan(Ministry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</si>
  <si>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Acknowledgments The authors would like to acknowledge Prof. Masahiro Kino-oka at Osaka University for helpful discussions. H. S. is thankful for financial support by a Grant-in-Aid for Challenging Research (Exploratory) No. 20K21102 from the Japan Society for the Promotion of Science, Japan</t>
  </si>
  <si>
    <t>10.1016/j.cherd.2022.03.038</t>
  </si>
  <si>
    <t>1D0SK</t>
  </si>
  <si>
    <t>WOS:000793519800002</t>
  </si>
  <si>
    <t>Ebrahimi, A; Bakhshizadeh, P; Varasteh, R</t>
  </si>
  <si>
    <t>Ebrahimi, Ahmad; Bakhshizadeh, Pouyan; Varasteh, Reyhaneh</t>
  </si>
  <si>
    <t>A predictive analytics approach to improve the dealers-manufacturer relationship in the after-sales service networ case study in the automotive industry</t>
  </si>
  <si>
    <t>Dealers-manufacturer relationship; after-sales service; classification methods; predictive analytics</t>
  </si>
  <si>
    <t>CUSTOMER RELATIONSHIP MANAGEMENT; DATA MINING TECHNIQUES; SUPPLY CHAIN; LOGISTIC-REGRESSION; EMPIRICAL-EVIDENCE; SATISFACTION; MAINTENANCE; COMPETITION; MODEL; SERVITIZATION</t>
  </si>
  <si>
    <t>The dealers are responsible for connecting customers to manufacturers in the automotive industry. An effective relationship between the dealers and the manufacturers can lead to customer satisfaction and loyalty. This research provides an approach to evaluate factors affecting the dealers-manufacturer relationship and develop a solution for predicting how manufacturers can continue or terminate the cooperation with their dealers in the after-sales service network, which is less discussed in the literature. We used predictive analytics tools and classification methods to predict dealers' cooperation as a dependent variable in two classes based on a 2-year real-life collected data. Our results revealed that dealer performance violations, changing dealer principles, and the services revenue have the most effect on the cooperation of dealers in the automotive after-sales service network. Also, this research proposed a dealer management solution for manufacturers to show them the correct decisions for the dealers' cooperation at the right time. This solution can be used in real-life cases in after-sales service networks to prevent using redundant resources, improve the weak performance of dealers, avoid unnecessary termination of cooperation, avoid the costs of attracting new dealers, and decrease customer dissatisfaction.</t>
  </si>
  <si>
    <t>[Ebrahimi, Ahmad; Bakhshizadeh, Pouyan; Varasteh, Reyhaneh] Islamic Azad Univ, Fac Management &amp; Econ, Dept Ind &amp; Technol Management, Sci &amp; Res Branch, Daneshgah Blvd,Simon Bulivar Blvd, Tehran, Iran</t>
  </si>
  <si>
    <t>Ebrahimi, A (corresponding author), Islamic Azad Univ, Fac Management &amp; Econ, Dept Ind &amp; Technol Management, Sci &amp; Res Branch, Daneshgah Blvd,Simon Bulivar Blvd, Tehran, Iran.</t>
  </si>
  <si>
    <t>ahmad.ebrahimi@srbiau.ac.ir</t>
  </si>
  <si>
    <t>Ebrahimi, Ahmad/AAX-1150-2021</t>
  </si>
  <si>
    <t>10.1080/17509653.2022.2116733</t>
  </si>
  <si>
    <t>M1LH2</t>
  </si>
  <si>
    <t>WOS:000846812000001</t>
  </si>
  <si>
    <t>Hodorog, A; Petri, I; Rezgui, Y; Hippolyte, JL</t>
  </si>
  <si>
    <t>Hodorog, Andrei; Petri, Ioan; Rezgui, Yacine; Hippolyte, Jean-Laurent</t>
  </si>
  <si>
    <t>Building information modelling knowledge harvesting for energy efficiency in the Construction industry</t>
  </si>
  <si>
    <t>Data mining; Construction digitalisation; Building information modelling; Energy efficiency; Skills; Roles</t>
  </si>
  <si>
    <t>The recent adoption of building information modelling (BIM), and the quest to decarbonise our built environment, has impacted several segments of the supply chain, including design and engineering practitioners, prompting the need to redefine the construction personnel positions along with associated skills and competencies. The research informs ways in which practitioners can fully embrace the potential of BIM for energy efficiency to promote sustainable interventions by improving existing training practices and identifying new training requirements as BIM evolves and as practitioners' ICT (Information and Communications Technology) maturity levels improve. This is achieved by adopting a novel text-mining approach which analyses social media alongside secondary sources of evidence to establish a level of correlation between BIM roles and skills. The use of ontological dependency analysis has helped to understand the degree of correlation of skills with roles as a method to inform training and educational programmes. A key outcome from the research is a semantic web-based mining environment which determines BIM roles and skills, as well as their correlation factor, with an application for energy efficiency. The paper also evidences that (a) construction skills and roles are dynamic in nature and evolve over time, reflecting the digital transformation of the Construction industry, and (b) the importance of socio-organisational aspects in construction skills and related training provision.</t>
  </si>
  <si>
    <t>[Hodorog, Andrei; Petri, Ioan; Rezgui, Yacine; Hippolyte, Jean-Laurent] Cardiff Univ, Sch Engn, BRE Inst Sustainable Engn, 52 Parade, Cardiff, Wales</t>
  </si>
  <si>
    <t>Petri, I (corresponding author), Cardiff Univ, Sch Engn, BRE Inst Sustainable Engn, 52 Parade, Cardiff, Wales.</t>
  </si>
  <si>
    <t>hodoroga@cardiff.ac.uk; petrii@cardiff.ac.uk; rezguiy@cardiff.ac.uk; hyppolytej@cardiff.ac.uk</t>
  </si>
  <si>
    <t>PETRI, IOAN/X-8333-2019; Hodorog, Andrei/P-5606-2019; Hodorog, Andrei/Q-5212-2018</t>
  </si>
  <si>
    <t>PETRI, IOAN/0000-0002-1625-8247; Hodorog, Andrei/0000-0002-4701-5643; Hodorog, Andrei/0000-0002-4701-5643; Hippolyte, Jean-Laurent/0000-0002-5263-2881</t>
  </si>
  <si>
    <t>EU [753994]; H2020 Societal Challenges Programme [753994] Funding Source: H2020 Societal Challenges Programme</t>
  </si>
  <si>
    <t>EU(European Union (EU)); H2020 Societal Challenges Programme(Horizon 2020)</t>
  </si>
  <si>
    <t>This work is part of the EU H2020 BIMEET project: BIM-based EU-wide Standardised Qualification Framework for achieving Energy Efficiency Training (grant reference: 753994).</t>
  </si>
  <si>
    <t>10.1007/s10098-020-02000-z</t>
  </si>
  <si>
    <t>RV2KE</t>
  </si>
  <si>
    <t>WOS:000599055100001</t>
  </si>
  <si>
    <t>Papanagnou, CI; Matthews-Amune, O</t>
  </si>
  <si>
    <t>Papanagnou, Christos I.; Matthews-Amune, Omeiza</t>
  </si>
  <si>
    <t>Coping with demand volatility in retail pharmacies with the aid of big data exploration</t>
  </si>
  <si>
    <t>Retail pharmacy; Data mining; Time series; Forecasting; Big data; Demand uncertainty</t>
  </si>
  <si>
    <t>SUPPLY CHAIN MANAGEMENT; PREDICTIVE ANALYTICS; DATA SCIENCE; INFORMATION; ROOT</t>
  </si>
  <si>
    <t>Data management tools and analytics have provided managers with the opportunity to contemplate inventory performance as an ongoing activity by no longer examining only data agglomerated from ERP systems, but also, considering internet information derived from customers' online buying behaviour. The realisation of this complex relationship has increased interest in business intelligence through data and text mining of structured, semi-structured and unstructured data, commonly referred to as big data to uncover underlying patterns which might explain customer behaviour and improve the response to demand volatility. This paper explores how sales structured data can be used in conjunction with non-structured customer data to improve inventory management either in terms of forecasting or treating some inventory as top-selling based on specific customer tendency to acquire more information through the internet. A medical condition is considered - namely pain - by examining 129 weeks of sales data regarding analgesics and information seeking data by customers through Google, online newspapers and YouTube. In order to facilitate our study we consider a VARX model with non-structured data as exogenous to obtain the best estimation and we perform tests against several univariate models in terms of best fit performance and forecasting. (C) 2017 Elsevier Ltd. All rights reserved.</t>
  </si>
  <si>
    <t>[Papanagnou, Christos I.; Matthews-Amune, Omeiza] Univ Salford, Salford Business Sch, Manchester M5 4WT, Lancs, England</t>
  </si>
  <si>
    <t>University of Salford</t>
  </si>
  <si>
    <t>Papanagnou, CI (corresponding author), Univ Salford, Salford Business Sch, Manchester M5 4WT, Lancs, England.</t>
  </si>
  <si>
    <t>c.papanagnou@salford.ac.uk</t>
  </si>
  <si>
    <t>Papanagnou, Christos/HKP-2359-2023; Li, Wang/M-1612-2019; Naqvi, Fia/AAP-6270-2021</t>
  </si>
  <si>
    <t>PAPANAGNOU, CHRISTOS/0000-0002-5889-4209</t>
  </si>
  <si>
    <t>10.1016/j.cor.2017.08.009</t>
  </si>
  <si>
    <t>WOS:000440526800027</t>
  </si>
  <si>
    <t>Artificial neural networks for intelligent cost estimation - a contribution to strategic cost management in the manufacturing supply chain</t>
  </si>
  <si>
    <t>Artificial neural networks; decision support; information sharing; purchasing; cost estimation; machine learning; automotive industry</t>
  </si>
  <si>
    <t>MACHINE LEARNING-METHODS; DECISION-SUPPORT; SELECTION TECHNIQUES; INFORMATION; OPPORTUNITIES; PERFORMANCE; INTEGRATION; REGRESSION; ANALYTICS</t>
  </si>
  <si>
    <t>In today's complex supply networks sharing information between buyers and suppliers is critical for sustainable competitive advantage. In particular, for both business partners, cost information is highly relevant in purchasing situations. According to empirical studies in literature, artificial neural networks (ANNs) are expected to have a great potential to reveal cost structures by machine learning (ML). In digitally enabled supply chains this information can contribute to cost reduction and operational excellence and lead to win-win situations in supplier relationship management. Nevertheless, authors do not thoroughly investigate how ANNs may support cost estimation for purchasing decisions. Based on a case study from the automotive industry, we evaluate ANNs regarding their capability to gain cost structure data. In an additional comparative study, we benchmark ANNs for cost estimation in purchasing against other promising ML algorithms. Thereby, we apply the cross-industry standard process model for data mining projects. The findings of the studies show that some ML algorithms outperform ANNs regarding accuracy. The research results give indications for choosing the ML approach that promises the best outcome for cost estimations and cost structure information to support decision-making in buyer-supplier relationships.</t>
  </si>
  <si>
    <t>[Bodendorf, Frank; Franke, Joerg] Friedrich Alexander Univ Erlangen Nuremberg FAU, Inst Factory Automat &amp; Prod Syst, Egerlandstr 7-9, D-91058 Erlangen, Germany; [Merkl, Philipp] Friedrich Alexander Univ Erlangen Nuremberg FAU, Erlangen, Germany</t>
  </si>
  <si>
    <t>NOV 2</t>
  </si>
  <si>
    <t>10.1080/00207543.2021.1998697</t>
  </si>
  <si>
    <t>5Z5DK</t>
  </si>
  <si>
    <t>WOS:000719245600001</t>
  </si>
  <si>
    <t>Peng, JJ; Tian, C; Zhang, WY; Zhang, S; Wang, JQ</t>
  </si>
  <si>
    <t>Peng, Juan-juan; Tian, Chao; Zhang, Wen-yu; Zhang, Shuai; Wang, Jian-qiang</t>
  </si>
  <si>
    <t>AN INTEGRATED MULTI-CRITERIA DECISION-MAKING FRAMEWORK FOR SUSTAINABLE SUPPLIER SELECTION UNDER PICTURE FUZZY ENVIRONMENT</t>
  </si>
  <si>
    <t>sustainable supplier selection; multi-criteria decision-making; picture fuzzy numbers; VIKOR; exponential entropy</t>
  </si>
  <si>
    <t>ORDER ALLOCATION; TODIM METHOD; MODEL; CRITERIA; VIKOR; INFORMATION</t>
  </si>
  <si>
    <t>Sustainable supplier selection (SSS) is an important part of sustainable supply chain management (SSCM). In this paper, an integrated multi-criteria decision-making (MCDM) framework, based on the picture fuzzy exponential entropy, and the VIsekriterijumska optimizacija i KOmpromisno Resenje (VIKOR) method, is proposed to manage SSS problems. Firstly, the evaluation criteria of SSS, including economic, environmental and social, is established. This can be evaluated in the form of the actual data or linguistic terms provided by suppliers and experts respectively in an actual decision-making process. Then, according to the translated scales, all the evaluation information can be converted into picture fuzzy numbers (PFNs). Secondly, the picture fuzzy exponential entropy is defined. Moreover, based on the entropy's minimization principle, the defined picture fuzzy exponential entropy is used to determine the weight of the SSS's criteria. Thirdly, the extended VIKOR method, which combines the grey correlation coefficient, is utilized to select a suitable supplier. This method avoids the shortcomings of the traditional VIKOR method in data mining and solves the conflict between SSS criteria. Finally, the feasibility and effectiveness of the proposed integrated decision framework are verified by an experiment, as well as a sensitivity analysis and comparative analysis.</t>
  </si>
  <si>
    <t>[Peng, Juan-juan; Tian, Chao; Zhang, Wen-yu; Zhang, Shuai] Zhejiang Univ Finance &amp; Econ, Sch Informat, Hangzhou 310018, Peoples R China; [Wang, Jian-qiang] Cent South Univ, Sch Business, Changsha 410083, Peoples R China</t>
  </si>
  <si>
    <t>Zhejiang University of Finance &amp; Economics; Central South University</t>
  </si>
  <si>
    <t>Tian, C (corresponding author), Zhejiang Univ Finance &amp; Econ, Sch Informat, Hangzhou 310018, Peoples R China.</t>
  </si>
  <si>
    <t>201682@csu.edu.cn</t>
  </si>
  <si>
    <t>Jian-qiang, Wang/B-5012-2019; Peng, Juan Juan/HTP-4583-2023; tian, chao/GYD-3462-2022; wang, jing/HJA-5384-2022; Zhang, Wenyu/H-5008-2013</t>
  </si>
  <si>
    <t>Jian-qiang, Wang/0000-0001-7668-4881;</t>
  </si>
  <si>
    <t>National Natural Science Foundation of China [71701065, 51875503, 51975512, 71871228]; Natural Science Foundation of Zhejiang Province [LY20G010006]</t>
  </si>
  <si>
    <t>National Natural Science Foundation of China(National Natural Science Foundation of China (NSFC)); Natural Science Foundation of Zhejiang Province(Natural Science Foundation of Zhejiang Province)</t>
  </si>
  <si>
    <t>The authors are grateful for the suggestions provided by editors and reviewers to improve this paper. This work is supported by the National Natural Science Foundation of China (Nos 71701065, 51875503, 51975512 and 71871228), and Natural Science Foundation of Zhejiang Province (No. LY20G010006).</t>
  </si>
  <si>
    <t>10.3846/tede.2020.12110</t>
  </si>
  <si>
    <t>MG6IO</t>
  </si>
  <si>
    <t>WOS:000546133500003</t>
  </si>
  <si>
    <t>Su, J; Shen, T; Ma, WC; Zhang, JX</t>
  </si>
  <si>
    <t>Su, Juan; Shen, Tong; Ma, Wei-Chun; Zhang, Jian-Xin</t>
  </si>
  <si>
    <t>Study on the Effect of Rural Low Carbon Logistics Industry Development on Rural Economic Growth</t>
  </si>
  <si>
    <t>Rural; low carbon; logistics industry; rural economic</t>
  </si>
  <si>
    <t>SUPPLY CHAIN; CONSTRAINTS; POWER</t>
  </si>
  <si>
    <t>Development of the rural low-carbon logistics industry has become the main factor affecting the rapid development of China's rural economy. From the perspective of a low-carbon economy, based on the analysis of the development level of rural low-carbon logistics, this study uses the theory and method of spatial measurement to analyze the interactive effect of rural low-carbon logistics development and rural economic construction in 31 provinces of China from 2002 to 2019 and then analyzes the mechanism of different factors on rural economic development. The results show that China's low-carbon rural logistics development provinces have an obvious geographical agglomeration trend. The main distribution characteristics of rural low-carbon logistics development in China's provinces and regions are high-high clustering and low-low clustering. Second, there is a long-term and sustainable interaction between the development of China's low-carbon rural logistics industry and rural economic growth. Third, the income of rural residents in the eastern, central, and western regions has an important positive impact on rural economic growth. In the eastern region, financial industry growth has the largest effect on rural economic growth. In the central region, per capita income and education level of farmers have the greatest impact on rural economic growth. In the western region, the increase in income is the most important factor influencing low-carbon logistics in rural economic growth.</t>
  </si>
  <si>
    <t>[Su, Juan] Changan Univ, Coll Transportat Engn, Key Lab Transport Ind Management Control &amp; Cycle R, Xian 710064, Peoples R China; [Shen, Tong] Xian Univ Technol, Sch Art &amp; Design, Xian 710061, Peoples R China; [Ma, Wei-Chun] Engn Univ PAP, Sch Equipment Management &amp; Support, Xian 710086, Peoples R China; [Zhang, Jian-Xin] Changan Univ, Sch Civil Engn, Xian 710061, Peoples R China</t>
  </si>
  <si>
    <t>Chang'an University; Xi'an University of Technology; Chang'an University</t>
  </si>
  <si>
    <t>Zhang, JX (corresponding author), Changan Univ, Sch Civil Engn, Xian 710061, Peoples R China.</t>
  </si>
  <si>
    <t>zhangjx@chd.edu.cn</t>
  </si>
  <si>
    <t>National Natural Science Foundation of China [51908039]; Fundamental Research Funds for the Central Universities, Chang'an University (CHD) [300102411201]</t>
  </si>
  <si>
    <t>National Natural Science Foundation of China(National Natural Science Foundation of China (NSFC)); Fundamental Research Funds for the Central Universities, Chang'an University (CHD)</t>
  </si>
  <si>
    <t>This work was supported in part by the National Natural Science Foundation of China under Grant 51908039; and in part by the Fundamental Research Funds for the Central Universities, Chang'an University (CHD), under Grant 300102411201.</t>
  </si>
  <si>
    <t>10.1109/ACCESS.2023.3266513</t>
  </si>
  <si>
    <t>F0JB3</t>
  </si>
  <si>
    <t>WOS:000979284900001</t>
  </si>
  <si>
    <t>Ying, SS; Liu, H</t>
  </si>
  <si>
    <t>Ying, Shuangshuang; Liu, Hao</t>
  </si>
  <si>
    <t>The Application of Big Data in Enterprise Information Intelligent Decision-Making</t>
  </si>
  <si>
    <t>Big Data; Decision making; Reliability; Companies; Data mining; Business; Licenses; Big data; the enterprise information; intelligent; decision-making; cluster; interactive genetic</t>
  </si>
  <si>
    <t>SUPPLY CHAIN; MANAGEMENT; BUSINESS</t>
  </si>
  <si>
    <t>With the continuous increase of mass information in the process of enterprise operation, information redundancy interference poses a challenge to enterprise information decision-making. Therefore, this paper applies big data analysis technology to enterprise information intelligent decision-making, and builds an enterprise information intelligent decision-making model based on big data analysis. The key data of enterprise is mined by using the density weight Canopy to improve the K-Gmedoids algorithm. After sorting, filtering, and transforming, the big data model designed in this paper uses interactive genetic algorithms to obtain the optimal decision-making strategy of enterprise information through experimental tests, which has a significant impact on the decision-making management and the competitiveness of the enterprise. In the process of enterprise information collection and intelligent decision-making, the interactive genetic algorithm generates a 95% match between the optimal business operation plan and the problems that need to be solved in the actual operation of the enterprise, which can better improve the ability of the enterprise to deal with problems. The number of iterations of the optimal decision-making plan obtained by the company is only 6 times, which has a good use effect while improving work efficiency.</t>
  </si>
  <si>
    <t>[Ying, Shuangshuang] Taizhou Vocat &amp; Tech Coll, Taizhou 318000, Zhejiang, Peoples R China; [Liu, Hao] Wenzhou Business Coll, Wenzhou 325035, Zhejiang, Peoples R China</t>
  </si>
  <si>
    <t>Liu, H (corresponding author), Wenzhou Business Coll, Wenzhou 325035, Zhejiang, Peoples R China.</t>
  </si>
  <si>
    <t>lh6798811@163.com</t>
  </si>
  <si>
    <t>General Research Project of Department of Education of Zhejiang Province through the Project Research on the Optimization of Higher Vocational Accounting Curriculum System under the Background of Intelligentization- Based on Outcomes-based Education (OBE) [Y202044760]</t>
  </si>
  <si>
    <t>General Research Project of Department of Education of Zhejiang Province through the Project Research on the Optimization of Higher Vocational Accounting Curriculum System under the Background of Intelligentization- Based on Outcomes-based Education (OBE)</t>
  </si>
  <si>
    <t>This was supported by the General Research Project of Department of Education of Zhejiang Province through the Project Research on the Optimization of Higher Vocational Accounting Curriculum System under the Background of Intelligentization- Based on Outcomes-based Education (OBE) Educational Concept under Project Y202044760.</t>
  </si>
  <si>
    <t>10.1109/ACCESS.2021.3104147</t>
  </si>
  <si>
    <t>UL3PG</t>
  </si>
  <si>
    <t>WOS:000692566600001</t>
  </si>
  <si>
    <t>Filipas, AM; Vretenar, N; Prudky, I</t>
  </si>
  <si>
    <t>Filipas, Ana Marija; Vretenar, Nenad; Prudky, Ivan</t>
  </si>
  <si>
    <t>Decision trees do not lie: Curiosities in preferences of Croatian online consumers</t>
  </si>
  <si>
    <t>ZBORNIK RADOVA EKONOMSKOG FAKULTETA U RIJECI-PROCEEDINGS OF RIJEKA FACULTY OF ECONOMICS</t>
  </si>
  <si>
    <t>decision-making; consumers' preferences; data mining; decision trees; shopping behaviour indicators</t>
  </si>
  <si>
    <t>ATTRIBUTES; STORE</t>
  </si>
  <si>
    <t>Understanding consumers' preferences has always been important for economic theory and for business practitioners in operations management, supply chain management, marketing, etc. While preferences are often considered stable in simplified theoretical modelling, this is not the case in real-world decision-making. Therefore, it is crucial to understand consumers' preferences when a market disruption occurs. This research aims to recognise consumers' preferences with respect to online shopping after the COVID-19 outbreak hit markets. To this purpose, we conducted an empirical study among Croatian consumers with prior experience in online shopping using an online questionnaire. The questionnaire was completed by 350 respondents who met the criteria. We selected decision-tree models using the J48 algorithm to determine the influences of the found shopping factors and demographic characteristics on a consumer's preference indicator. The main components of our indicators that influence consumer behaviour are the stimulators and destimulators of online shopping and the importance of social incidence. Our results show significant differences between men and women, with men tending to use fewer variables to make decisions. In addition, the analysis revealed that four product groups and a range of shopping mode-specific influencing factors are required to evaluate consumers' purchase points when constructing the consumers' preference indicator.</t>
  </si>
  <si>
    <t>[Filipas, Ana Marija; Prudky, Ivan] Univ Rijeka, Fac Econ &amp; Business, Ivana Filipovica 4, Rijeka 51000, Croatia; [Vretenar, Nenad] Fac Econ &amp; Business, Ivana Filipovica 4, Rijeka 51000, Croatia</t>
  </si>
  <si>
    <t>University of Rijeka; University of Rijeka</t>
  </si>
  <si>
    <t>Filipas, AM (corresponding author), Univ Rijeka, Fac Econ &amp; Business, Ivana Filipovica 4, Rijeka 51000, Croatia.</t>
  </si>
  <si>
    <t>ana.marija.filipas@efri.hr; nenad.vretenar@efri.hr; ivan.prudky@efri.hr</t>
  </si>
  <si>
    <t>University of Rijeka [ZIP-UNIRI-2023-14]</t>
  </si>
  <si>
    <t>University of Rijeka</t>
  </si>
  <si>
    <t>This paper is supported through project ZIP-UNIRI-2023-14 by the University of Rijeka</t>
  </si>
  <si>
    <t>UNIV RIJEKA, FAC ECOMOMICS</t>
  </si>
  <si>
    <t>IVANA FILIPOVICA 4, RIJEKA, 51000, CROATIA</t>
  </si>
  <si>
    <t>1331-8004</t>
  </si>
  <si>
    <t>1846-7520</t>
  </si>
  <si>
    <t>ZB RAD EKON FAK RIJE</t>
  </si>
  <si>
    <t>Zb. Rad. Ekon. Fak. Rijeci</t>
  </si>
  <si>
    <t>10.18045/zbefri.2023.1.157</t>
  </si>
  <si>
    <t>L6DV9</t>
  </si>
  <si>
    <t>WOS:001024159300006</t>
  </si>
  <si>
    <t>Harish, AS; Malathy, C</t>
  </si>
  <si>
    <t>Harish, A. S.; Malathy, C.</t>
  </si>
  <si>
    <t>Customer Segment Prediction on Retail Transactional Data Using K-Means and Markov Model</t>
  </si>
  <si>
    <t>INTELLIGENT AUTOMATION AND SOFT COMPUTING</t>
  </si>
  <si>
    <t>K-means; retail analytics; clustering; cluster prediction; Markov chain; transition matrix; RFM model; customer segmentation; segment prediction; Markov model; segment profiling</t>
  </si>
  <si>
    <t>ALGORITHM</t>
  </si>
  <si>
    <t>Retailing is a dynamic business domain where commodities and goods are sold in small quantities directly to the customers. It deals with the end user customers of a supply-chain network and therefore has to accommodate the needs and desires of a large group of customers over varied utilities. The volume and volatility of the business makes it one of the prospective fields for analytical study and data modeling. This is also why customer segmentation drives a key role in multiple retail business decisions such as marketing budgeting, customer targeting, customized offers, value proposition etc. The segmentation could be on various aspects such as demographics, historic behavior or preferences based on the use cases. In this paper, historic retail transactional data is used to segment the custo-mers using K-Means clustering and the results are utilized to arrive at a transition matrix which is used to predict the cluster movements over the time period using Markov Model algorithm. This helps in calculating the futuristic value a segment or a customer brings to the business. Strategic marketing designs and budgeting can be implemented using these results. The study is specifically useful for large scale marketing in domains such as e-commerce, insurance or retailers to segment, profile and measure the customer lifecycle value over a short period of time.</t>
  </si>
  <si>
    <t>[Harish, A. S.; Malathy, C.] SRM Inst Sci &amp; Technol, Chennai 603203, Tamil Nadu, India</t>
  </si>
  <si>
    <t>SRM Institute of Science &amp; Technology Chennai</t>
  </si>
  <si>
    <t>Harish, AS (corresponding author), SRM Inst Sci &amp; Technol, Chennai 603203, Tamil Nadu, India.</t>
  </si>
  <si>
    <t>asharrish@gmail.com</t>
  </si>
  <si>
    <t>1079-8587</t>
  </si>
  <si>
    <t>2326-005X</t>
  </si>
  <si>
    <t>INTELL AUTOM SOFT CO</t>
  </si>
  <si>
    <t>Intell. Autom. Soft Comput.</t>
  </si>
  <si>
    <t>10.32604/iasc.2023.032030</t>
  </si>
  <si>
    <t>5T2MS</t>
  </si>
  <si>
    <t>WOS:000875708100013</t>
  </si>
  <si>
    <t>Migdadi, YKAA</t>
  </si>
  <si>
    <t>Migdadi, Yazan Khalid Abed-Allah</t>
  </si>
  <si>
    <t>Identifying the effective taxonomies of airline green operations strategy</t>
  </si>
  <si>
    <t>MANAGEMENT OF ENVIRONMENTAL QUALITY</t>
  </si>
  <si>
    <t>Global; Airlines; Green; Operations strategy; Taxonomies; K-means clustering</t>
  </si>
  <si>
    <t>SUPPLY CHAIN MANAGEMENT; CLIMATE-CHANGE; MANUFACTURING STRATEGIES; AVIATION; PERFORMANCE; IMPACT; CONFIGURATIONS; INDUSTRY</t>
  </si>
  <si>
    <t>Purpose The purpose of this paper is to explore the effective taxonomies of airline green operations strategy. Design/methodology/approach To this end, a sample of 23 airlines from five regions (North America, South America, Europe, Asia and the Middle East) was surveyed. The annual sustainability reports of the surveyed airlines for the period 2013-2016 were retrieved from the Global Reporting Initiatives website. K-means clustering analysis was used to generate taxonomic clusters of airline green operations strategy. A special data analysis technique, called rank analysis, was also adopted to identify the significant green actions and develop indicative models. Findings This study revealed that three effective taxonomies were adopted by airlines: a low-effect strategic pattern, a low-to-moderate effect strategic pattern and a high-effect strategic pattern. A different combination of green operation actions characterized each strategic pattern. Originality/value The research contribution of taxonomies of green operations strategy has so far been limited, country focused and concentrated on the manufacturing sector. This study reported the taxonomies and performed an in-depth analysis of the categories of effective actions taken to promote green performance. Moreover, this study developed indicative models for the relationship between categories of action and green performance for each strategic pattern, an action that has seldom been reported by previous studies of green operations strategies for airlines.</t>
  </si>
  <si>
    <t>[Migdadi, Yazan Khalid Abed-Allah] Qatar Univ, Dept Management &amp; Mkt, Doha, Qatar</t>
  </si>
  <si>
    <t>Qatar University</t>
  </si>
  <si>
    <t>Migdadi, YKAA (corresponding author), Qatar Univ, Dept Management &amp; Mkt, Doha, Qatar.</t>
  </si>
  <si>
    <t>ymigdadi@qu.edu.qa</t>
  </si>
  <si>
    <t>Migdadi, Yazan Khalid Abed-Allah/ABG-3803-2021; migdadi, yazan/I-3927-2016</t>
  </si>
  <si>
    <t>migdadi, yazan/0000-0001-5687-5410</t>
  </si>
  <si>
    <t>1477-7835</t>
  </si>
  <si>
    <t>1758-6119</t>
  </si>
  <si>
    <t>MANAG ENVIRON QUAL</t>
  </si>
  <si>
    <t>Manag. Environ. Qual.</t>
  </si>
  <si>
    <t>JAN 13</t>
  </si>
  <si>
    <t>10.1108/MEQ-03-2019-0067</t>
  </si>
  <si>
    <t>KB1HB</t>
  </si>
  <si>
    <t>WOS:000506251000009</t>
  </si>
  <si>
    <t>Bocca, FF; Rodrigues, LHA</t>
  </si>
  <si>
    <t>Bocca, Felipe F.; Antunes Rodrigues, Luiz Henrique</t>
  </si>
  <si>
    <t>The effect of tuning, feature engineering, and feature selection in data mining applied to rainfed sugarcane yield modelling</t>
  </si>
  <si>
    <t>COMPUTERS AND ELECTRONICS IN AGRICULTURE</t>
  </si>
  <si>
    <t>Artificial neural networks; Boosted regression trees; Machine learning; Random forest; Regression trees; Support vector machines</t>
  </si>
  <si>
    <t>ARTIFICIAL NEURAL-NETWORKS; DECISION TREE; CROP; CLASSIFICATION; PRODUCTIVITY; INFORMATION; PASTURE; GROWTH; WHEAT; CANE</t>
  </si>
  <si>
    <t>Crop yield models can assist decision makers within any agro-industrial supply chain, even with regard to decisions that are unrelated to the crop production. Considering the characteristics of the mechanisms and data related to yield, data mining techniques are suitable candidates for modelling. The use of these techniques within a context with feature engineering, feature selection, and proper tuning can further improve performance beyond a simple replacement of multiple linear regression. To evaluate the impact of the different steps in the mentioned context, we evaluated sugarcane (Saccharum spp.) yield modelling with data obtained from a sugarcane mill. For a combination of six techniques, tuning, feature selection, and feature engineering, leading to 66 combinations, we assessed final model performance. Average performance across combinations resulted in a mean absolute error (MAE) of 6.42 Mg ha(-1). Using different techniques led to a range of MAE from 4.57 to 8.80 Mg ha(-1) on average. The best and worst performances for an individual model were MAEs of 4.11 and 9.00 Mg ha(-1). Models with lower performance were close to simply predicting yield from the average yield for each number of cuts (MAE of 9.86 Mg ha(-1)). Tuning and feature engineering reduced the MAE on average by 1.17 and 0.64 Mg ha-1, respectively. Feature selection removed nearly 40% of the features but increased the MAE by 0.19 Mg ha(-1). The performance of models was improved by simple strategies such as decomposing weather attributes and detailing fertilisation. Evaluation of feature importance provided by the RReliefF feature selection algorithm was used to explain the performance gains. If empirical models are needed, they will rely on using advanced techniques, but they will need proper algorithm tuning and feature engineering to extract most of the information from datasets. Based on the results, we recommend following the presented workflow for the development of yield models. (C) 2016 Elsevier B.V. All rights reserved.</t>
  </si>
  <si>
    <t>[Bocca, Felipe F.; Antunes Rodrigues, Luiz Henrique] Univ Estadual Campinas, Sch Agr Engn, Campinas, SP, Brazil</t>
  </si>
  <si>
    <t>Universidade Estadual de Campinas</t>
  </si>
  <si>
    <t>Rodrigues, LHA (corresponding author), Univ Estadual Campinas, Sch Agr Engn, Campinas, SP, Brazil.</t>
  </si>
  <si>
    <t>lique@feagri.unicamp.br</t>
  </si>
  <si>
    <t>Rodrigues, Luiz Henrique Antunes/V-5537-2019; Rodrigues, Luiz Henrique Antunes/C-1858-2012</t>
  </si>
  <si>
    <t>Rodrigues, Luiz Henrique Antunes/0000-0002-1756-7367; Rodrigues, Luiz Henrique Antunes/0000-0002-1756-7367; Bocca, Felipe/0000-0003-2956-5286</t>
  </si>
  <si>
    <t>Bioen/Fapesp; Odebrecht Agro-industrial [12/50049-3]; CAPES (Coordination for the Improvement of Higher Education Personnel)</t>
  </si>
  <si>
    <t>Bioen/Fapesp; Odebrecht Agro-industrial; CAPES (Coordination for the Improvement of Higher Education Personnel)(Coordenacao de Aperfeicoamento de Pessoal de Nivel Superior (CAPES))</t>
  </si>
  <si>
    <t>This work was supported by Bioen/Fapesp and Odebrecht Agro-industrial (Process # 12/50049-3 - Link: http://www.bv.fapesp.br/en/auxilios/55622/data-mining-techniques-applied-to-the-analysis-and-prediction-of-sugarcane-yield/) and by CAPES (Coordination for the Improvement of Higher Education Personnel).</t>
  </si>
  <si>
    <t>0168-1699</t>
  </si>
  <si>
    <t>1872-7107</t>
  </si>
  <si>
    <t>COMPUT ELECTRON AGR</t>
  </si>
  <si>
    <t>Comput. Electron. Agric.</t>
  </si>
  <si>
    <t>10.1016/j.compag.2016.08.015</t>
  </si>
  <si>
    <t>Agriculture, Multidisciplinary; Computer Science, Interdisciplinary Applications</t>
  </si>
  <si>
    <t>Agriculture; Computer Science</t>
  </si>
  <si>
    <t>DY9RR</t>
  </si>
  <si>
    <t>WOS:000385473300009</t>
  </si>
  <si>
    <t>Wang, B; Pu, Y; Li, SL; Xu, L</t>
  </si>
  <si>
    <t>Wang, Bo; Pu, Yue; Li, Shunli; Xu, Lin</t>
  </si>
  <si>
    <t>The influence of regional preferential trade agreements on international manufacturing trade in value-added: Based on the complex network method</t>
  </si>
  <si>
    <t>Based on a new trade accounting method-the trade in value-added accounting method-this paper constructs the international manufacturing trade in value-added networks and preferential trade agreement (PTA) networks and uses the complex network analysis method to explore the relations between PTA and international manufacturing trade in value-added from the perspective of the global value chain. The results are as follows: (1) Over the years, the international manufacturing trade in value-added networks and PTA networks has shown a significant clustering effect, and the size of networks has grown rapidly. (2) The TEX, DVA and FVA networks of the international manufacturing value added trade over the years can be divided into two societies in the Asia-Pacific region and the European region. This division just reflects the different modes of division of labor in the manufacturing value chain of the two major economic regions in the world. (3) QAP analysis shows that the influencing factors of the traditional gravity model can still explain the manufacturing trade network and its value-added trade network, while the influence of economic globalization, the enlargement of the EU and the internationalization strategy of enterprises, the PTA network and manufacturing value-added the relationship between trade networks changed from positive to negative in 2004.</t>
  </si>
  <si>
    <t>[Wang, Bo; Pu, Yue; Li, Shunli; Xu, Lin] Southwestern Univ Finance &amp; Econ, Int Business Sch, Chengdu, Peoples R China</t>
  </si>
  <si>
    <t>Pu, Y (corresponding author), Southwestern Univ Finance &amp; Econ, Int Business Sch, Chengdu, Peoples R China.</t>
  </si>
  <si>
    <t>puyue@swufe.edu.cn</t>
  </si>
  <si>
    <t>Liu, Kai/IST-6808-2023; Liu, Chang/ISV-3950-2023; Xu, Chen/AAQ-5514-2020; wang, qi/ITT-9652-2023</t>
  </si>
  <si>
    <t>Xu, Chen/0000-0001-8068-2109; PU, Yue/0000-0002-0156-2078</t>
  </si>
  <si>
    <t>National Science Foundation of China [71903157, 72003152]; Ministry of Education Project of Humanities and Social Sciences [19XJC790013]</t>
  </si>
  <si>
    <t>National Science Foundation of China(National Natural Science Foundation of China (NSFC)); Ministry of Education Project of Humanities and Social Sciences</t>
  </si>
  <si>
    <t>This work was supported by the National Science Foundation of China (No. 71903157 and 72003152), Ministry of Education Project of Humanities and Social Sciences (No. 19XJC790013).The funders had no role in study design, data collection and analysis, decision to publish, or preparation of the manuscript.</t>
  </si>
  <si>
    <t>FEB 19</t>
  </si>
  <si>
    <t>e0246250</t>
  </si>
  <si>
    <t>10.1371/journal.pone.0246250</t>
  </si>
  <si>
    <t>QK8KQ</t>
  </si>
  <si>
    <t>WOS:000620629200013</t>
  </si>
  <si>
    <t>Hallgren, M; Olhager, J</t>
  </si>
  <si>
    <t>Hallgren, Mattias; Olhager, Jan</t>
  </si>
  <si>
    <t>Flexibility configurations: Empirical analysis of volume and product mix flexibility</t>
  </si>
  <si>
    <t>Empirical research; Flexible manufacturing; Operations management; Survey; Value chain</t>
  </si>
  <si>
    <t>MANUFACTURING FLEXIBILITY; COMPETITIVE ADVANTAGE; MOTHERBOARD INDUSTRY; PRODUCTION SYSTEM; MODEL; PERFORMANCE; UNCERTAINTY; IMPACT; CHAIN; FIRMS</t>
  </si>
  <si>
    <t>In this paper we address flexibility and investigate the relationship between volume and product mix flexibility. One view of flexibility is that of being a capability in itself: another view is that of flexibility as an enabler, providing the manufacturing system with properties on which other competitive capabilities are built. In this research, the latter view of flexibility is used, where flexibility acts as a second order competitive criterion. The aim is to differentiate between two dimensions of flexibility important to the manufacturing value chain, i.e., volume and product mix flexibility, and to investigate how different flexibility configurations are related to Various manufacturing practices. A clustering research approach is used to identify groups of companies based on flexibility configurations. The groups are then analyzed with respect to characteristics and impact on operational performance. For the empirical investigation, we use empirical data from the high performance manufacturing (HPM) study, including three industries and seven countries-a total of 211 plants. We find that flexibility configurations based on high or low levels of volume and mix flexibility combinations show significant differences both in terms of operational performance, and in terms of emphasis put into different flexibility source factors. (C) 2008 Elsevier Ltd. All rights reserved.</t>
  </si>
  <si>
    <t>[Hallgren, Mattias; Olhager, Jan] Linkoping Univ, Dept Management &amp; Engn, SE-58183 Linkoping, Sweden; [Hallgren, Mattias] Saab AB, Saab Aerosyst, SE-58254 Linkoping, Sweden</t>
  </si>
  <si>
    <t>Linkoping University; Saab Group</t>
  </si>
  <si>
    <t>Olhager, J (corresponding author), Linkoping Univ, Dept Management &amp; Engn, SE-58183 Linkoping, Sweden.</t>
  </si>
  <si>
    <t>mattias.hallgren@saabgroup.com; jan.olhager@liu.se</t>
  </si>
  <si>
    <t>Olhager, Jan/AAY-3956-2020</t>
  </si>
  <si>
    <t>Olhager, Jan/0000-0002-0175-1557</t>
  </si>
  <si>
    <t>10.1016/j.omega.2008.07.004</t>
  </si>
  <si>
    <t>389BA</t>
  </si>
  <si>
    <t>WOS:000262063700002</t>
  </si>
  <si>
    <t>Dahooie, JH; Zavadskas, EK; Vanaki, AS; Firoozfar, HR; Lari, M; Turskis, Z</t>
  </si>
  <si>
    <t>Dahooie, Jalil Heidary; Zavadskas, Edmundas Kazimieras; Vanaki, Amir Salar; Firoozfar, Hamid Reza; Lari, Mahnaz; Turskis, Zenonas</t>
  </si>
  <si>
    <t>A new evaluation model for corporate financial performance using integrated CCSD and FCM-ARAS approach</t>
  </si>
  <si>
    <t>ECONOMIC RESEARCH-EKONOMSKA ISTRAZIVANJA</t>
  </si>
  <si>
    <t>ARAS method; banking; CCSD method; financial performance; Fuzzy C-means; MCDM</t>
  </si>
  <si>
    <t>FUZZY C-MEANS; SUPPLY CHAIN MANAGEMENT; CONTAINER SHIPPING COMPANIES; DECISION-MAKING; MULTIPLE CRITERIA; MCDM APPROACH; STOCK-EXCHANGE; SELECTION; TOPSIS; TAIWAN</t>
  </si>
  <si>
    <t>The financial performance is an indicator of financial stability, health and condition of any organisation. It could be utilised as a proper measure of the firm's credibility and its ability to pay off debts. Financial institutions use this measure to determine the lending policy and applicants' credits. This study proposes a model based on the CCSD weighing method and hybrid FCM-ARAS approach for clustering and evaluating the financial performance to enable banks to identify target groups and design appropriate and relevant policies. Based on previous studies and the views of senior financial managers of a public bank in Iran, eight economic criteria were evaluated. The presented method was used to assess the financial performance of 58 manufacturing companies applying for loans from a federal bank in Iran. However, the CCSD method was used to calculate criteria weights, and a hybrid FCM-ARAS approach was developed and applied to financial evaluation and clustering the companies. The use of the CCSD method can eliminate errors caused by subjective models and human judgments, and increase the accuracy of the assessment. In this study, the debt ratio and equity to total assets and ROA were identified as the main criteria to assess financial performance.</t>
  </si>
  <si>
    <t>[Dahooie, Jalil Heidary; Vanaki, Amir Salar; Firoozfar, Hamid Reza] Univ Tehran, Dept Management, Tehran, Iran; [Zavadskas, Edmundas Kazimieras; Turskis, Zenonas] Vilnius Gediminas Tech Univ, Inst Sustainable Construct, Vilnius, Lithuania; [Lari, Mahnaz] Allameh Tabatabai Univ, Dept Management, Tehran, Iran</t>
  </si>
  <si>
    <t>University of Tehran; Vilnius Gediminas Technical University; Allameh Tabataba'i University</t>
  </si>
  <si>
    <t>Zavadskas, EK (corresponding author), Vilnius Gediminas Tech Univ, Inst Sustainable Construct, Vilnius, Lithuania.</t>
  </si>
  <si>
    <t>edmundas.zavadskas@vgtu.lt</t>
  </si>
  <si>
    <t>Villen Retamero, Andrea Maria/IAR-1667-2023; Dahooie, Jalil Heidary/AAF-6992-2022; Turskis, Zenonas/H-3035-2018; Firoozfar, Hamid Reza/ABG-8915-2021; Turskis, Zenonas/AAA-9159-2021; Firoozfar, Hamid/HME-2009-2023; Dahooie, Jalil Heidary/ADE-7571-2022</t>
  </si>
  <si>
    <t>Dahooie, Jalil Heidary/0000-0003-4037-6670; Turskis, Zenonas/0000-0002-5835-9388; Dahooie, Jalil Heidary/0000-0003-4037-6670; Firoozfar, Hamid Reza/0000-0002-2722-8764; Vanaki, Amirsalar/0000-0002-2667-6231</t>
  </si>
  <si>
    <t>1331-677X</t>
  </si>
  <si>
    <t>1848-9664</t>
  </si>
  <si>
    <t>ECON RES-EKON ISTRAZ</t>
  </si>
  <si>
    <t>Ekon. Istraz.</t>
  </si>
  <si>
    <t>JUN 8</t>
  </si>
  <si>
    <t>10.1080/1331677X.2019.1613250</t>
  </si>
  <si>
    <t>IK9JY</t>
  </si>
  <si>
    <t>WOS:000476912300003</t>
  </si>
  <si>
    <t>Balla, BS; Sahu, PK</t>
  </si>
  <si>
    <t>Balla, Bhavani Shankar; Sahu, Prasanta K.</t>
  </si>
  <si>
    <t>Assessing regional transferability and updating of freight generation models to reduce sample size requirements in national freight data collection program</t>
  </si>
  <si>
    <t>TRANSPORTATION RESEARCH PART A-POLICY AND PRACTICE</t>
  </si>
  <si>
    <t>Freight generation; Freight demand modelling; Spatial transferability; Sample size; Freight logistics; Multidimensionality scaling; K -means clustering</t>
  </si>
  <si>
    <t>SPATIAL TRANSFERABILITY; REGRESSION-MODELS; ESTABLISHMENTS</t>
  </si>
  <si>
    <t>This paper analyses the transferability of freight generation (FG) models to provide guidance on the direction of transfer, the degree of transfer, and how to determine the sample size required for new regions. A set of FG models are developed for four regions in India, i.e., Hyderabad, Jaipur, North Kerala, and Central Kerala. Models are assessed for naive transferability across these re-gions to know the direction and degree of transfer. Using multidimensionality scaling, we iden-tified new regions similar to the study regions based on geographical characteristics like population density, number of establishments, land value, road density, and seaport proximity. The identical regions are further grouped into four different clusters using the K-means clustering algorithm. In order to determine the sample size of a new region, the transferability results are interpolated to these geographically linked regions with the same demographics. This research is crucial for saving survey resources in terms of money and time. The policymakers and stake-holders can borrow the strategies already under implementation in a region with topographic similarity with the novel methodology proposed. Furthermore, industrialists can take the case study of the establishments in geographically similar regions in strategizing the resource and capacity allocation for efficient and responsive supply chain design.</t>
  </si>
  <si>
    <t>[Balla, Bhavani Shankar; Sahu, Prasanta K.] Birla Inst Technol &amp; Sci Pilani, Dept Civil Engn, Hyderabad 500078, Telangana, India</t>
  </si>
  <si>
    <t>Sahu, PK (corresponding author), Birla Inst Technol &amp; Sci Pilani, Dept Civil Engn, Hyderabad 500078, Telangana, India.</t>
  </si>
  <si>
    <t>prasantsahu222@gmail.com</t>
  </si>
  <si>
    <t>Balla, Bhavani Shankar/AEG-1197-2022</t>
  </si>
  <si>
    <t>Balla, Bhavani Shankar/0000-0001-5848-3541</t>
  </si>
  <si>
    <t>Research Initiation Grant [06/03/302]; Birla Institute of Technology and Science (BITS) Pilani, India</t>
  </si>
  <si>
    <t>Research Initiation Grant; Birla Institute of Technology and Science (BITS) Pilani, India</t>
  </si>
  <si>
    <t>This research is funded by the Research Initiation Grant (RIG Head 06/03/302) . Birla Institute of Technology and Science (BITS) Pilani, India.</t>
  </si>
  <si>
    <t>0965-8564</t>
  </si>
  <si>
    <t>1879-2375</t>
  </si>
  <si>
    <t>TRANSPORT RES A-POL</t>
  </si>
  <si>
    <t>Transp. Res. Pt. A-Policy Pract.</t>
  </si>
  <si>
    <t>10.1016/j.tra.2023.103780</t>
  </si>
  <si>
    <t>Economics; Transportation; Transportation Science &amp; Technology</t>
  </si>
  <si>
    <t>Q7PJ0</t>
  </si>
  <si>
    <t>WOS:001059403500001</t>
  </si>
  <si>
    <t>Ma, QP; Li, HY; Thorstenson, A</t>
  </si>
  <si>
    <t>Ma, Qiuping; Li, Hongyan; Thorstenson, Anders</t>
  </si>
  <si>
    <t>A big data-driven root cause analysis system: Application of Machine Learning in quality problem solving</t>
  </si>
  <si>
    <t>Quality management; Data mining; Machine Learning; Multi-class classification; Neural Network</t>
  </si>
  <si>
    <t>SELECTION</t>
  </si>
  <si>
    <t>Root cause analysis for quality problem solving is critical to improve product quality performance and reduce the quality risk for manufacturers. Subjective conventional methods have been applied frequently in past decades. However, due to increasingly complex product and supply chain structures, diverse working conditions, and massive amounts of components, accuracy and efficiency of root cause analysis are progressively challenged in practice. Therefore, data-driven root cause analysis methods have attracted attention lately. In this paper, taking advantage of the availability of big operations data and the rapid development of data science, we design a big data-driven root cause analysis system utilizing Machine Learning techniques to improve the performance of root cause analysis. More specifically, we first propose a conceptual framework of the big data-driven root cause analysis system including three modules of Problem Identification, Root Cause Identification, and Permanent Corrective Action. Furthermore, in the Problem Identification Module, we construct a unified feature-based approach to describe multiple and different types of quality problems by applying a data mining method. In the Root Cause Identification Module, we use supervised Machine Learning (classification) methods to automatically predict the root causes of multiple quality problems. Finally, we illustrate the accuracy and efficiency of the proposed system and algorithms based on actual quality data from a case company. This study contributes to the literature from the following aspects: (i) the integrated system and algorithms can be used directly to develop a computer application to manage and solve quality problems with high concurrences and complexities in any manufacturing process; (ii) a general procedure and method are provided to formulate and describe a large quantity and different types of quality problems; (iii) compared with traditional methods, it is demonstrated using real case data that manufacturing companies can save significant time and cost with our proposed data-driven root cause analysis system; (iv) this study not only aims at improving the quality problem solving practices for a complex manufacturing process but also bridges a gap between the theoretical development of Machining Learning methods and their application in the operations management domain.</t>
  </si>
  <si>
    <t>[Ma, Qiuping; Li, Hongyan; Thorstenson, Anders] Aarhus Univ, Aarhus BSS, Dept Econ &amp; Business Econ, CORAL Cluster Operat Res Analyt &amp; Logist, Aarhus, Denmark</t>
  </si>
  <si>
    <t>Aarhus University</t>
  </si>
  <si>
    <t>Ma, QP (corresponding author), Aarhus Univ, Aarhus BSS, Dept Econ &amp; Business Econ, Fuglesangs Alle 4,Bldg 2621,B112, DK-8210 Aarhus V, Denmark.</t>
  </si>
  <si>
    <t>qiuping.ma@econ.au.dk</t>
  </si>
  <si>
    <t>Andrea Simões Braga, Francisco/GRS-0157-2022</t>
  </si>
  <si>
    <t>Li, Hongyan/0000-0002-1040-1866; Ma, Qiuping/0000-0002-9153-5718</t>
  </si>
  <si>
    <t>10.1016/j.cie.2021.107580</t>
  </si>
  <si>
    <t>WOS:000696311000013</t>
  </si>
  <si>
    <t>Saberian, MS; Moriarty, KP; Olmstead, AD; Hallgrimson, C; Jean, F; Nabi, IR; Libbrecht, MW; Hamarneh, G</t>
  </si>
  <si>
    <t>Saberian, M. Sadegh; Moriarty, Kathleen P.; Olmstead, Andrea D.; Hallgrimson, Christian; Jean, Francois; Nabi, Ivan R.; Libbrecht, Maxwell W.; Hamarneh, Ghassan</t>
  </si>
  <si>
    <t>DEEMD: Drug Efficacy Estimation Against SARS-CoV-2 Based on Cell Morphology With Deep Multiple Instance Learning</t>
  </si>
  <si>
    <t>IEEE TRANSACTIONS ON MEDICAL IMAGING</t>
  </si>
  <si>
    <t>Coronaviruses; Drugs; Feature extraction; COVID-19; Compounds; Morphology; Pipelines; Drug repurposing; deep multiple instance learning; morphological analysis; SARS-CoV-2</t>
  </si>
  <si>
    <t>MICROSCOPY; PLATFORM</t>
  </si>
  <si>
    <t>Drug repurposing can accelerate the identification of effective compounds for clinical use against SARS-CoV-2, with the advantage of pre-existing clinical safety data and an established supply chain. RNA viruses such as SARS-CoV-2 manipulate cellular pathways and induce reorganization of subcellular structures to support their life cycle. These morphological changes can be quantified using bioimaging techniques. In this work, we developed DEEMD: a computational pipeline using deep neural network models within a multiple instance learning framework, to identify putative treatments effective against SARS-CoV-2 based on morphological analysis of the publicly available RxRx19a dataset. This dataset consists of fluorescence microscopy images of SARS-CoV-2 non-infected cells and infected cells, with and without drug treatment. DEEMD first extracts discriminative morphological features to generate cell morphological profiles from the non-infected and infected cells. These morphological profiles are then used in a statistical model to estimate the applied treatment efficacy on infected cells based on similarities to non-infected cells. DEEMD is capable of localizing infected cells via weak supervision without any expensive pixel-level annotations. DEEMD identifies known SARS-CoV-2 inhibitors, such as Remdesivir and Aloxistatin, supporting the validity of our approach. DEEMD can be explored for use on other emerging viruses and datasets to rapidly identify candidate antiviral treatments in the future. Our implementation is available online at https://www.github.com/Sadegh-Saberian/DEEMD.</t>
  </si>
  <si>
    <t>[Saberian, M. Sadegh; Moriarty, Kathleen P.; Hallgrimson, Christian; Libbrecht, Maxwell W.; Hamarneh, Ghassan] Simon Fraser Univ, Sch Comp Sci, Burnaby, BC V5A 1S6, Canada; [Olmstead, Andrea D.; Jean, Francois] Univ British Columbia, Dept Microbiol &amp; Immunol, Life Sci Inst, Vancouver, BC V6T 1Z3, Canada; [Nabi, Ivan R.] Univ British Columbia, Sch Biomed Engn, Life Sci Inst, Dept Cellular &amp; Physiol Sci, Vancouver, BC V6T 1Z3, Canada</t>
  </si>
  <si>
    <t>Simon Fraser University; University of British Columbia; University of British Columbia</t>
  </si>
  <si>
    <t>Saberian, MS (corresponding author), Simon Fraser Univ, Sch Comp Sci, Burnaby, BC V5A 1S6, Canada.</t>
  </si>
  <si>
    <t>msaberia@sfu.ca; kmoriart@sfu.ca; andrea.olmstead@ubc.ca; cdh13@sfu.ca; fjean@mail.ubc.ca; irnabi@mail.ubc.ca; maxwl@sfu.ca; hamarneh@sfu.ca</t>
  </si>
  <si>
    <t>Nabi, Ivan/GWZ-5144-2022</t>
  </si>
  <si>
    <t>Nabi, Ivan/0000-0002-0670-0513; Libbrecht, Maxwell/0000-0003-2502-0262; hallgrimson, christian/0000-0002-6534-7879; Saberian, Mohammadsadegh/0000-0003-1579-8724; Jean, Francois/0000-0002-6148-7460</t>
  </si>
  <si>
    <t>Canadian Institutes of Health Research (CIHR)/Operating Grant: COVID-19 May 2020 Rapid Research Funding Opportunity [VR3-172639]; Natural Sciences and Engineering Research Council of Canada (NSERC) Alliance COVID-19 [ALLRP 553515-20]; CoronavirusVariantsRapid Response Network (CoVaRR-Net) [CIHR 175622]</t>
  </si>
  <si>
    <t>Canadian Institutes of Health Research (CIHR)/Operating Grant: COVID-19 May 2020 Rapid Research Funding Opportunity(Canadian Institutes of Health Research (CIHR)); Natural Sciences and Engineering Research Council of Canada (NSERC) Alliance COVID-19(Natural Sciences and Engineering Research Council of Canada (NSERC)); CoronavirusVariantsRapid Response Network (CoVaRR-Net)</t>
  </si>
  <si>
    <t>The work of Francois Jean, Ivan R. Nabi, and Ghassan Hamarneh was supported in part by the Operating Grants from the Canadian Institutes of Health Research (CIHR)/Operating Grant: COVID-19 May 2020 Rapid Research Funding Opportunity under Grant VR3-172639 and in part by the Natural Sciences and Engineering Research Council of Canada (NSERC) Alliance COVID-19 under Grant ALLRP 553515-20. The work of Andrea D. Olmstead, Francois Jean, and Ivan R. Nabiwas supported by the CoronavirusVariantsRapid Response Network (CoVaRR-Net) under Grant CIHR 175622.</t>
  </si>
  <si>
    <t>0278-0062</t>
  </si>
  <si>
    <t>1558-254X</t>
  </si>
  <si>
    <t>IEEE T MED IMAGING</t>
  </si>
  <si>
    <t>IEEE Trans. Med. Imaging</t>
  </si>
  <si>
    <t>10.1109/TMI.2022.3178523</t>
  </si>
  <si>
    <t>Computer Science, Interdisciplinary Applications; Engineering, Biomedical; Engineering, Electrical &amp; Electronic; Imaging Science &amp; Photographic Technology; Radiology, Nuclear Medicine &amp; Medical Imaging</t>
  </si>
  <si>
    <t>Computer Science; Engineering; Imaging Science &amp; Photographic Technology; Radiology, Nuclear Medicine &amp; Medical Imaging</t>
  </si>
  <si>
    <t>5T7SR</t>
  </si>
  <si>
    <t>WOS:000876061700013</t>
  </si>
  <si>
    <t>Yang, W; Grasso, M; Colosimo, BM; Paynabar, K</t>
  </si>
  <si>
    <t>Yang, Wei; Grasso, Marco; Colosimo, Bianca Maria; Paynabar, Kamran</t>
  </si>
  <si>
    <t>A tensor-based hierarchical process monitoring approach for anomaly detection in additive manufacturing</t>
  </si>
  <si>
    <t>QUALITY AND RELIABILITY ENGINEERING INTERNATIONAL</t>
  </si>
  <si>
    <t>additive manufacturing; control charts; low-rank tensor decomposition; process monitoring</t>
  </si>
  <si>
    <t>Additive manufacturing (AM) is a technology that enables the creation of complex shapes with advanced structural and functional properties. It has transformed the traditional manufacturing operations into a more flexible and efficient process, reshaping the whole value chain and allowing new levels of product customization. AM is a layer-by-layer manufacturing process, in which materials are deposited in each layer to create the object of interest. Due to the layer-wise nature of the process, anomalies and defects might occur within each layer, across several layers or throughout the whole sample. An accurate and responsive detection strategy that enables the detection of various types of anomalies is essential for ensuring the quality and integrity of the manufactured product. In this paper, a hierarchical in situ process monitoring approach, namely, a three level monitoring strategy, is proposed to detect local, layer-wise, and sample-wise anomalies using thermal videos acquired during the manufacturing process. The proposed approach integrates hierarchical low-rank tensor decomposition methods with statistical monitoring techniques to effectively detect anomalies at different levels, namely, the within-layer level, the layer level, and the sample level. Simulations are used to evaluate the performance of the method and compare with existing benchmarks. The proposed approach is also applied to thermal videos acquired during the laser powder bed fusion (L-PBF) process to illustrate its effectiveness in practice.</t>
  </si>
  <si>
    <t>[Yang, Wei; Paynabar, Kamran] Georgia Inst Technol, H Milton Stewart Sch Ind &amp; Syst Engn, Atlanta, GA 30332 USA; [Grasso, Marco; Colosimo, Bianca Maria] Politecn Milan, Dipartimento Meccan, Milan, Italy</t>
  </si>
  <si>
    <t>University System of Georgia; Georgia Institute of Technology; Polytechnic University of Milan</t>
  </si>
  <si>
    <t>Paynabar, K (corresponding author), Georgia Inst Technol, H Milton Stewart Sch Ind &amp; Syst Engn, Atlanta, GA 30332 USA.</t>
  </si>
  <si>
    <t>kamran.paynabar@isye.gatech.edu</t>
  </si>
  <si>
    <t>Yang, Wei/HZI-2555-2023</t>
  </si>
  <si>
    <t>Fouts Family Early Career Professorship fund [1839591]</t>
  </si>
  <si>
    <t>Fouts Family Early Career Professorship fund</t>
  </si>
  <si>
    <t>The work of Paynabar is partially supported by Fouts Family Early Career Professorship fund as well as CMMI-NSF Award 1839591.</t>
  </si>
  <si>
    <t>0748-8017</t>
  </si>
  <si>
    <t>1099-1638</t>
  </si>
  <si>
    <t>QUAL RELIAB ENG INT</t>
  </si>
  <si>
    <t>Qual. Reliab. Eng. Int.</t>
  </si>
  <si>
    <t>10.1002/qre.3223</t>
  </si>
  <si>
    <t>8U2RC</t>
  </si>
  <si>
    <t>WOS:000872359200001</t>
  </si>
  <si>
    <t>Jharkharia, S; Das, C</t>
  </si>
  <si>
    <t>Jharkharia, Sanjay; Das, Chiranjit</t>
  </si>
  <si>
    <t>Low carbon supplier development: A fuzzy c-means and fuzzy formal concept analysis based analytical model</t>
  </si>
  <si>
    <t>Multi-criteria decision making; Supplier development; Fuzzy c-means clustering; Fuzzy formal concept analysis; Low carbon supplier development</t>
  </si>
  <si>
    <t>DECISION-MAKING; DEVELOPMENT PROGRAMS; SELECTION; PERFORMANCE; PROCUREMENT; FOOTPRINT; INTEGRATION; SYSTEMS; TOPSIS; VIKOR</t>
  </si>
  <si>
    <t>Purpose The purpose of this paper is to provide an analytical model for low carbon supplier development. This study is focused on the level of investment and collaboration decisions pertaining to emission reduction. Design/methodology/approach The authors' model includes a fuzzy c-means (FCM) clustering algorithm and a fuzzy formal concept analysis. First, a set of suppliers were classified according to their carbon performances through the FCM clustering algorithm. Then, the fuzzy formal concepts were derived from a set of fuzzy formal contexts through an intersection-based method. These fuzzy formal concepts provide the relative level of investments and collaboration decisions for each identified supplier cluster. A case from the Indian renewable energy sector was used for illustration of the proposed analytical model. Findings The proposed model and case illustration may help manufacturing firms to collaborate with their suppliers for improving their carbon performances. Research limitations/implications The study contributes to the low carbon supply chain management literature by identifying the decision criteria of investments toward low carbon supplier development. It also provides an analytical model of collaboration for low carbon supplier development. Though the purpose of the study is to illustrate the proposed analytical model, it would have been better if the model was empirically validated. Originality/value Though the earlier studies on green supplier development program evaluation have considered a set of criteria to decide whether or not to invest on suppliers, these are silent on the relative level of investment required for a given set of suppliers. This study aims to fulfill this gap by providing an analytical model that will help a manufacturing firm to invest and collaborate with its suppliers for improving their carbon performance.</t>
  </si>
  <si>
    <t>[Jharkharia, Sanjay; Das, Chiranjit] Indian Inst Management Rohtak, Dept Operat Management, Rohtak, Haryana, India</t>
  </si>
  <si>
    <t>Indian Institute of Management (IIM System); Indian Institute of Management Rohtak</t>
  </si>
  <si>
    <t>Jharkharia, S (corresponding author), Indian Inst Management Rohtak, Dept Operat Management, Rohtak, Haryana, India.</t>
  </si>
  <si>
    <t>sjharkharia@yahoo.co.in; fpm02.003@iimrohtak.ac.in</t>
  </si>
  <si>
    <t>jam, amir/O-6460-2019; Das, Chiranjit/ABD-4990-2020</t>
  </si>
  <si>
    <t>Das, Chiranjit/0000-0001-5321-625X</t>
  </si>
  <si>
    <t>FEB 4</t>
  </si>
  <si>
    <t>10.1108/BIJ-03-2018-0074</t>
  </si>
  <si>
    <t>HL0KC</t>
  </si>
  <si>
    <t>WOS:000458382400004</t>
  </si>
  <si>
    <t>Pereira, MM; Frazzon, EM</t>
  </si>
  <si>
    <t>Pereira, Marina Meireles; Frazzon, Enzo Morosini</t>
  </si>
  <si>
    <t>A data-driven approach to adaptive synchronization of demand and supply in omni-channel retail supply chains</t>
  </si>
  <si>
    <t>Simulation-based optimization; Machine learning; Omni-channel retail supply chains; Data-driven</t>
  </si>
  <si>
    <t>ARTIFICIAL-INTELLIGENCE; BIG DATA; DECISION-MAKING; FUTURE; SIMULATION; MANAGEMENT; DELIVERY; AGENDA; MODEL; TIME</t>
  </si>
  <si>
    <t>The integration of selling and fulfillment processes triggered by omni-channels is transforming the retailer's operations management. In this context, there is a lack of research regarding the connection between digital and physical worlds in retail supply chains. This paper aims to propose a data-driven approach that combines machine-learning demand forecasting and operational planning simulation-based optimization to adaptively synchronize demand and supply in omni-channel retail supply chains. The findings are substantiated through the application of the approach in an omni-channel retail supply chain. The combination of clustering and neural networks improved demand forecast, supporting an assertive identification of demand volume and location. Simulation-based optimization allowed for the definition of which facility would serve identified demands most effectively. The approach reduced fulfillment lead time, mitigated backorders arising from incompatible products supply and demand, and lowered operational costs, which are key performance indicators in today's competitive retail markets.</t>
  </si>
  <si>
    <t>[Pereira, Marina Meireles; Frazzon, Enzo Morosini] Univ Fed Santa Catarina, Ind &amp; Syst Engn Dept, Ctr Technol, Florianopolis, SC, Brazil</t>
  </si>
  <si>
    <t>Universidade Federal de Santa Catarina (UFSC)</t>
  </si>
  <si>
    <t>Pereira, MM (corresponding author), Univ Fed Santa Catarina, Ind &amp; Syst Engn Dept, Ctr Technol, Florianopolis, SC, Brazil.</t>
  </si>
  <si>
    <t>marina.m.p@posgrad.ufsc.br</t>
  </si>
  <si>
    <t>Frazzon, Enzo Morosini/A-2899-2011; PEREIRA, MARINA MEIRELES/AAL-3171-2021</t>
  </si>
  <si>
    <t>Frazzon, Enzo Morosini/0000-0002-6629-6938; PEREIRA, MARINA MEIRELES/0000-0002-4157-0355</t>
  </si>
  <si>
    <t>Coordenacao de Aperfeicoamento de Pessoal de Nivel Superior -Brasil (CAPES) [001]</t>
  </si>
  <si>
    <t>Coordenacao de Aperfeicoamento de Pessoal de Nivel Superior -Brasil (CAPES)(Coordenacao de Aperfeicoamento de Pessoal de Nivel Superior (CAPES))</t>
  </si>
  <si>
    <t>This work was financed in part by the Coordenacao de Aperfeicoamento de Pessoal de Nivel Superior -Brasil (CAPES) -Finance Code 001.</t>
  </si>
  <si>
    <t>10.1016/j.ijinfomgt.2020.102165</t>
  </si>
  <si>
    <t>WOS:000618806300005</t>
  </si>
  <si>
    <t>Liu, LM; Cao, WZ; Shi, B; Tang, M</t>
  </si>
  <si>
    <t>Liu, Limei; Cao, Wenzhi; Shi, Biao; Tang, Ming</t>
  </si>
  <si>
    <t>Large-Scale Green Supplier Selection Approach under a Q-Rung Interval-Valued Orthopair Fuzzy Environment</t>
  </si>
  <si>
    <t>large-scale green supplier selection; q-rung interval-valued orthopair fuzzy set; clustering method; q-RIVOF-MULTIMOORA method</t>
  </si>
  <si>
    <t>GROUP DECISION-MAKING; CONSENSUS MODEL; INFORMATION; MANAGEMENT; TOPSIS; VIKOR; SETS; DEA</t>
  </si>
  <si>
    <t>As enterprises pay more and more attention to environmental issues, the green supply chain management (GSCM) mode has been extensively utilized to guarantee profit and sustainable development. Green supplier selection (GSS), which is a key segment of GSCM, has been investigated to put forward plenty of GSS approaches. At present, enterprises prefer to construct the large-scale teams of decision makers to obtain the more reasonable ranking results during GSS process. However, the existing methods pay little attention to the large-scale GSS procedure. To investigate the GSS issue with a large-scale group of decision makers, a new GSS approach under a q-rung interval-valued orthopair fuzzy environment is developed. The q-rung interval-valued orthopair fuzzy numbers are introduced to describe the evaluation information of green suppliers. Combined with a clustering approach and several clustering principles, the large-scale decision makers are divided into several subgroups. Next, the similarity measures between the evaluation matrices are computed to determine the weights of subgroups, and the collective evaluation information can be obtained using the q-rung interval-valued orthopair fuzzy aggregation operator. According to the weighted entropy measure, the weights of criteria are calculated; then, the q-rung interval-valued orthopair fuzzy multi-objective optimization on the basis of ratio analysis plus the full multiplicative form (q-RIVOF-MULTIMOORA) method is constructed to determine the best green supplier. At last, a practical GSS example is applied to show the feasibility of the proposed approach, and the sensitivity and comparative analyses indicate that for the large-scale GSS issues, the proposed approach can obtain the more robust and reasonable ranking results.</t>
  </si>
  <si>
    <t>[Liu, Limei; Cao, Wenzhi; Shi, Biao] Hunan Univ Technol &amp; Business, Inst Big Data &amp; Internet Innovat, Base Int Sci &amp; Technol Innovat &amp; Cooperat Big Dat, Changsha 410205, Hunan, Peoples R China; [Tang, Ming] Technol Univ Dublin, Coll Comp Sci, Dublin 999014, Ireland</t>
  </si>
  <si>
    <t>Hunan University of Technology &amp; Business</t>
  </si>
  <si>
    <t>Shi, B (corresponding author), Hunan Univ Technol &amp; Business, Inst Big Data &amp; Internet Innovat, Base Int Sci &amp; Technol Innovat &amp; Cooperat Big Dat, Changsha 410205, Hunan, Peoples R China.</t>
  </si>
  <si>
    <t>2698@hnuc.edu.cn</t>
  </si>
  <si>
    <t>Wang, Xuezhen/IUN-6267-2023; Li, Zilong/JEZ-8642-2023</t>
  </si>
  <si>
    <t>Ministry of Education of Humanities and Social Science Project [14YJCZH099]; Hunan Provincial Philosophy and Social Science Project [12YBB145]; Hunan Provincial Social Science Achievement Appraisal Committee Project [XSP18YBC146]</t>
  </si>
  <si>
    <t>Ministry of Education of Humanities and Social Science Project; Hunan Provincial Philosophy and Social Science Project; Hunan Provincial Social Science Achievement Appraisal Committee Project</t>
  </si>
  <si>
    <t>This work was supported by The Ministry of Education of Humanities and Social Science Project (Grant No. 14YJCZH099); the Hunan Provincial Philosophy and Social Science Project (Grant No. 12YBB145); and the Hunan Provincial Social Science Achievement Appraisal Committee Project (Grant No. XSP18YBC146).</t>
  </si>
  <si>
    <t>10.3390/pr7090573</t>
  </si>
  <si>
    <t>JC2QO</t>
  </si>
  <si>
    <t>WOS:000489121800026</t>
  </si>
  <si>
    <t>Obreque, C; Paredes-Belmar, G; Miranda, PA; Campuzano, G; Gutierrez-Jarpa, G</t>
  </si>
  <si>
    <t>Obreque, Carlos; Paredes-Belmar, German; Miranda, Pablo A.; Campuzano, Giovanni; Gutierrez-Jarpa, Gabriel</t>
  </si>
  <si>
    <t>The Generalized Median Tour Problem: Modeling, Solving and an Application</t>
  </si>
  <si>
    <t>Traveling salesman problems; Distribution networks; Industrial engineering; Transportation; Marine vehicles; Clustering algorithms; Approximation algorithms; Combinatorial optimization; health supply chain; generalized median tour</t>
  </si>
  <si>
    <t>TRAVELING SALESMAN PROBLEM; EXTENSIVE FACILITY LOCATION; APPROXIMATION ALGORITHMS; NETWORK DESIGN; CUT ALGORITHM; TRANSPORTATION</t>
  </si>
  <si>
    <t>We introduce, formulate, and solve the Generalized Median Tour Problem, which is motivated in the health supplies distribution for urban and rural areas. A region comprises districts that must be served by a specialized vehicle visiting its health facilities. We propose a distribution strategy to serve these health facilities efficiently. A single tour is determined that visits a set of health facilities (nodes) composed of disjoint clusters. The tour must visit at least one facility within each cluster, and the unvisited facilities are assigned to the closest facility on the tour. We minimize the sum of the total tour distance and the access distance traveled by the unvisited facilities. Efficient formulations are proposed and several solution strategies are developed to avoid subtours based on branch &amp; cut. We solve a set of test instances and a real-world instance to show the efficiency of our solution approaches.</t>
  </si>
  <si>
    <t>[Obreque, Carlos] Univ Bio Bio, Dept Ind Engn, Concepcion 4051381, Chile; [Paredes-Belmar, German] Univ Andres Bello, Dept Engn Sci, Vina Del Mar 2531015, Chile; [Miranda, Pablo A.] Univ Catolica Norte, Dept Ind Engn, Antofagasta 1270709, Chile; [Campuzano, Giovanni] Univ Twente, Dept Ind Engn &amp; Business Informat Syst, NL-7522 NH Enschede, Netherlands; [Gutierrez-Jarpa, Gabriel] Pontificia Univ Catolica Valparaiso, Sch Ind Engn, Valparaiso 2340025, Chile</t>
  </si>
  <si>
    <t>Universidad del Bio-Bio; Universidad Andres Bello; Universidad Catolica del Norte; University of Twente; Pontificia Universidad Catolica de Valparaiso</t>
  </si>
  <si>
    <t>Paredes-Belmar, G (corresponding author), Univ Andres Bello, Dept Engn Sci, Vina Del Mar 2531015, Chile.</t>
  </si>
  <si>
    <t>german.paredes@unab.cl</t>
  </si>
  <si>
    <t>Paredes-Belmar, Germán/M-4185-2016</t>
  </si>
  <si>
    <t>Paredes-Belmar, Germán/0000-0002-5881-124X; Miranda-Gonzalez, Pablo A./0000-0003-4885-4200; Gutierrez-Jarpa, Gabriel/0000-0003-2931-0574; Obreque Ninez, Carlos/0000-0002-5057-5377</t>
  </si>
  <si>
    <t>ANID/CONICYT/FONDECYT [11170102]</t>
  </si>
  <si>
    <t>ANID/CONICYT/FONDECYT</t>
  </si>
  <si>
    <t>The work of German Paredes-Belmar was supported by ANID/CONICYT/FONDECYT under Grant 11170102.</t>
  </si>
  <si>
    <t>10.1109/ACCESS.2020.3026933</t>
  </si>
  <si>
    <t>OC0KH</t>
  </si>
  <si>
    <t>WOS:000578851500001</t>
  </si>
  <si>
    <t>Abdirad, M; Krishnan, K; Gupta, D</t>
  </si>
  <si>
    <t>Abdirad, Maryam; Krishnan, Krishna; Gupta, Deepak</t>
  </si>
  <si>
    <t>Three-stage algorithms for the large-scale dynamic vehicle routing problem with industry 4.0 approach</t>
  </si>
  <si>
    <t>JOURNAL OF MANAGEMENT ANALYTICS</t>
  </si>
  <si>
    <t>dynamic vehicle routing problem; clustered vehicle routing problem; three-stage algorithm; industry 4; 0</t>
  </si>
  <si>
    <t>OPTIMIZATION APPROACH; FUTURE; LOGISTICS; FRAMEWORK; REQUEST</t>
  </si>
  <si>
    <t>Companies are eager to have a smart supply chain especially when they have a dynamic system. Industry 4.0 is a concept which concentrates on mobility and real-time integration. Thus, it can be considered as a necessary component that has to be implemented for a dynamic vehicle routing problem. The aim of this research is to solve large-scale DVRP (LSDVRP) in which the delivery vehicles must serve customer demands from a common depot to minimize transit costs while not exceeding the capacity constraint of each vehicle. In LSDVRP, it is difficult to get an exact solution and the computational time complexity grows exponentially. To find near-optimal answers for this problem, a hierarchical approach consisting of three stages: clustering, route-construction, route-improvement is proposed. The major contribution of this paper is dealing with LSDVRP to propose the three-stage algorithm with better results. The results confirmed that the proposed methodology is applicable.</t>
  </si>
  <si>
    <t>[Abdirad, Maryam; Krishnan, Krishna; Gupta, Deepak] Wichita State Univ, Dept Ind Syst &amp; Mfg Engn, Wichita, KS 67260 USA</t>
  </si>
  <si>
    <t>Abdirad, M (corresponding author), Wichita State Univ, Dept Ind Syst &amp; Mfg Engn, Wichita, KS 67260 USA.</t>
  </si>
  <si>
    <t>Gupta, Deepak/AAV-2728-2020</t>
  </si>
  <si>
    <t>Gupta, Deepak/0000-0002-3019-7161</t>
  </si>
  <si>
    <t>2327-0012</t>
  </si>
  <si>
    <t>2327-0039</t>
  </si>
  <si>
    <t>J MANAG ANAL</t>
  </si>
  <si>
    <t>J. Manag. Anal.</t>
  </si>
  <si>
    <t>10.1080/23270012.2022.2113161</t>
  </si>
  <si>
    <t>Business; Management; Social Sciences, Mathematical Methods</t>
  </si>
  <si>
    <t>5B2GF</t>
  </si>
  <si>
    <t>WOS:000847442300001</t>
  </si>
  <si>
    <t>Ngoc, MH; Nananukul, N</t>
  </si>
  <si>
    <t>Minh Ho Ngoc; Nananukul, Narameth</t>
  </si>
  <si>
    <t>Aggregation methodologies for perishability management in production and distribution system</t>
  </si>
  <si>
    <t>aggregation methodology; perishability management; the integrated production and distribution</t>
  </si>
  <si>
    <t>VEHICLE-ROUTING PROBLEM; DAIRY SUPPLY CHAIN; INTEGRATED PRODUCTION; LOT-SIZE; INVENTORY; COORDINATION; ALGORITHM; FOOD; TIMES</t>
  </si>
  <si>
    <t>An existing integrated model such as the production-inventory-routing-problem (PIDRP) can be used to generate operational decision in the planning horizon. However, for certain products, such as food, freshness of the product are also an important factor to be considered. Typically, determining the solutions for large instances of PIDRP is not possible. The contribution of this research is to propose two aggregation techniques that can manage large instances of PIDRP that consider perishability of products. The first technique is based on a clustering algorithm that considers constraints from delivery capacity. The second technique is a tailored aggregation for producing subsets of products that can be ordered jointly. Computational results show that the proposed techniques can be used to reduce problem size while maintaining good quality solution within acceptable run time. The gaps of the solutions for problem sets up to 30 retailers, 20 products and eight periods are less than 5%.</t>
  </si>
  <si>
    <t>[Minh Ho Ngoc; Nananukul, Narameth] Thammasat Univ, Sch Mfg Syst &amp; Mech Engn, Sirindhorn Int Inst Technol, Ind Engn, Pathum Thani 12120, Thailand</t>
  </si>
  <si>
    <t>Thammasat University</t>
  </si>
  <si>
    <t>Nananukul, N (corresponding author), Thammasat Univ, Sch Mfg Syst &amp; Mech Engn, Sirindhorn Int Inst Technol, Ind Engn, Pathum Thani 12120, Thailand.</t>
  </si>
  <si>
    <t>minhomega@gmail.com; narameth@siit.tu.ac.th</t>
  </si>
  <si>
    <t>10.1504/EJIE.2017.086187</t>
  </si>
  <si>
    <t>WOS:000415107300005</t>
  </si>
  <si>
    <t>Supplier selection using axiomatic fuzzy set and TOPSIS methodology in supply chain management</t>
  </si>
  <si>
    <t>FUZZY OPTIMIZATION AND DECISION MAKING</t>
  </si>
  <si>
    <t>Fuzzy analytic hierarchy process; Qualitative and qualitative criteria; Technique for order preference by similarity to ideal solution; Axiomatic fuzzy set; Supplier selection</t>
  </si>
  <si>
    <t>LOGIC OPERATIONS; MODEL; AHP; REPRESENTATIONS; OPPORTUNITIES; EXTENSION; FRAMEWORK; BENEFITS; COSTS; RISK</t>
  </si>
  <si>
    <t>The current paper presents a comprehensive methodology for supplier selection. In the first stage, the linguistic values expressed as trapezoidal fuzzy numbers are used to assess the weights of the criteria. The Axiomatic Fuzzy Set clustering (AFS) method, which handles ambiguity and fuzziness in the supplier selection problem effectively, is applied to cluster the suppliers and evaluate each potential supplier that aims at obtaining initial supplier ranking. In the second stage, the Fuzzy Analytic Hierarchy Process (FAHP) model is constructed to determine the weight of various quantitative and qualitative criteria. To address multiple decision criteria in supplier ranking, the Technique for Order Preference by Similarity to Ideal Solution (TOPSIS) is employed to select the final suppliers. A numerical example composed of 30 suppliers and 6 criteria is studied, and the experimental results show that the proposed evaluation framework is suitable for supplier selection decisions even with the dependent criteria/attributes.</t>
  </si>
  <si>
    <t>[Li, Ye; Liu, Xiaodong; Chen, Yan] Dalian Maritime Univ, Transportat Management Coll, Dalian 116026, Peoples R China; [Li, Ye; Liu, Xiaodong] Dalian Univ Technol, Sch Elect &amp; Informat Engn, Dalian 116024, Peoples R China</t>
  </si>
  <si>
    <t>Li, Y (corresponding author), Dalian Maritime Univ, Transportat Management Coll, Dalian 116026, Peoples R China.</t>
  </si>
  <si>
    <t>Science and Technology Item of Liaoning Province Education Ministry [2009A089]; China Postdoctoral Science Foundation [20110491531]; Youth Foundation of Humanities and Social Science Research of Ministry of Education of China [11YJC630269]; Natural Science Foundation of China [60875032, 70940008]</t>
  </si>
  <si>
    <t>Science and Technology Item of Liaoning Province Education Ministry; China Postdoctoral Science Foundation(China Postdoctoral Science Foundation); Youth Foundation of Humanities and Social Science Research of Ministry of Education of China; Natural Science Foundation of China(National Natural Science Foundation of China (NSFC))</t>
  </si>
  <si>
    <t>This work is supported by the Science and Technology Item of Liaoning Province Education Ministry: 2009A089 and supported by China Postdoctoral Science Foundation under Grant 20110491531 and supported by the Youth Foundation of Humanities and Social Science Research of Ministry of Education of China (Grant No. 11YJC630269). This work is supported by the Natural Science Foundation of China under Grant 60875032, 70940008.</t>
  </si>
  <si>
    <t>1568-4539</t>
  </si>
  <si>
    <t>1573-2908</t>
  </si>
  <si>
    <t>FUZZY OPTIM DECIS MA</t>
  </si>
  <si>
    <t>Fuzzy Optim. Decis. Mak.</t>
  </si>
  <si>
    <t>10.1007/s10700-012-9117-x</t>
  </si>
  <si>
    <t>Computer Science, Artificial Intelligence; Operations Research &amp; Management Science</t>
  </si>
  <si>
    <t>943EL</t>
  </si>
  <si>
    <t>WOS:000304103200003</t>
  </si>
  <si>
    <t>Maganha, I; Silva, C; Ferreira, LMDF</t>
  </si>
  <si>
    <t>Maganha, Isabela; Silva, Cristovao; Ferreira, Luis Miguel D. F.</t>
  </si>
  <si>
    <t>The impact of reconfigurability on the operational performance of manufacturing systems</t>
  </si>
  <si>
    <t>Cluster analysis; Performance indicators; Questionnaires; Flexible manufacturing systems</t>
  </si>
  <si>
    <t>SUPPLY CHAIN; RMS DESIGN; FLEXIBILITY; RESPONSIVENESS; FIT; KEY</t>
  </si>
  <si>
    <t>Purpose The purpose of this paper is to investigate the current level of reconfigurability implementation and its impact on manufacturing systems' operational performance empirically. Design/methodology/approach This study is based on a questionnaire survey. Statistical analysis procedures were adopted to accomplish its objectives, namely, clustering methods based on cluster centroids. An ANOVA analysis was used to test for cluster differences among the variables. Findings The results show that the manufacturing companies surveyed can be divided into three clusters, with different levels of reconfigurability implemented. The implementation of the core characteristics of reconfigurability depends on the product's complexity and demand variability, in terms of volume and product mix, as these have an impact on the operational performance, in terms of quality, delivery and flexibility. Originality/value The majority of the research addressing performance issues in reconfigurable manufacturing systems has been applied to case studies. This research reports an empirical investigation using a questionnaire-based methodology to provide generalisable empirical evidence.</t>
  </si>
  <si>
    <t>[Maganha, Isabela; Silva, Cristovao; Ferreira, Luis Miguel D. F.] Univ Coimbra, Dept Mech Engn, CEMMPRE, Coimbra, Portugal</t>
  </si>
  <si>
    <t>Universidade de Coimbra</t>
  </si>
  <si>
    <t>Maganha, I (corresponding author), Univ Coimbra, Dept Mech Engn, CEMMPRE, Coimbra, Portugal.</t>
  </si>
  <si>
    <t>isabela.maganha@outlook.com</t>
  </si>
  <si>
    <t>Maganha, Isabela/H-9009-2019; Ferreira, Luis M/H-3046-2016; Silva, Cristovao/H-4949-2012</t>
  </si>
  <si>
    <t>Maganha, Isabela/0000-0002-1885-347X; Ferreira, Luis M/0000-0003-0459-0020; Silva, Cristovao/0000-0002-7693-9570</t>
  </si>
  <si>
    <t>JAN 20</t>
  </si>
  <si>
    <t>10.1108/JMTM-12-2018-0450</t>
  </si>
  <si>
    <t>KD0UU</t>
  </si>
  <si>
    <t>WOS:000507588500007</t>
  </si>
  <si>
    <t>Logistics optimization through a social approach for food distribution</t>
  </si>
  <si>
    <t>Social sustainability; Cluster; Distribution; Logistics</t>
  </si>
  <si>
    <t>VEHICLE-ROUTING PROBLEM</t>
  </si>
  <si>
    <t>The management of supply chains is becoming more important in economic and social environments. Currently, the social sustainability is a factor that must be considered to design governmental strategies and policies. The objective of this research paper was to show, with a case study an approach to optimize distribution and delivery logistics of food in a social assistance program of school breakfast using mathematical models that include transportation distance, optimal locations, and vehicle routing through different clusters. By using qualitative variables like poverty levels, food insecurity and social exclusion, different clustering methods are proposed with the purpose of identifying the common characteristics in the studied population; and at the same time, reducing the distribution complexity. The results show an efficient approach to design a supply chain that includes economic and social factors. The new model developed in this paper can be used to plan social assistance governmental programs, to identify the specific needs and characteristics of the beneficiaries, minimizing the total cost of the distribution network logistics when delivering food for school meals.</t>
  </si>
  <si>
    <t>[Granillo-Macias, Rafael] Univ Autonoma Estado Hidalgo, Escuela Super Ciudad Sahagun, Area Acad Ingn Ind, Tepeapulco, Hidalgo, Mexico</t>
  </si>
  <si>
    <t>Granillo-Macías, R (corresponding author), Univ Autonoma Estado Hidalgo, Escuela Super Ciudad Sahagun, Area Acad Ingn Ind, Tepeapulco, Hidalgo, Mexico.</t>
  </si>
  <si>
    <t>Programa para el Desarrollo Profesional Docente (PRODEP) , Mexico [UAEHEXB152]; National Council of Science and Technology (CONACyT) [CVU205095]</t>
  </si>
  <si>
    <t>Programa para el Desarrollo Profesional Docente (PRODEP) , Mexico; National Council of Science and Technology (CONACyT)(Consejo Nacional de Ciencia y Tecnologia (CONACyT))</t>
  </si>
  <si>
    <t>This work was supported by Programa para el Desarrollo Profesional Docente (PRODEP) , Mexico, [grant number UAEHEXB152] ; and National Council of Science and Technology (CONACyT) [grant number CVU205095] , Mexico.</t>
  </si>
  <si>
    <t>10.1016/j.seps.2020.100972</t>
  </si>
  <si>
    <t>TK9JR</t>
  </si>
  <si>
    <t>WOS:000674471600002</t>
  </si>
  <si>
    <t>Li, S; Mirhosseini, M</t>
  </si>
  <si>
    <t>Li, Simon; Mirhosseini, Mehrnaz</t>
  </si>
  <si>
    <t>A matrix-based modularization approach for supporting secure collaboration in parametric design</t>
  </si>
  <si>
    <t>Collaborative design; Parametric design; Dependency matrix; Modularization; Information leakage</t>
  </si>
  <si>
    <t>SUPPLY CHAIN; ACCESS-CONTROL; INFORMATION; MODEL; DECOMPOSITION; PROTECTION; MANAGEMENT; LEAKAGE</t>
  </si>
  <si>
    <t>The purpose of this paper is to develop a matrix-based modularization method that protects critical product information from being known by suppliers. The product information is first captured by a function-parameter (FP) matrix, which defines the dependency relationships between functions and parameters. In addition, two types of parameters are classified: shared and protected. The shared parameters are the parameters to be known by the suppliers for collaborative design, while the protected parameters are assumed to be the confidential product information. Given the FP matrix with shared and protected parameters, a three-phase clustering method is proposed to form product modules that intentionally group and isolate protected parameters. Based on a matrix-based modular structure, a formulation is proposed to estimate the leakage risk of protected parameters due to the disclosure of shared parameters to suppliers. At the end, the relief valve system is used to examine the proposed modularization and measurement methods. (C) 2012 Elsevier B.V. All rights reserved.</t>
  </si>
  <si>
    <t>[Li, Simon; Mirhosseini, Mehrnaz] Concordia Univ, Concordia Inst Informat Syst Engn, Montreal, PQ, Canada</t>
  </si>
  <si>
    <t>Li, S (corresponding author), 1455 Maisonneuve Blvd W,S-EV 007-648, Montreal, PQ H3G 1M8, Canada.</t>
  </si>
  <si>
    <t>lisimon@ciise.concordia.ca</t>
  </si>
  <si>
    <t>NSERC</t>
  </si>
  <si>
    <t>The authors acknowledge the support from the NSERC Discovery Grants. We also acknowledge Dr. Yong Zeng, Concordia University, for sharing the initial concept and idea of this research.</t>
  </si>
  <si>
    <t>10.1016/j.compind.2012.04.003</t>
  </si>
  <si>
    <t>WOS:000306383100008</t>
  </si>
  <si>
    <t>Song, H; Yang, YD; Tao, Z</t>
  </si>
  <si>
    <t>Song, Hua; Yang, Yudong; Tao, Zheng</t>
  </si>
  <si>
    <t>Application of blockchain in enterprise financing: literature review and knowledge framework</t>
  </si>
  <si>
    <t>NANKAI BUSINESS REVIEW INTERNATIONAL</t>
  </si>
  <si>
    <t>Blockchain; Enterprise financing; Literature review; Knowledge framework; Supply chain finance</t>
  </si>
  <si>
    <t>TECHNOLOGY</t>
  </si>
  <si>
    <t>Purpose - In recent years, the application of blockchain in enterprise financing has become a hot topic in academic research. This study aims to review the existing literature, construct a knowledge framework for this research topic and propose an agenda for future research.Design/methodology/approach - Based on 181 papers published from 2016 to 2020 in core journal databases in China and abroad, this study used bibliometric tools to identify and analyze an overview of literature publications, research hotspot trends and research theme clustering. This study also qualitatively analyzes literature from the dimensions of enabling mechanisms, multitechnology synergy, challenges, theoretical perspectives and research methods.Findings - This study presents the research progress of blockchain applications in direct financing, bank credit, supply chain finance and other financing modes and analyzes the similarities and differences between domestic and international literature. This study also reveals enabling mechanisms of blockchain in enterprise financing, reflected as information quality improvement (data elements), trust mechanism innovation (business process) and collaboration structure enhancement (network structure). The study found several challenges (e.g. technological uncertainty, data security and organizational change) and trends (e.g. integrated innovation of multiple digital technologies). Additionally, the authors identified several gaps and opportunities for further research. Research limitations/implications - This study adopts a strict strategy of selecting search terms when retrieving the literature, leading to the exclusion of certain papers on this topic.Practical implications - This study provides valuable insights into the innovative development of enterprise financing modes enabled by blockchain and emphasizes that managers should clarify the applicable boundaries and necessary conditions of blockchain innovation in different financing scenarios to match technological innovation with industrial expectations. Originality/value - This study constructs a knowledge framework on this topic based on a comprehensive review of existing research and proposes several important issues for future research based on the identified research gaps.</t>
  </si>
  <si>
    <t>[Song, Hua; Yang, Yudong; Tao, Zheng] Renmin Univ China, Sch Business, Dept Business Adm, Beijing, Peoples R China</t>
  </si>
  <si>
    <t>Yang, YD (corresponding author), Renmin Univ China, Sch Business, Dept Business Adm, Beijing, Peoples R China.</t>
  </si>
  <si>
    <t>songhua@ruc.edu.cn; scottyyd@163.com; terry@ruc.edu.cn</t>
  </si>
  <si>
    <t>National Social Science Fund of China [22ZD096]</t>
  </si>
  <si>
    <t>National Social Science Fund of China</t>
  </si>
  <si>
    <t>The research underlying this paper was supported by the National Social Science Fund of China (No. 22&amp;ZD096)</t>
  </si>
  <si>
    <t>2040-8749</t>
  </si>
  <si>
    <t>2040-8757</t>
  </si>
  <si>
    <t>NANKAI BUS REV NT</t>
  </si>
  <si>
    <t>Nankai Bus. Rev. Int.</t>
  </si>
  <si>
    <t>JUL 20</t>
  </si>
  <si>
    <t>10.1108/NBRI-08-2022-0080</t>
  </si>
  <si>
    <t>M2SA6</t>
  </si>
  <si>
    <t>WOS:000982634700001</t>
  </si>
  <si>
    <t>Soleimani, M; Mollaei, E; Beinabaj, MH; Salamzadeh, A</t>
  </si>
  <si>
    <t>Soleimani, Maryam; Mollaei, Elahe; Beinabaj, Mojgan Hamidi; Salamzadeh, Aidin</t>
  </si>
  <si>
    <t>Evaluating the Enablers of Green Entrepreneurship in Circular Economy: Organizational Enablers in Focus</t>
  </si>
  <si>
    <t>organizational enablers; ISM analysis; BWM; MICMAC</t>
  </si>
  <si>
    <t>SUPPLY CHAIN MANAGEMENT; SUSTAINABLE DEVELOPMENT; COMPANIES; IMPACT</t>
  </si>
  <si>
    <t>In recent decades, green entrepreneurship has been at the center of attention as an effective strategy to maintain sustainability and create a competitive advantage for organizations in a circular economy. However, the successful implementation of this strategy requires organizations to have internal enablers. This study endeavored to identify and evaluate organizational enablers for green entrepreneurship in manufacturing Small and Medium Enterprises (SMEs) in Iran. Identifying organizational enablers can help SMEs in facilitating the conditions for adopting green entrepreneurship. To these ends, organizational enablers were extracted by reviewing the literature and then, using the viewpoints of 17 active experts in different industries in SMEs, they were classified. In the next step, the Best Worst Method was employed to prioritize the identified enablers (5 factors) and sub-enablers (20 factors). The contextual hierarchical relationships between these factors were identified through the Interpretive Structural Modeling method. Using the Matrix of Cross-Impact Multiplications Applied to Classification (MICMAC) analysis, the driving and dependence powers of organizational enablers were computed and the enablers were clustered. Based on the results, among the five enablers, three including total quality management, circular supply chain management, and corporate social responsibility were the most important from the point of view of the experts. Moreover, among the sub-enablers, strategic planning, green purchasing, and corporate social responsibility motivation were more important than other sub-enablers. The results of ISM analysis provided a seven-level hierarchical model and the relationships between them. The results of the MICMAC analysis led to the clustering of 20 organizational enablers in three main clusters: driving (nine factors), linkage (four factors), and dependent (seven factors). The results of this study provide practical suggestions for active senior managers to implement green entrepreneurship in SMEs.</t>
  </si>
  <si>
    <t>[Soleimani, Maryam; Mollaei, Elahe; Beinabaj, Mojgan Hamidi] Payame Noor Univ, Dept Management Econ &amp; Accounting, Tehran 1599959515, Iran; [Salamzadeh, Aidin] Univ Tehran, Coll Management, Tehran 141556311, Iran</t>
  </si>
  <si>
    <t>Payame Noor University; University of Tehran</t>
  </si>
  <si>
    <t>Soleimani, M (corresponding author), Payame Noor Univ, Dept Management Econ &amp; Accounting, Tehran 1599959515, Iran.;Salamzadeh, A (corresponding author), Univ Tehran, Coll Management, Tehran 141556311, Iran.</t>
  </si>
  <si>
    <t>m.soleimani@pnu.ac.ir; mollaei@pnu.ac.ir; hamidi.mojgan@pnu.ac.ir; salamzadeh@ut.ac.ir</t>
  </si>
  <si>
    <t>Salamzadeh, Aidin/O-1675-2016</t>
  </si>
  <si>
    <t>Salamzadeh, Aidin/0000-0001-6808-1327</t>
  </si>
  <si>
    <t>10.3390/su151411253</t>
  </si>
  <si>
    <t>N5SW7</t>
  </si>
  <si>
    <t>WOS:001037618700001</t>
  </si>
  <si>
    <t>Hirschinger, M; Spickermann, A; Hartmann, E; von der Gracht, H; Darkow, IL</t>
  </si>
  <si>
    <t>Hirschinger, Micha; Spickermann, Alexander; Hartmann, Evi; von der Gracht, Heiko; Darkow, Inga-Lena</t>
  </si>
  <si>
    <t>The Future of Logistics in Emerging MarketsFuzzy Clustering Scenarios Grounded in Institutional and Factor-Market Rivalry Theory</t>
  </si>
  <si>
    <t>transportation; distribution and logistics; emerging economies; institutional theory; factor-market rivalry theory; panel study; fuzzy logic; cluster analysis</t>
  </si>
  <si>
    <t>FUZZY C-MEANS; CORPORATE DIVERSIFICATION STRATEGIES; INTERNATIONAL-BUSINESS; DELPHI METHOD; COMPETITIVE ADVANTAGE; REAL-TIME; INTEGRATION; PERFORMANCE; ECONOMIES; FORESIGHT</t>
  </si>
  <si>
    <t>Transportation and logistics are increasingly relevant to the rapid economic growth of emerging economies. Decision makers in the transportation and logistics industry require a comprehensive understanding of the institutional business environment and factor markets in emerging economy countries to formulate accurate supply chain strategies for the future. Although extensive studies on prospective scenarios in emerging economies are available, research has largely neglected the future evolution of transportation and logistics. This study addresses this gap by applying a multiple method research approach and relying on institutional theory and factor-market rivalry theory to create scenarios of the development of transportation and logistics in emerging economy countries by 2030. We do so by collecting qualitative and quantitative data through a Delphi survey and applying fuzzy clustering to group the results into meaningful and interpretable scenarios. Our results suggest that emerging economies will take advantage of free trade zones to consolidate their position in the international market and encourage investment. Consequently, logistics will experience rapid growth and value-added services will expand, propelling new players from developing economies onto the international stage. Our findings also suggest that the logistics service industry in emerging economy countries will undergo a significant consolidation process, leading to the possibility of factor-market rivalry among shippers. This suggests that shippers' social networks and personal contacts will increase in importance in the future.</t>
  </si>
  <si>
    <t>[Hirschinger, Micha; Spickermann, Alexander; Hartmann, Evi] Univ Erlangen Nurnberg, Supply Chain Management, Erlangen, Germany; [von der Gracht, Heiko] EBS Business Sch, Wiesbaden, Germany; [Darkow, Inga-Lena] Univ Bremen, Dept Business Studies &amp; Econ, D-28359 Bremen, Germany</t>
  </si>
  <si>
    <t>University of Erlangen Nuremberg; European Business School (EBS) University; University of Bremen</t>
  </si>
  <si>
    <t>Hirschinger, M (corresponding author), Univ Erlangen Nurnberg, Supply Chain Management, Erlangen, Germany.</t>
  </si>
  <si>
    <t>Darkow, Inga-Lena/AAD-8909-2019; von der Gracht, Heiko/ABE-7238-2020</t>
  </si>
  <si>
    <t>Darkow, Inga-Lena/0000-0003-2824-3664; von der Gracht, Heiko/0000-0002-7376-1236</t>
  </si>
  <si>
    <t>10.1111/jscm.12074</t>
  </si>
  <si>
    <t>CT0AS</t>
  </si>
  <si>
    <t>WOS:000362456700004</t>
  </si>
  <si>
    <t>Lorenc, A; Burinskiene, A</t>
  </si>
  <si>
    <t>Lorenc, Augustyn; Burinskiene, Aurelija</t>
  </si>
  <si>
    <t>Improve the Orders Picking in e-Commerce by Using WMS Data and BigData Analysis</t>
  </si>
  <si>
    <t>FME TRANSACTIONS</t>
  </si>
  <si>
    <t>Product Allocation Problem (PAP); BigData analysis; Tableau analysis; clustering; the effectiveness of orders picking; e-commerce; warehouse logistics</t>
  </si>
  <si>
    <t>BIG DATA ANALYTICS; SUPPLY CHAIN; PREDICTIVE ANALYTICS; MANAGEMENT; RESILIENCE; STORAGE; MODEL</t>
  </si>
  <si>
    <t>The primary purpose of the research is the improvement of the orders picking process without additional investments for the software, employees, tool and inventories. For problem-solving, the data about picking is exported and preprocessed from WMS. The BigData analysis and product clustering in Tableau software is delivered using the data, where the Product Allocation Problem (PAP) is solved. Picking time for reference scenario and new analysed one is calculated and compared. The presented research proves that standard data collected by WMS could be used for solving PAP for the reduction of total picking time. The method delivered by authors could be in a typical warehouse, where forklifts and employees do the order picking process. The plan after an upgrade could be used for automatic picking, and implemented WMS. For BigData analysis, Tableau is connected to WMS database. Such solution could be used for everyday analysis and planning the allocation of products. The presented method is easy to use; there is no need to invest in expensive software and automation of the picking process to achieve the high performance of the orders picking process. However, its application allows the increase of efficiency rates. Storekeepers can select more products at the same time. The presented research is original because of using simple methods and analysis of specific data, which until now are only used to calculate employee performance indicators.</t>
  </si>
  <si>
    <t>[Lorenc, Augustyn] Cracow Univ Technol, Al Jana Pawla II 37, PL-31864 Krakow, Poland; [Burinskiene, Aurelija] Vilnius Gediminas Tech Univ, Vilnius, Lithuania</t>
  </si>
  <si>
    <t>Cracow University of Technology; Vilnius Gediminas Technical University</t>
  </si>
  <si>
    <t>Lorenc, A (corresponding author), Cracow Univ Technol, Al Jana Pawla II 37, PL-31864 Krakow, Poland.</t>
  </si>
  <si>
    <t>alorenc@pk.edu.pl</t>
  </si>
  <si>
    <t>Burinskiene, Aurelija/0000-0002-4369-8870</t>
  </si>
  <si>
    <t>UNIV BELGRADE, FAC MECHANICAL ENGINEERING</t>
  </si>
  <si>
    <t>BELGRADE</t>
  </si>
  <si>
    <t>KRALJICE MARIJE 16, 35, BELGRADE, 11120, SERBIA</t>
  </si>
  <si>
    <t>1451-2092</t>
  </si>
  <si>
    <t>2406-128X</t>
  </si>
  <si>
    <t>FME TRANS</t>
  </si>
  <si>
    <t>FME Trans.</t>
  </si>
  <si>
    <t>10.5937/fme2101233L</t>
  </si>
  <si>
    <t>Engineering, Mechanical</t>
  </si>
  <si>
    <t>PA6FO</t>
  </si>
  <si>
    <t>WOS:000595729200027</t>
  </si>
  <si>
    <t>Wu, SS; Qin, L; Shen, C; Zhou, XY; Wu, JZ</t>
  </si>
  <si>
    <t>Wu, Saisai; Qin, Lang; Shen, Chen; Zhou, Xiangyang; Wu, Jianzhai</t>
  </si>
  <si>
    <t>Food Retail Network Spatial Matching and Urban Planning Policy Implications: The Case of Beijing, China</t>
  </si>
  <si>
    <t>LAND</t>
  </si>
  <si>
    <t>food retail outlets; spatial pattern; supply and demand matching; policy implications; urban land planning</t>
  </si>
  <si>
    <t>INEQUALITIES; ACCESS; HEALTH; STORES; AREAS; SECURITY; LOCATION; SYSTEMS; OBESITY; EQUITY</t>
  </si>
  <si>
    <t>Food is the core of urban daily life and socio-economic activities but is rarely the focus of urban planning. The spatial layout of food retail outlets is important for optimizing the urban food system, improving land resource allocation, and encouraging healthy food consumption. Based on food retail POI data, this study employed kernel density estimation, road network centrality, spatial autocorrelation analysis, and locational entropy to analyze the spatial characteristics of supermarkets, produce markets, and small stores in an urban center in Beijing, and explored street coupling and supply-demand matching. The results indicated that within the study area: (1) supermarkets had an obvious core-periphery distribution, produce markets had a polycentric distribution, and small stores had a relatively uniform distribution; (2) road network centrality indices revealed a differentiated multi-core-edge distribution; (3) streets with high locational entropy values for supermarkets and produce markets were mostly concentrated in the central area, whereas the matching distribution of small stores was relatively balanced. From the perspective of urban planning, policy implications are proposed based on spatial and social equity, urban-rural differences, population structure and distribution status, and a resilient supply chain. The study findings have practical significance for guiding the development of urban food systems in a healthy, just, and sustainable direction, as well as rational urban land planning.</t>
  </si>
  <si>
    <t>[Wu, Saisai; Qin, Lang; Shen, Chen; Zhou, Xiangyang; Wu, Jianzhai] Chinese Acad Agr Sci, Minist Agr &amp; Rural Affairs, Key Lab Agr Blockchain Applicat, Agr Informat Inst, Beijing 100081, Peoples R China</t>
  </si>
  <si>
    <t>Ministry of Agriculture &amp; Rural Affairs; Chinese Academy of Agricultural Sciences; Agriculture Information Institute, CAAS</t>
  </si>
  <si>
    <t>Wu, JZ (corresponding author), Chinese Acad Agr Sci, Minist Agr &amp; Rural Affairs, Key Lab Agr Blockchain Applicat, Agr Informat Inst, Beijing 100081, Peoples R China.</t>
  </si>
  <si>
    <t>82101185233@caas.cn; qinlang3478@163.com; shenchen@caas.cn; zhouxiangyang01@caas.cn; wujianzhai@126.com</t>
  </si>
  <si>
    <t>Central Public-interest Scientific Institution Basal Research Fund, China [JBYW-AII-2022-06, JBYW-AII-2022-21]; Agricultural Science and Technology Innovation Program of the Chinese Academy of Agricultural Sciences [CAAS-ASTIP-2016-AII]</t>
  </si>
  <si>
    <t>Central Public-interest Scientific Institution Basal Research Fund, China; Agricultural Science and Technology Innovation Program of the Chinese Academy of Agricultural Sciences</t>
  </si>
  <si>
    <t>This research was funded by the Central Public-interest Scientific Institution Basal Research Fund, China (JBYW-AII-2022-06, JBYW-AII-2022-21), and the Agricultural Science and Technology Innovation Program of the Chinese Academy of Agricultural Sciences (CAAS-ASTIP-2016-AII).</t>
  </si>
  <si>
    <t>2073-445X</t>
  </si>
  <si>
    <t>LAND-BASEL</t>
  </si>
  <si>
    <t>Land</t>
  </si>
  <si>
    <t>10.3390/land11050694</t>
  </si>
  <si>
    <t>1Q3IX</t>
  </si>
  <si>
    <t>WOS:000802586700001</t>
  </si>
  <si>
    <t>Zhang, YZ</t>
  </si>
  <si>
    <t>Zhang, Yizhuo</t>
  </si>
  <si>
    <t>Application of improved BP neural network based on e-commerce supply chain network data in the forecast of aquatic product export volume</t>
  </si>
  <si>
    <t>COGNITIVE SYSTEMS RESEARCH</t>
  </si>
  <si>
    <t>Export scale; Neural network; Electronic commerce; Predictive model</t>
  </si>
  <si>
    <t>Aiming at the existing problems in the production and export scale prediction of aquaculture, a model of yield prediction based on BP Neural network algorithm is proposed, and a set of algorithms is proposed to optimize BP neural network (BPNN). Based on the traditional BP neural network, it is easy to get into the local optimal problem due to the long training time of the model. By using the simple Johnson algorithm, the dimensionality of the input neuron is reduced, and then the hidden layer neural network is determined by this method. At the same time, the data mining method is used to filter the Data.Particle swarm optimization algorithm is used to optimize the parameters. At the same time, based on the domestic e-commerce Sales network data, the results show that the average square root error of the model is less than the traditional BP neural network and the learning efficiency is higher than the traditional BP neural network. The results show that the model has a great advantage in building up a large number of historical data, and it can shorten the modeling time and get good prediction result by combining the sales data of e-commerce. It provides a new feasible method for the export prediction of aquatic products. (C) 2018 Elsevier B.V. All rights reserved.</t>
  </si>
  <si>
    <t>[Zhang, Yizhuo] Tokyo Univ Marine Sci &amp; Technol, Tokyo, Japan; [Zhang, Yizhuo] Chinese Acad Fishery Sci, Beijing, Peoples R China</t>
  </si>
  <si>
    <t>Tokyo University of Marine Science &amp; Technology; Chinese Academy of Fishery Sciences</t>
  </si>
  <si>
    <t>Zhang, YZ (corresponding author), Tokyo Univ Marine Sci &amp; Technol, Tokyo, Japan.;Zhang, YZ (corresponding author), Chinese Acad Fishery Sci, Beijing, Peoples R China.</t>
  </si>
  <si>
    <t>1389-0417</t>
  </si>
  <si>
    <t>COGN SYST RES</t>
  </si>
  <si>
    <t>Cogn. Syst. Res.</t>
  </si>
  <si>
    <t>10.1016/j.cogsys.2018.10.025</t>
  </si>
  <si>
    <t>Computer Science, Artificial Intelligence; Neurosciences; Psychology, Experimental</t>
  </si>
  <si>
    <t>Computer Science; Neurosciences &amp; Neurology; Psychology</t>
  </si>
  <si>
    <t>IB2RK</t>
  </si>
  <si>
    <t>WOS:000470116200025</t>
  </si>
  <si>
    <t>van der Spoel, S; Amrit, C; van Hillegersberg, J</t>
  </si>
  <si>
    <t>van der Spoel, Sjoerd; Amrit, Chintan; van Hillegersberg, Jos</t>
  </si>
  <si>
    <t>Predictive analytics for truck arrival time estimation: a field study at a European distribution centre</t>
  </si>
  <si>
    <t>distribution centre; arrival time; predictive analytics; case study</t>
  </si>
  <si>
    <t>TRAVELER INFORMATION-SYSTEMS; RELIABILITY; TRANSPORT; NETWORK; MODEL; UNRELIABILITY; VARIABILITY; FREEWAYS; IMPACTS; CHAINS</t>
  </si>
  <si>
    <t>Distribution centres (DCs) are the hubs connecting transport streams in the supply chain. The synchronisation of coming and going cargo at a DC requires reliable arrival times. To achieve this, a reliable method to predict arrival times is needed. A literature review was performed to find the factors that are reported to predict arrival time: congestion, weather, time of day and incidents. While travel time receives considerable attention, there is a gap in literature concerning arrival vs. travel/journey time prediction. None of the reviewed papers investigate arrival time: all the papers found investigate travel time. Arrival time is the consequence of travel time in combination with departure time, so though the travel time literature is applicable, the human factor involved in planning the time of departure can affect the arrival time (especially for truck drivers who have travelled the same route before). To validate the factors that influence arrival time, the authors conducted a detailed case study that includes a survey of 230 truckers, a data analysis and a data mining experiment, using real traffic and weather data. These show that although a 'big data' approach delivers valuable insights, the predictive power is not as high as expected; other factors, such as human or organisational factors, could influence arrival time, and it is concluded that such organisational factors should be considered in future predictive models.</t>
  </si>
  <si>
    <t>[van der Spoel, Sjoerd; Amrit, Chintan; van Hillegersberg, Jos] Univ Twente, IEBIS Dept, Enschede, Netherlands</t>
  </si>
  <si>
    <t>University of Twente</t>
  </si>
  <si>
    <t>Amrit, C (corresponding author), Univ Twente, IEBIS Dept, Enschede, Netherlands.</t>
  </si>
  <si>
    <t>c.amrit@utwente.nl</t>
  </si>
  <si>
    <t>Amrit, Chintan/AAO-7994-2020</t>
  </si>
  <si>
    <t>Amrit, Chintan/0000-0002-6310-3248</t>
  </si>
  <si>
    <t>Dinalog, the Dutch Institute for Advanced Logistics, 4C4More project</t>
  </si>
  <si>
    <t>The authors would like to thank the DC for their collaboration in providing the data sets, and for their help in getting responses to the surveys. Furthermore, thanks go out to Dinalog, the Dutch Institute for Advanced Logistics in providing the funds for this research as part of the 4C4More project.</t>
  </si>
  <si>
    <t>10.1080/00207543.2015.1064183</t>
  </si>
  <si>
    <t>WOS:000404671500017</t>
  </si>
  <si>
    <t>Ma, YC; Zhang, Z</t>
  </si>
  <si>
    <t>Ma, Yuchi; Zhang, Zhou</t>
  </si>
  <si>
    <t>A Bayesian Domain Adversarial Neural Network for Corn Yield Prediction</t>
  </si>
  <si>
    <t>IEEE GEOSCIENCE AND REMOTE SENSING LETTERS</t>
  </si>
  <si>
    <t>Feature extraction; Training; Predictive models; Biological system modeling; Bayes methods; Neural networks; Crops; Adversarial learning; Bayesian inference; corn yield prediction; domain adaptation; remote sensing</t>
  </si>
  <si>
    <t>Corn is the most widely grown crop in the U.S. and makes up a significant part of the American diet. Under the pressure of feeding a growing population, accurate and timely estimation of corn yield before the harvest is of great importance to supply chain management and regional food security. Recently, machine learning (ML) in conjunction with satellite remote sensing has been used for developing corn yield prediction models. Despite the success, a major bottleneck of training a reliable supervised ML model is the need for representative ground truth labels (e.g., yield records), which may be limited or even not available due to financial and manpower reasons. Also, due to domain shift, an ML model trained with labeled data from a label-rich region (i.e., source domain) could experience a significant performance decrease when directly applied to the region of interest (i.e., target domain). To address this issue, we proposed a Bayesian domain adversarial neural network (BDANN) for unsupervised domain adaptation (UDA) on county-level corn yield prediction. By applying adversarial learning and Bayesian inference, BDANN was trained to reduce domain shift and accurately predict corn yield by extracting domain-invariant and task-informative features from both source and target domains. Moreover, the results also demonstrated that the BDANN model generalized well on small training sets. Experiments in two ecoregions in the U.S. corn belt have shown the effectiveness of the proposed BDANN and its superiority over other state-of-the-art methods.</t>
  </si>
  <si>
    <t>[Ma, Yuchi; Zhang, Zhou] Univ Wisconsin, Dept Biol Syst Engn, Madison, WI 53706 USA</t>
  </si>
  <si>
    <t>University of Wisconsin System; University of Wisconsin Madison</t>
  </si>
  <si>
    <t>Zhang, Z (corresponding author), Univ Wisconsin, Dept Biol Syst Engn, Madison, WI 53706 USA.</t>
  </si>
  <si>
    <t>zzhang347@wisc.edu</t>
  </si>
  <si>
    <t>Ma, Yuchi/0000-0002-0412-9851</t>
  </si>
  <si>
    <t>United States Department of Agriculture (USDA) National Institute of Food and Agriculture, Agriculture and Food Research Initiative Project [1028199]; University of Wisconsin-Madison, Office of the Vice Chancellor for Research and Graduate Education through the Wisconsin Alumni Research Foundation</t>
  </si>
  <si>
    <t>United States Department of Agriculture (USDA) National Institute of Food and Agriculture, Agriculture and Food Research Initiative Project; University of Wisconsin-Madison, Office of the Vice Chancellor for Research and Graduate Education through the Wisconsin Alumni Research Foundation</t>
  </si>
  <si>
    <t>This work was supported in part by the United States Department of Agriculture (USDA) National Institute of Food and Agriculture, Agriculture and Food Research Initiative Project under Grant 1028199 and in part by the University of Wisconsin-Madison, Office of the Vice Chancellor for Research and Graduate Education through the Wisconsin Alumni Research Foundation.</t>
  </si>
  <si>
    <t>1545-598X</t>
  </si>
  <si>
    <t>1558-0571</t>
  </si>
  <si>
    <t>IEEE GEOSCI REMOTE S</t>
  </si>
  <si>
    <t>IEEE Geosci. Remote Sens. Lett.</t>
  </si>
  <si>
    <t>10.1109/LGRS.2022.3211444</t>
  </si>
  <si>
    <t>5M3XI</t>
  </si>
  <si>
    <t>WOS:000871032000001</t>
  </si>
  <si>
    <t>Diez-Olivan, A; Del Ser, J; Galar, D; Sierra, B</t>
  </si>
  <si>
    <t>Diez-Olivan, Alberto; Del Ser, Javier; Galar, Diego; Sierra, Basilio</t>
  </si>
  <si>
    <t>Data fusion and machine learning for industrial prognosis: Trends and perspectives towards Industry 4.0</t>
  </si>
  <si>
    <t>INFORMATION FUSION</t>
  </si>
  <si>
    <t>Data-driven prognosis; Data fusion; Machine learning; Industry 4.0</t>
  </si>
  <si>
    <t>USEFUL LIFE PREDICTION; CONDITION-BASED MAINTENANCE; SUPPLY CHAIN MANAGEMENT; SHOP SCHEDULING PROBLEM; OF-THE-ART; BIG DATA; FAULT-DIAGNOSIS; DATA-DRIVEN; PREVENTIVE MAINTENANCE; MANUFACTURING SYSTEMS</t>
  </si>
  <si>
    <t>The so-called smartization of manufacturing industries has been conceived as the fourth industrial revolution or Industry 4.0, a paradigm shift propelled by the upsurge and progressive maturity of new Information and Communication Technologies (ICT) applied to industrial processes and products. From a data science perspective, this paradigm shift allows extracting relevant knowledge from monitored assets through the adoption of intelligent monitoring and data fusion strategies, as well as by the application of machine learning and optimization methods. One of the main goals of data science in this context is to effectively predict abnormal behaviors in industrial machinery, tools and processes so as to anticipate critical events and damage, eventually causing important economical losses and safety issues. In this context, data-driven prognosis is gradually gaining attention in different industrial sectors. This paper provides a comprehensive survey of the recent developments in data fusion and machine learning for industrial prognosis, placing an emphasis on the identification of research trends, niches of opportunity and unexplored challenges. To this end, a principled categorization of the utilized feature extraction techniques and machine learning methods will be provided on the basis of its intended purpose: analyze what caused the failure (descriptive), determine when the monitored asset will fail (predictive) or decide what to do so as to minimize its impact on the industry at hand (prescriptive). This threefold analysis, along with a discussion on its hardware and software implications, intends to serve as a stepping stone for future researchers and practitioners to join the community investigating on this vibrant field.</t>
  </si>
  <si>
    <t>[Diez-Olivan, Alberto; Del Ser, Javier; Galar, Diego] TECNALIA, Donostia San Sebastian 20009, Spain; [Del Ser, Javier] Univ Basque Country, UPV EHU, Dept Commun Engn, Bilbao 48013, Spain; [Del Ser, Javier] BCAM, Bilbao 48009, Bizkaia, Spain; [Galar, Diego] Lulea Univ Technol, Dept Civil Environm &amp; Nat Resources Engn, Operat Maintenance &amp; Acoust, Lulea, Sweden; [Sierra, Basilio] Univ Basque Country, UPV EHU, Dept Comp Sci &amp; Artificial Intelligence, Donostia San Sebastian 20018, Spain</t>
  </si>
  <si>
    <t>University of Basque Country; Basque Center for Applied Mathematics (BCAM); Lulea University of Technology; University of Basque Country</t>
  </si>
  <si>
    <t>Del Ser, J (corresponding author), TECNALIA Res &amp; Innovat P Tecnol, Ed 700, Derio 48170, Bizkaia, Spain.</t>
  </si>
  <si>
    <t>javier.delser@tecnalia.com</t>
  </si>
  <si>
    <t>Sierra, Basilio/AAX-9544-2020; Del Ser, Javier/AAA-2965-2021; Sierra, Basilio/L-3160-2014</t>
  </si>
  <si>
    <t>Del Ser, Javier/0000-0002-1260-9775; Sierra, Basilio/0000-0001-8062-9332; DIEZ-OLIVAN, ALBERTO/0000-0002-6837-3618</t>
  </si>
  <si>
    <t>Basque Government through the EMAITEK program</t>
  </si>
  <si>
    <t>Basque Government through the EMAITEK program(Basque Government)</t>
  </si>
  <si>
    <t>The authors would like to thank the Basque Government for its funding support through the EMAITEK program.</t>
  </si>
  <si>
    <t>1566-2535</t>
  </si>
  <si>
    <t>1872-6305</t>
  </si>
  <si>
    <t>INFORM FUSION</t>
  </si>
  <si>
    <t>Inf. Fusion</t>
  </si>
  <si>
    <t>10.1016/j.inffus.2018.10.005</t>
  </si>
  <si>
    <t>HV5WX</t>
  </si>
  <si>
    <t>WOS:000466056900008</t>
  </si>
  <si>
    <t>Mandal, D; Chatterjee, A; Tudu, B</t>
  </si>
  <si>
    <t>Mandal, Dipankar; Chatterjee, Arpitam; Tudu, Bipan</t>
  </si>
  <si>
    <t>A color channel based on multiple Random Forest coupled with a computer vision technique for the detection and prediction of Sudan dye-I adulteration in turmeric powder</t>
  </si>
  <si>
    <t>COLOR RESEARCH AND APPLICATION</t>
  </si>
  <si>
    <t>computer vision; food fraud screening; Random Forest; spice adulteration; Sudan dye</t>
  </si>
  <si>
    <t>Adulterants can cause different health hazards upon prolonged consumption, but it is difficult to detect with human eyes. Non-destructive turmeric adulteration detection is a challenging research area. The existing adulteration detection processes are largely instrumental and analytical with high accuracy but include limitations like long testing time, expensiveness, and lack of mobility. This work reports a new computer vision framework, which can simultaneously detect the presence of adulteration and predict the possible percentage of adulteration addressing the stated limitations. The scope has been remained to screening of Sudan dye-I adulteration in turmeric powder. An in-house database prepared with images of pure and adulterated turmeric powder samples has been used for experimentation. Random Forest algorithm has been employed for both classification and prediction. The model has been validated with standard internal and external validation methods to assess the stability and generalization potential of the model to avoid over- and under-fitting problems. The results of classification show that the presented framework can provide more than 99% accuracy in detection while high correlation coefficient (R-2) value in the tune of .99 for prediction. The novelty of the work is its simple histogram-based color feature extraction, development of ensemble Random Forest prediction model that resulted in high accuracy and development of a faster, non-invasive, less-expensive, and validated screening method for adulterated turmeric powder that can be considered as a potential immediate screening method in the supply chain of powdered spices prior to confirmatory testing methods following two-tiered food fraud testing approach.</t>
  </si>
  <si>
    <t>[Mandal, Dipankar] Future Inst Engn &amp; Management, Dept Appl Elect &amp; Instrumentat Engn, Kolkata, India; [Chatterjee, Arpitam] Jadavpur Univ, Dept Printing Engn, Salt Lake Campus, Kolkata 700106, India; [Tudu, Bipan] Jadavpur Univ, Dept Instrumentat &amp; Elect Engn, Kolkata, India</t>
  </si>
  <si>
    <t>Jadavpur University; Jadavpur University</t>
  </si>
  <si>
    <t>Chatterjee, A (corresponding author), Jadavpur Univ, Dept Printing Engn, Salt Lake Campus, Kolkata 700106, India.</t>
  </si>
  <si>
    <t>arpitamchatterjee@gmail.com</t>
  </si>
  <si>
    <t>Chatterjee, Arpitam/0000-0003-3850-694X</t>
  </si>
  <si>
    <t>0361-2317</t>
  </si>
  <si>
    <t>1520-6378</t>
  </si>
  <si>
    <t>COLOR RES APPL</t>
  </si>
  <si>
    <t>Color Res. Appl.</t>
  </si>
  <si>
    <t>10.1002/col.22741</t>
  </si>
  <si>
    <t>Chemistry, Applied; Optics; Imaging Science &amp; Photographic Technology</t>
  </si>
  <si>
    <t>Chemistry; Optics; Imaging Science &amp; Photographic Technology</t>
  </si>
  <si>
    <t>YW4YX</t>
  </si>
  <si>
    <t>WOS:000704045000001</t>
  </si>
  <si>
    <t>Lin, KY; Chang, KH</t>
  </si>
  <si>
    <t>Lin, Keng-Yu; Chang, Kuei-Hu</t>
  </si>
  <si>
    <t>Artificial Intelligence and Information Processing: A Systematic Literature Review</t>
  </si>
  <si>
    <t>artificial intelligence; information processing; literature review; bibliometric analysis</t>
  </si>
  <si>
    <t>GROUP DECISION-MAKING; SUPPLY CHAIN MANAGEMENT; CONSENSUS; SELECTION; GRANULES; FUSION; MODEL</t>
  </si>
  <si>
    <t>This study aims to understand the development trends and research structure of articles on artificial intelligence (AI) and information processing in the past 10 years. In particular, this study analyzed 13,294 papers published from 2012 to 2021 in the Web of Science, used the bibliometric analysis method to visualize the data of the papers, and drew a scientific knowledge map. By exploring the development of mainstream journals, author and country rankings, keyword evolution, and research field rankings in the past 10 years, this study uncovered key trends affecting AI progress and information processing that provide insights and serve as an important reference for future AI research and information processing. The results revealed a gradual increase in publications over the past decade, with explosive growth after 2020. The most prolific researchers in this field were Xu, Z.S.; Pedrycz, W.; Herrera-Viedma, E.; the major contributing countries were China, the USA, and Spain. In the AI and information processing research, keywords including Deep learning, Machine learning, and Feature extraction are components that play a crucial role. Additionally, the most representative research areas were Engineering, Operations Research and Management Science, and Automation Control Systems. Overall, this study used bibliometric analysis to provide an overview of the latest trends in artificial intelligence and information processing. Although AI and information processing have been applied to various research areas, many other sub-topics can be further applied. Based on the findings, this study presented research insights and proposed suggestions for future research directions on AI and information processing.</t>
  </si>
  <si>
    <t>[Lin, Keng-Yu; Chang, Kuei-Hu] ROC Mil Acad, Dept Management Sci, Kaohsiung 830, Taiwan</t>
  </si>
  <si>
    <t>Chang, KH (corresponding author), ROC Mil Acad, Dept Management Sci, Kaohsiung 830, Taiwan.</t>
  </si>
  <si>
    <t>evenken2002@yahoo.com.tw</t>
  </si>
  <si>
    <t>Chang, Kuei-Hu/ADO-7574-2022</t>
  </si>
  <si>
    <t>Chang, Kuei-Hu/0000-0002-9630-7386; Lin, Keng Yu/0000-0002-1445-7744</t>
  </si>
  <si>
    <t>National Science and Technology Council, Taiwan [MOST 110-2410-H-145-001, MOST 111-2221-E-145-003]</t>
  </si>
  <si>
    <t>National Science and Technology Council, Taiwan</t>
  </si>
  <si>
    <t>The authors would like to thank the National Science and Technology Council, Taiwan, for financially supporting this research under Contract No. MOST 110-2410-H-145-001 and MOST 111-2221-E-145-003.</t>
  </si>
  <si>
    <t>10.3390/math11112420</t>
  </si>
  <si>
    <t>I6DN4</t>
  </si>
  <si>
    <t>WOS:001003670600001</t>
  </si>
  <si>
    <t>Luchko, MR; Lukanovska, IR; Ratynskyi, V</t>
  </si>
  <si>
    <t>Luchko, M. R.; Lukanovska, I. R.; Ratynskyi, V</t>
  </si>
  <si>
    <t>Modelling inventory management: Separate issues for construction and application</t>
  </si>
  <si>
    <t>INTERNATIONAL JOURNAL OF PRODUCTION MANAGEMENT AND ENGINEERING</t>
  </si>
  <si>
    <t>Trade Enterprises Methods; Modelling; Inventory Economic and Mathematical Models; Optimization; Spline Surfaces; Random and Independent Values; Data Mining Results; MARSPline; Statistica package</t>
  </si>
  <si>
    <t>The article presents the model of inventory management for forestry enterprises. It allows us to make calculations of the efficiency of the use of inventories, helps minimize the cost of transportation and storage and to avoid fines for lack of inventory in the presence of demand. The suggested model takes into account the dependence of the price of the received reserves, warehouse costs, the cost of holding stocks, the amount of storage costs and penalties for customer stocks that have been unloaded on time. The model will allow us to avoid delays in supply, determine the size and guarantee optimal inventory levels. It is proved that rational inventory management enables companies to calculate the optimal amount of reserve ordering, and the time interval between such orders. Putting this model into practice will allow for managing of the logistical and warehouse costs, determining the risk of not receiving or reducing the company's profits due to the excess inventory costs, and understanding of the efficiency of turnover of inventories. Purpose. The aim of the study is to construct an economic and mathematical model of inventory management of the enterprise, taking into account the dependence of the shipping cost from the supplier to the warehouse, the cost of holding the stocks, the amount of storage costs and penalties for non-shipped products. Methodology. Approbation of theoretical developments was carried out in the application package Statistica and the use of the module MARSPline - an integral element of technology Data Mining Results. The theoretical contribution. The main dependencies influencing the formation of the value of stocks were discovered on the basis of this and a regression model of the optimal size of stocks was constructed with a fairly precise approximation; calculations were made of the efficiency of the use of inventories, minimizing the total costs associated with delivery, storage and fines for the absence of stocks at availability of demand for them. Practical implications. We have constructed, investigated and tested the economic and mathematical model of the optimal size of stocks, which takes into account the dependence of the shipping cost from the supplier to the warehouse, the cost of holding the stocks, the amount of storage costs and penalties for non-shipped products.</t>
  </si>
  <si>
    <t>[Luchko, M. R.; Lukanovska, I. R.] Ternopil Natl Econ Univ, Dept Accounting &amp; Control Publ Adm, Ternopol, Ukraine; [Ratynskyi, V] Ternopil Ivan Puluj Natl Tech Univ, Dept Accounting &amp; Taxat, Ternopol, Ukraine</t>
  </si>
  <si>
    <t>Ministry of Education &amp; Science of Ukraine; Western Ukrainian National University; Ministry of Education &amp; Science of Ukraine; Ternopil Ivan Puluj National Technical University</t>
  </si>
  <si>
    <t>Luchko, MR (corresponding author), Ternopil Natl Econ Univ, Dept Accounting &amp; Control Publ Adm, Ternopol, Ukraine.</t>
  </si>
  <si>
    <t>m_luchko@ukr.net; i.lukanovska@tneu.edu.ua; ratvadim@gmail.com</t>
  </si>
  <si>
    <t>mckenna, mac/JAX-7008-2023; Luchko, Mykhailo/H-3296-2017; Lukanovska, Iryna/AAN-7667-2020</t>
  </si>
  <si>
    <t>Luchko, Mykhailo/0000-0001-6499-4188; Lukanovska, Iryna/0000-0001-5591-6487; Ratynskyi, Vadym/0000-0001-9283-6371</t>
  </si>
  <si>
    <t>UNIVERSITAT POLITECNICA VALENCIA</t>
  </si>
  <si>
    <t>VALENCIA</t>
  </si>
  <si>
    <t>DEPT EXPRESION GRAFICA, CAMINO DE VERA S-N, VALENCIA, 46022, SPAIN</t>
  </si>
  <si>
    <t>2340-5317</t>
  </si>
  <si>
    <t>2340-4876</t>
  </si>
  <si>
    <t>INT J PROD MANAG ENG</t>
  </si>
  <si>
    <t>Int. J. Prod. Manag. Engineering</t>
  </si>
  <si>
    <t>JUL-DEC</t>
  </si>
  <si>
    <t>10.4995/ijpme.2019.11435</t>
  </si>
  <si>
    <t>IM5LU</t>
  </si>
  <si>
    <t>WOS:000478036200001</t>
  </si>
  <si>
    <t>Macfarlane, A</t>
  </si>
  <si>
    <t>Macfarlane, Andrew</t>
  </si>
  <si>
    <t>Structures of systems 1. Cohomology of manufacturing and supply network- like systems</t>
  </si>
  <si>
    <t>INTERNATIONAL JOURNAL OF GENERAL SYSTEMS</t>
  </si>
  <si>
    <t>combinatorial systems; sheaves of schedules; measures and groupoids; Abelian categories of sheaves; cohomology; manufacturing networks; 08A99; 18F20; 18G60; 93A30</t>
  </si>
  <si>
    <t>CHAIN DESIGN; MODELS</t>
  </si>
  <si>
    <t>Understanding the relation between large-scale and small-scale functionality is an acute problem in large systems. This paper presents possible structures that capture those relations. Here structure means a functor on a category, in this case the category of combinatorial systems that model manufacturing systems and supply networks. The details of the dynamics of these systems are frequently the domain of specialists and are ill understood outside such areas. Clustering activities in subsystems introduces covers as scales of analysis. This allows the development of sheaves of schedules and their properties which are analyzed by an adaptation of ech cohomology. These are applied in supply networks to characterize the fragmentation of these networks and to characterize the conditions for local changes in schedules to extend to the whole system. The intent of this paper is to see sheaves and their cohomology as analytical probes that can enhance our understanding of large-scale systems.</t>
  </si>
  <si>
    <t>Integrated Expertise Res, Bethania, Australia</t>
  </si>
  <si>
    <t>Macfarlane, A (corresponding author), Integrated Expertise Res, Bethania, Australia.</t>
  </si>
  <si>
    <t>combinatorial.schema@gmail.com</t>
  </si>
  <si>
    <t>Macfarlane, Andrew/0000-0002-6752-6627</t>
  </si>
  <si>
    <t>0308-1079</t>
  </si>
  <si>
    <t>1563-5104</t>
  </si>
  <si>
    <t>INT J GEN SYST</t>
  </si>
  <si>
    <t>Int. J. Gen. Syst.</t>
  </si>
  <si>
    <t>10.1080/03081079.2014.888551</t>
  </si>
  <si>
    <t>Computer Science, Theory &amp; Methods; Ergonomics</t>
  </si>
  <si>
    <t>AE4GQ</t>
  </si>
  <si>
    <t>WOS:000333941300003</t>
  </si>
  <si>
    <t>Wang, Y; Ma, HS; Yang, JH; Wang, KS</t>
  </si>
  <si>
    <t>Wang, Yi; Ma, Hai-Shu; Yang, Jing-Hui; Wang, Ke-Sheng</t>
  </si>
  <si>
    <t>Industry 4.0: a way from mass customization to mass personalization production</t>
  </si>
  <si>
    <t>Industry 4.0; Smart manufacturing; Mass customization production (MCP); Mass personalization production</t>
  </si>
  <si>
    <t>DESIGN; SYSTEM</t>
  </si>
  <si>
    <t>Although mass customization, which utilizes modularization to simultaneously increase product variety and maintain mass production (MP) efficiency, has become a trend in recent times, there are some limitations to mass customization. Firstly, customers do not participate wholeheartedly in the design phase. Secondly, potential combinations are predetermined by designers. Thirdly, the concept of mass customization is not necessary to satisfy individual requirements and is not capable of providing personalized services and goods. Industry 4.0 is a collective term for technologies and concepts of value chain organization. Based on the technological concepts of radio frequency identification, cyber-physical system, the Internet of things, Internet of service, and data mining, Industry 4.0 will enable novel forms of personalization. Direct customer input to design will enable companies to increasingly produce customized products with shorter cycle-times and lower costs than those associated with standardization and MP. The producer and the customer will share in the new value created. To overcome the gaps between mass customization and mass personalization, this paper presents a framework for mass personalization production based on the concepts of Industry 4.0. Several industrial practices and a lab demonstration show how we can realize mass personalization.</t>
  </si>
  <si>
    <t>[Wang, Yi] Plymouth Univ, Sch Business, Plymouth, Devon, England; [Ma, Hai-Shu; Wang, Ke-Sheng] Norwegian Univ Sci &amp; Technol, Dept Prod &amp; Qual Engn, SP Andersens Veg 5, N-7031 Trondheim, Norway; [Yang, Jing-Hui] Shanghai Polytech Univ, Sch Business Management, Shanghai 201209, Peoples R China</t>
  </si>
  <si>
    <t>University of Plymouth; Norwegian University of Science &amp; Technology (NTNU); Shanghai Polytechnic University</t>
  </si>
  <si>
    <t>Wang, KS (corresponding author), Norwegian Univ Sci &amp; Technol, Dept Prod &amp; Qual Engn, SP Andersens Veg 5, N-7031 Trondheim, Norway.</t>
  </si>
  <si>
    <t>10.1007/s40436-017-0204-7</t>
  </si>
  <si>
    <t>FP9CN</t>
  </si>
  <si>
    <t>WOS:000417945200002</t>
  </si>
  <si>
    <t>Wang, LQ; Jiang, QY; Liu, SJ; Pan, L; Meng, XX</t>
  </si>
  <si>
    <t>Wang, Liqiang; Jiang, Qianyu; Liu, Shijun; Pan, Li; Meng, Xiangxu</t>
  </si>
  <si>
    <t>TOPK: A New Bipartite Ranking Algorithm for Enterprise Social Network</t>
  </si>
  <si>
    <t>JOURNAL OF INTERNET TECHNOLOGY</t>
  </si>
  <si>
    <t>Enterprise rank; Enterprise recommendation; Enterprise social network</t>
  </si>
  <si>
    <t>Social networks bring us new perspectives and tools to rethink and solve the traditional problems in the enterprise business fields. Enterprise social network is presented to utilize the main factors in business comprehensively, like enterprises, employees and products. Based on the enterprise social network model we present TOPK algorithm to rank manufacturers and suppliers at the same time, which is improved on PageRank and HITS. Then we give the theoretical effectiveness analysis and convergence analysis. In addition we propose a method to recommend potential enterprise partners using TOPK to improve the accuracy. Then we perform the experiments on the dataset of China automobile supply network. Two evaluation methods are introduced to evaluate the results of enterprise rank. One method is based on the reliable public enterprise rank data, and another is to compare the results of clustering according to the enterprise rank. Through the two methods, our experiment results indicate that TOPK is better than the other algorithms at ranking enterprises. And enterprise rank from TOPK reflects more on car quality than the supplier amount of manufacturers.</t>
  </si>
  <si>
    <t>[Wang, Liqiang; Jiang, Qianyu; Liu, Shijun; Pan, Li; Meng, Xiangxu] Shandong Univ, Sch Comp Sci &amp; Technol, Jinan, Peoples R China; [Wang, Liqiang; Jiang, Qianyu; Liu, Shijun; Pan, Li; Meng, Xiangxu] Minist Educ, Engn Res Ctr Digital Media Technol, Jinan, Peoples R China</t>
  </si>
  <si>
    <t>Liu, SJ (corresponding author), Shandong Univ, Sch Comp Sci &amp; Technol, Jinan, Peoples R China.</t>
  </si>
  <si>
    <t>wanglq1989@163.com; sdujqy2011@163.com; lsj@sdu.edu.cn; panli@sdu.edu.cn; mxx@sdu.edu.cn</t>
  </si>
  <si>
    <t>National Natural Science Foundation of China [61402263, 91546203]; National High Technology Research and Development Program of China [2014AA01A302]; special funds of Taishan scholar construction project; Independent Innovation Projects of Shandong Province [2014ZZCX08201, 2014ZZCX03409, 2014CGZH1106]; Science &amp; Technology Development Projects of Shandong Province [2014GGX101028, 2014GGH201007]</t>
  </si>
  <si>
    <t>National Natural Science Foundation of China(National Natural Science Foundation of China (NSFC)); National High Technology Research and Development Program of China(National High Technology Research and Development Program of China); special funds of Taishan scholar construction project; Independent Innovation Projects of Shandong Province; Science &amp; Technology Development Projects of Shandong Province</t>
  </si>
  <si>
    <t>The authors would like to acknowledge the support provided by the National Natural Science Foundation of China (61402263, 91546203), the National High Technology Research and Development Program of China (2014AA01A302), the special funds of Taishan scholar construction project, the Independent Innovation Projects of Shandong Province (2014ZZCX08201, 2014ZZCX03409, 2014CGZH1106), and the Science &amp; Technology Development Projects of Shandong Province (2014GGX101028, 2014GGH201007). We also want to thank Dr. Lei Wu from Shandong University for her contributing in this paper.</t>
  </si>
  <si>
    <t>LIBRARY &amp; INFORMATION CENTER, NAT DONG HWA UNIV</t>
  </si>
  <si>
    <t>HUALIEN</t>
  </si>
  <si>
    <t>LIBRARY &amp; INFORMATION CENTER, NAT DONG HWA UNIV, HUALIEN, 00000, TAIWAN</t>
  </si>
  <si>
    <t>1607-9264</t>
  </si>
  <si>
    <t>2079-4029</t>
  </si>
  <si>
    <t>J INTERNET TECHNOL</t>
  </si>
  <si>
    <t>J. Internet Technol.</t>
  </si>
  <si>
    <t>10.6138/JIT.2016.17.6.20160115e</t>
  </si>
  <si>
    <t>EE5DL</t>
  </si>
  <si>
    <t>WOS:000389625000016</t>
  </si>
  <si>
    <t>Wang, ST; Li, MH</t>
  </si>
  <si>
    <t>Wang, Shen-Tsu; Li, Meng-Hua</t>
  </si>
  <si>
    <t>Analysis of Optimized Logistics Service of 3C Agents in Taiwan Based on ABC-KMDSS</t>
  </si>
  <si>
    <t>APPLIED MATHEMATICS &amp; INFORMATION SCIENCES</t>
  </si>
  <si>
    <t>3C distributors; Logistic service for customized products; ABC-KMDSS; CBR</t>
  </si>
  <si>
    <t>3C (computer, communication, and consumer electronics) distributors in Taiwan provide world-class logistics service quality, as enterprises can provide logistics services for customized products (products with segmented standardization and customized standardization) in the value chain that meet individual customer needs. If enterprises can achieve the objective of providing customers with services in accordance with their individual needs, they are more likely to obtain high customer satisfaction. This study selected multinational 3C distributors in Taiwan as the subjects and their internal MIS (management information system) databases as data sources. Data mining was employed to screen important and relevant information from the MIS databases. The key factors affecting the service quality of customized logistics, as obtained from the benchmarking platform of cost information, were used as the contents of a hierarchical structure. After the information was input into the linear planning model, better solutions were obtained. Moreover, the results were saved in the ABC (activity based costing)-KMDSS (knowledge management decision support system) database. The rules for enterprise operation in the knowledge database, together with data from the ABC-KMDSS database, were used for the CBR (case-based reasoning) method of knowledge reasoning to determine the proper decision-making for logistics services of relevant customized products.</t>
  </si>
  <si>
    <t>[Wang, Shen-Tsu] Natl Pingtung Inst Commerce, Dept Commerce Automat &amp; Management, Pingtung, Taiwan; [Li, Meng-Hua] Taiwan Shoufu Univ, Dept &amp; Inst Ind Management, Tainan, Taiwan</t>
  </si>
  <si>
    <t>National Pingtung University</t>
  </si>
  <si>
    <t>Wang, ST (corresponding author), Natl Pingtung Inst Commerce, Dept Commerce Automat &amp; Management, Pingtung, Taiwan.</t>
  </si>
  <si>
    <t>d917812@oz.nthu.edu.tw</t>
  </si>
  <si>
    <t>NATURAL SCIENCES PUBLISHING CORP-NSP</t>
  </si>
  <si>
    <t>19 W 34 ST, SUITE 1018, NEW YORK, NY 10001 USA</t>
  </si>
  <si>
    <t>1935-0090</t>
  </si>
  <si>
    <t>2325-0399</t>
  </si>
  <si>
    <t>APPL MATH INFORM SCI</t>
  </si>
  <si>
    <t>Appl. Math. Inf. Sci.</t>
  </si>
  <si>
    <t>10.12785/amis/071L40</t>
  </si>
  <si>
    <t>Mathematics, Applied; Physics, Mathematical</t>
  </si>
  <si>
    <t>Mathematics; Physics</t>
  </si>
  <si>
    <t>126PP</t>
  </si>
  <si>
    <t>WOS:000317633700040</t>
  </si>
  <si>
    <t>Lou, SH; Feng, YX; Zheng, H; Gao, YC; Tan, JR</t>
  </si>
  <si>
    <t>Lou, Shanhe; Feng, Yixiong; Zheng, Hao; Gao, Yicong; Tan, Jianrong</t>
  </si>
  <si>
    <t>Data-driven customer requirements discernment in the product lifecycle management via intuitionistic fuzzy sets and electroencephalogram</t>
  </si>
  <si>
    <t>Big data; Product lifecycle management; Customer requirements discernment; Electroencephalogram; Intuitionistic fuzzy sets</t>
  </si>
  <si>
    <t>SUPPORT VECTOR MACHINE; BIG DATA; SATISFACTION; NETWORKS; ENTROPY; MODEL; EEG</t>
  </si>
  <si>
    <t>Large amount of data are collected through the product lifecycle management, and the benefits of big data analytics permeate the entire manufacturing value chain. However, the existing methods pay little attention to the analysis of customer requirements data in the beginning of life period. Thus, a data-driven approach for customer requirements discernment is proposed in this paper. It not only manages the vagueness in the semantic expression level using the intuitionistic fuzzy sets, but also adopts the electroencephalogram data as endogenous neural indicators to handle the vagueness in the neurocognitive level. An experimental research integrated with the Kano model is developed to record the EEG data which inherently interpret customers' psychological states. Benefit from the data mining method, the effect of customer requirements on psychological response can be investigated using the EEG data. Taking the data of initial requirement importance, performance realization levels and customers' psychological states into consideration, three novel adjusting models are established to acquire the comprehensive importance of each requirement. A case study is conducted to illustrate the feasibility of the approach proposed in this paper.</t>
  </si>
  <si>
    <t>[Lou, Shanhe; Feng, Yixiong; Zheng, Hao; Gao, Yicong; Tan, Jianrong] Zhejiang Univ, State Key Lab Fluid Power &amp; Mechatron Syst, Hangzhou 310027, Peoples R China; [Lou, Shanhe; Feng, Yixiong; Zheng, Hao; Gao, Yicong; Tan, Jianrong] Zhejiang Univ, Key Lab Adv Mfg Technol Zhejiang Prov, Hangzhou 310027, Peoples R China</t>
  </si>
  <si>
    <t>Zhejiang University; Zhejiang University</t>
  </si>
  <si>
    <t>Feng, YX (corresponding author), Zhejiang Univ, State Key Lab Fluid Power &amp; Mechatron Syst, Hangzhou 310027, Peoples R China.;Feng, YX (corresponding author), Zhejiang Univ, Key Lab Adv Mfg Technol Zhejiang Prov, Hangzhou 310027, Peoples R China.</t>
  </si>
  <si>
    <t>fyxtv@zju.edu.cn</t>
  </si>
  <si>
    <t>Lou, Shanhe/HII-3713-2022</t>
  </si>
  <si>
    <t>10.1007/s10845-018-1395-x</t>
  </si>
  <si>
    <t>NF2LS</t>
  </si>
  <si>
    <t>WOS:000563132100010</t>
  </si>
  <si>
    <t>Naderi, MJ; Pishvaee, MS</t>
  </si>
  <si>
    <t>Naderi, Mohammad Javad; Pishvaee, Mir Saman</t>
  </si>
  <si>
    <t>A stochastic programming approach to integrated water supply and wastewater collection network design problem</t>
  </si>
  <si>
    <t>Water supply network; Wastewater collection system; Uncertainty; Sample average approximation; Accelerated Benders decomposition algorithm; Local branching</t>
  </si>
  <si>
    <t>ACCELERATING BENDERS DECOMPOSITION; RESOURCES MANAGEMENT; MODEL; OPTIMIZATION; DROUGHT; SYSTEM; RISK; UNCERTAINTY; SEVERITY; CHAIN</t>
  </si>
  <si>
    <t>In this paper, a mixed scenario-based and probabilistic two-stage stochastic programming model is proposed for the design of integrated water supply and wastewater collection systems. None of the existing models simultaneously takes into account both business-as-usual and hazard uncertainties. To explore suitable solutions in a reasonable time, a solving procedure comprised of the (1) sample average approximation method, (2) Bezdek fuzzy clustering method and (3) Benders decomposition algorithm is developed. In order to expedite the convergence of the applied Benders decomposition algorithm, different acceleration techniques especially the local branching method are utilized. The performance of the proposed mathematical model and solution procedure is analyzed computationally through a real case study which the results show the usefulness of the developed stochastic programming model as well as the efficiency of the solution approach. (C) 2017 Elsevier Ltd. All rights reserved.</t>
  </si>
  <si>
    <t>[Naderi, Mohammad Javad; Pishvaee, Mir Saman] Iran Univ Sci &amp; Technol, Sch Ind Engn, Tehran, Iran</t>
  </si>
  <si>
    <t>pishvaee@iust.ac.ir</t>
  </si>
  <si>
    <t>Pishvaee, Mir Saman/H-3450-2018</t>
  </si>
  <si>
    <t>Pishvaee, Mir Saman/0000-0001-6389-6308</t>
  </si>
  <si>
    <t>10.1016/j.compchemeng.2017.04.003</t>
  </si>
  <si>
    <t>EZ9MC</t>
  </si>
  <si>
    <t>WOS:000405053500009</t>
  </si>
  <si>
    <t>Weiser, AA; Thöns, C; Filter, M; Falenski, A; Appel, B; Käsbohrer, A</t>
  </si>
  <si>
    <t>Weiser, Armin A.; Thoens, Christian; Filter, Matthias; Falenski, Alexander; Appel, Bernd; Kaesbohrer, Annemarie</t>
  </si>
  <si>
    <t>FoodChain-Lab: A Trace-Back and Trace-Forward Tool Developed and Applied during Food-Borne Disease Outbreak Investigations in Germany and Europe</t>
  </si>
  <si>
    <t>TRACEABILITY</t>
  </si>
  <si>
    <t>FoodChain-Lab is modular open-source software for trace-back and trace-forward analysis in food-borne disease outbreak investigations. Development of FoodChain-Lab has been driven by a need for appropriate software in several food-related outbreaks in Germany since 2011. The software allows integrated data management, data linkage, enrichment and visualization as well as interactive supply chain analyses. Identification of possible outbreak sources or vehicles is facilitated by calculation of tracing scores for food-handling stations (companies or persons) and food products under investigation. The software also supports consideration of station-specific cross-contamination, analysis of geographical relationships, and topological clustering of the tracing network structure. FoodChain-Lab has been applied successfully in previous outbreak investigations, for example during the 2011 EHEC outbreak and the 2013/14 European hepatitis A outbreak. The software is most useful in complex, multi-area outbreak investigations where epidemiological evidence may be insufficient to discriminate between multiple implicated food products. The automated analysis and visualization components would be of greater value if trading information on food ingredients and compound products was more easily available.</t>
  </si>
  <si>
    <t>[Weiser, Armin A.; Thoens, Christian; Filter, Matthias; Falenski, Alexander; Appel, Bernd; Kaesbohrer, Annemarie] BfR Fed Inst Risk Assessment, Dept Biol Safety, Berlin, Germany</t>
  </si>
  <si>
    <t>Federal Institute for Risk Assessment</t>
  </si>
  <si>
    <t>Weiser, AA (corresponding author), BfR Fed Inst Risk Assessment, Dept Biol Safety, Berlin, Germany.</t>
  </si>
  <si>
    <t>armin.weiser@bfr.bund.de</t>
  </si>
  <si>
    <t>Filter, Matthias/0000-0001-9347-021X</t>
  </si>
  <si>
    <t>Federal Ministry of Education and Research [13N11202]</t>
  </si>
  <si>
    <t>Federal Ministry of Education and Research(Federal Ministry of Education &amp; Research (BMBF))</t>
  </si>
  <si>
    <t>This work is part of the German national research project SiLeBAT and is funded by the Federal Ministry of Education and Research, research grant 13N11202.</t>
  </si>
  <si>
    <t>MAR 17</t>
  </si>
  <si>
    <t>e0151977</t>
  </si>
  <si>
    <t>10.1371/journal.pone.0151977</t>
  </si>
  <si>
    <t>DH1YG</t>
  </si>
  <si>
    <t>WOS:000372580300158</t>
  </si>
  <si>
    <t>Zhu, ZY; Xie, HM</t>
  </si>
  <si>
    <t>Zhu, Zhuoyue; Xie, Hongming</t>
  </si>
  <si>
    <t>What Do We Know and What Do We Need to Know about COVID-19's Implications on Business Economics? From Bibliometric Analysis to a Conceptual Framework</t>
  </si>
  <si>
    <t>COVID-19; business economics; bibliometric analysis; framework</t>
  </si>
  <si>
    <t>INNOVATION; INSIGHTS; PRICES</t>
  </si>
  <si>
    <t>This paper presents a bibliometric analysis of COVID-19-related research in business economics. The current status of research on economic management in COVID-19 is shown through descriptive statistics. The corresponding knowledge maps are obtained based on keyword clustering analysis, and research topics of interest to Chinese and foreign readers are identified. This paper finds that the impact of COVID-19 on business economics is mainly manifested in six major themes, namely COVID-19 and crisis management, COVID-19 and supply chain, COVID-19 and digitalization, COVID-19 and economic development, COVID-19 and organizational management, and COVID-19 and sustainable development. Based on these research foundations, this paper proposes a research framework for economic management under the influence of COVID-19. It describes the current research status, research directions, and future topics of six key research themes from macro, meso, and micro perspectives, to provide a knowledge base for research and practice in the field of economic management in the post-pandemic era.</t>
  </si>
  <si>
    <t>[Zhu, Zhuoyue] Zhejiang Univ Technol, Sch Management, Hangzhou 310023, Peoples R China; [Xie, Hongming] Guangzhou Univ, Sch Management, Guangzhou 510006, Peoples R China</t>
  </si>
  <si>
    <t>Zhejiang University of Technology; Guangzhou University</t>
  </si>
  <si>
    <t>Xie, HM (corresponding author), Guangzhou Univ, Sch Management, Guangzhou 510006, Peoples R China.</t>
  </si>
  <si>
    <t>1111904027@zjut.edu.cn; xiehm_gzhu@126.com</t>
  </si>
  <si>
    <t>XIE, Hongming/P-6715-2014</t>
  </si>
  <si>
    <t>XIE, Hongming/0000-0002-0772-7996; Zhu, Zhuoyue/0000-0001-8794-5493</t>
  </si>
  <si>
    <t>National Natural Science Foundation of China [71772163]; Guangzhou Social Science Planning Project [2020GZYB94]; Guangdong Provincial Philosophy and Social Science Planning Project [GD20CGL49]</t>
  </si>
  <si>
    <t>National Natural Science Foundation of China(National Natural Science Foundation of China (NSFC)); Guangzhou Social Science Planning Project; Guangdong Provincial Philosophy and Social Science Planning Project</t>
  </si>
  <si>
    <t>This research was funded by the National Natural Science Foundation of China grant number 71772163, Guangzhou Social Science Planning Project grant number 2020GZYB94, and Guangdong Provincial Philosophy and Social Science Planning Project grant number GD20CGL49. And The APC was funded by the National Natural Science Foundation of China (71772163).</t>
  </si>
  <si>
    <t>10.3390/su14116396</t>
  </si>
  <si>
    <t>1Z3QJ</t>
  </si>
  <si>
    <t>WOS:000808742800001</t>
  </si>
  <si>
    <t>Toktas-Palut, P; Onan, K; Gürbüz, MZ; Gülden-Özdemir, B</t>
  </si>
  <si>
    <t>Toktas-Palut, Peral; Onan, Kivanc; Gurbuz, Mustafa Zahid; Gulden-Ozdemir, Birsen</t>
  </si>
  <si>
    <t>MOSS SOFTWARE: A NEW TOOL FOR MULTI-OBJECTIVE GREEN SUPPLIER SELECTION</t>
  </si>
  <si>
    <t>Green supplier selection; Lot-sizing; Quantity discount; Multi-objective optimization; Genetic algorithm; k-means clustering algorithm</t>
  </si>
  <si>
    <t>NONDOMINATED SORTING APPROACH; QUANTITY DISCOUNTS; GENETIC ALGORITHM; ENVIRONMENTAL CRITERIA; PARTNER SELECTION; ORDER ALLOCATION; MODEL; DECISION; PERFORMANCE; CHAIN</t>
  </si>
  <si>
    <t>Competition between companies is getting more intense by the day. Corporations need to decrease costs while improving the quality and reliability of their deliveries. Meanwhile, the demand for environmentally sustainable products and operations is increasing. These issues are all compounded by the supplier relations between companies and their need to develop better economic and environmental supply chain contracts. This research thus aims to propose a tool, i.e., the MOSS Software, concerning the total cost, rate of defected materials, rate of late deliveries, and environmental improvement potential for suppliers. MOSS is a two-stage software. First, the objectives are included in a multi-objective evolutionary mathematical model, and the model is solved using the NSGA-III algorithm. In the second stage, as a post-Pareto analysis approach, the k means algorithm is used for selecting representative solutions among Pareto sets by comparing silhouette values for different k values. An application of the MOSS software is also presented in this paper.</t>
  </si>
  <si>
    <t>[Toktas-Palut, Peral; Onan, Kivanc] Dogus Univ, Dept Ind Engn, Istanbul, Turkey; [Gurbuz, Mustafa Zahid; Gulden-Ozdemir, Birsen] Dogus Univ, Dept Comp Engn, Istanbul, Turkey</t>
  </si>
  <si>
    <t>Dogus University; Dogus University</t>
  </si>
  <si>
    <t>Toktas-Palut, P (corresponding author), Dogus Univ, Dept Ind Engn, Istanbul, Turkey.</t>
  </si>
  <si>
    <t>ppalut@dogus.edu.tr</t>
  </si>
  <si>
    <t>10.23055/ijietap.2022.29.2.5903</t>
  </si>
  <si>
    <t>1N0RR</t>
  </si>
  <si>
    <t>WOS:000800371800001</t>
  </si>
  <si>
    <t>Hwang, HS</t>
  </si>
  <si>
    <t>Design of supply-chain logistics system considering service level</t>
  </si>
  <si>
    <t>logistics system design; stochastic set-covering problem; vehicle routing problem</t>
  </si>
  <si>
    <t>This research is concerned with an logistics system design which optimizes the performance of logistics system subject to required service levels both in the number of warehouse or distribution centers (W/D) and vehicle routing schedule. In this paper, the logistics system includes plants, W/D and customers. First, we formulated this problem using stochastic set-covering problem to determine the minimum number of W/D centers among a discrete set of location sites so that the probability of each customer to be covered is not less than a critical service level and solved this problem using 0-1 programming method. Then, we formulated a vehicle routing problem using an improved genetic algorithm and developed GUI-type programming based on three-step approaches such as: (1) clustering module which converges multi-supply center problem into single supply center problems, (2) improved vehicle routing, VRP module, and (3) GA-TSP module. For the users' conveniences, the sample results have been compared with those of existing methods. This research is strongly application oriented and the proposed model can be used to real world problems with some improvements. (C) 2002 Elsevier Science Ltd. All rights reserved.</t>
  </si>
  <si>
    <t>Dongeui Univ, Dept Ind Engn, Pusanjin Ku, Pusan 614714, South Korea</t>
  </si>
  <si>
    <t>Dong-Eui University</t>
  </si>
  <si>
    <t>Hwang, HS (corresponding author), Dongeui Univ, Dept Ind Engn, Pusanjin Ku, San 24 Gaya Dong, Pusan 614714, South Korea.</t>
  </si>
  <si>
    <t>PII S0360-8352(02)00075-X</t>
  </si>
  <si>
    <t>10.1016/S0360-8352(02)00075-X</t>
  </si>
  <si>
    <t>566VA</t>
  </si>
  <si>
    <t>WOS:000176447900017</t>
  </si>
  <si>
    <t>Kuo, TC; Muniroh, M; Fau, KH</t>
  </si>
  <si>
    <t>Kuo, Tsai-Chi; Muniroh, Muniroh; Fau, Kristin Halisa</t>
  </si>
  <si>
    <t>An Integrated Kano Model, Fuzzy Analytical Hierarchy Process, and Decision Matrix for Sustainable Supplier Selection in Palm Oil Industries Indonesia, a Case Study</t>
  </si>
  <si>
    <t>sustainability; sustainable supplier selection; the Kano model; Fuzzy Analytical Hierarchy Process; Decision Matrix Method</t>
  </si>
  <si>
    <t>TRIPLE BOTTOM-LINE; CHAIN MANAGEMENT; ORDER ALLOCATION; FRAMEWORK; TOPSIS</t>
  </si>
  <si>
    <t>Industries have to integrate environmental, social, and economic aspects into their supply chain management to achieve sustainability. Hence, the industry needs to take appropriate actions in choosing the right suppliers. The aim of this study is to develop a framework for selecting sustainable suppliers by integrating quality management tools using the Kano model, Fuzzy Analytical Hierarchy Process, and Decision Matrix Method. To identify the critical sustainability criteria, the Kano model by the clustering the criteria for sustainable selection supplier was used. We then used the Fuzzy Analytical Hierarchy Process to determine the weight of each criterion and applied the Decision Matrix Method to select the most sustainable supplier. Afterward, the appropriate proposed framework was implemented in one of the palm oil industries in Indonesia to validate that the framework is applicable and useful. The study shows that the environmental dimension is the most sustainable supplier criteria followed by economy and social dimension. Quality, pollution control, and information disclosures were found to be important sub-dimensions for sustainable supplier selection.</t>
  </si>
  <si>
    <t>[Kuo, Tsai-Chi; Muniroh, Muniroh] Natl Taiwan Univ Sci &amp; Technol, Dept Ind Management, Taipei 106335, Taiwan; [Kuo, Tsai-Chi] Natl Taiwan Univ Sci &amp; Technol, Artificial Intelligence Operat Management Res Ctr, Taipei 106335, Taiwan; [Fau, Kristin Halisa] Chung Yuan Christian Univ, Dept Ind &amp; Syst Engn, Taoyuan 32023, Taiwan</t>
  </si>
  <si>
    <t>National Taiwan University of Science &amp; Technology; National Taiwan University of Science &amp; Technology; Chung Yuan Christian University</t>
  </si>
  <si>
    <t>Muniroh, M (corresponding author), Natl Taiwan Univ Sci &amp; Technol, Dept Ind Management, Taipei 106335, Taiwan.</t>
  </si>
  <si>
    <t>tckuo@mail.ntust.edu.tw; m10501836@gapps.ntust.edu.tw.com; kristinhalisafau@students.itb.ac.id</t>
  </si>
  <si>
    <t>Kuo, Tsai Chi/U-5547-2019</t>
  </si>
  <si>
    <t>Kuo, Tsai Chi/0000-0002-4661-5276; Fau, Kristin Halisa/0000-0002-0195-9200; Muniroh, Muniroh/0000-0002-9082-0947</t>
  </si>
  <si>
    <t>10.3390/pr9061078</t>
  </si>
  <si>
    <t>SZ3AB</t>
  </si>
  <si>
    <t>WOS:000666441300001</t>
  </si>
  <si>
    <t>Crainic, TG; Hewitt, M; Rei, W</t>
  </si>
  <si>
    <t>Crainic, Teodor Gabriel; Hewitt, Mike; Rei, Walter</t>
  </si>
  <si>
    <t>Scenario grouping in a progressive hedging-based meta-heuristic for stochastic network design</t>
  </si>
  <si>
    <t>Stochastic programs; Network design; Progressive hedging; Scenario clustering; Machine learning</t>
  </si>
  <si>
    <t>SUPPLY CHAIN DESIGN; PROGRAMMING APPROACH; UNCERTAINTY; REDUCTION</t>
  </si>
  <si>
    <t>We propose a methodological approach to build strategies for grouping scenarios as defined by the type of scenario decomposition, type of grouping, and the measures specifying scenario similarity. We evaluate these strategies in the context of stochastic network design by analyzing the behavior and performance of a new progressive hedging-based meta-heuristic for stochastic network design that solves subproblems comprising multiple scenarios. We compare the proposed strategies not only among themselves, but also against the strategy of grouping scenarios randomly and the lower bound provided by a state-of-the-art MIP solver. The results show that, by solving multi-scenario subproblems generated by the strategies we propose, the meta-heuristic produces better results in terms of solution quality and computing efficiency than when either single-scenario subproblems or multiple-scenario subproblems that are generated by picking scenarios at random are solved. The results also show that, considering all the strategies tested, the covering strategy with respect to commodity demands leads to the highest quality solutions and the quickest convergence. (C) 2013 Elsevier Ltd. All rights reserved.</t>
  </si>
  <si>
    <t>[Crainic, Teodor Gabriel; Rei, Walter] Loyola Univ Chicago, Quinlan Sch Business, Dept Informat Syst &amp; Operat Management, Chicago, IL USA</t>
  </si>
  <si>
    <t>Loyola University Chicago</t>
  </si>
  <si>
    <t>TeodorGabriel.Crainic@cirrelt.ca; mrheie@rit.edu; Walter.Rei@cirrelt.ca</t>
  </si>
  <si>
    <t>Hewitt, Mike/L-2329-2015</t>
  </si>
  <si>
    <t>Hewitt, Mike/0000-0002-9786-677X; Crainic, Teodor Gabriel/0000-0002-4424-0984</t>
  </si>
  <si>
    <t>Natural Sciences and Engineering Council of Canada (NSERC); Fonds quebecois de la recherche sur la nature et les technologies (FQRNT)</t>
  </si>
  <si>
    <t>Natural Sciences and Engineering Council of Canada (NSERC)(Natural Sciences and Engineering Research Council of Canada (NSERC)); Fonds quebecois de la recherche sur la nature et les technologies (FQRNT)(FQRNT)</t>
  </si>
  <si>
    <t>Partial funding for this project has been provided by the Natural Sciences and Engineering Council of Canada (NSERC) and by the Fonds quebecois de la recherche sur la nature et les technologies (FQRNT). This support is gratefully acknowledged.</t>
  </si>
  <si>
    <t>10.1016/j.cor.2013.08.020</t>
  </si>
  <si>
    <t>285HB</t>
  </si>
  <si>
    <t>WOS:000329383300009</t>
  </si>
  <si>
    <t>de Treville, S; Bicer, I; Chavez-Demoulin, V; Hagspiel, V; Schürhoff, N; Tasserit, C; Wager, S</t>
  </si>
  <si>
    <t>de Treville, Suzanne; Bicer, Isik; Chavez-Demoulin, Valerie; Hagspiel, Verena; Schuerhoff, Norman; Tasserit, Christophe; Wager, Stefan</t>
  </si>
  <si>
    <t>Valuing lead time</t>
  </si>
  <si>
    <t>Option theory; Manufacturing lead time; Supply-chain mismatch cost; Functional products</t>
  </si>
  <si>
    <t>SUPPLY CHAINS; DEMAND; UNCERTAINTY; EVOLUTION</t>
  </si>
  <si>
    <t>When do short lead times warrant a cost premium? Decision makers generally agree that short lead times enhance competitiveness, but have struggled to quantify their benefits. Blackburn (2012) argued that the marginal value of time is low when demand is predictable and salvage values are high. de Treville et al. (2014) used real-options theory to quantify the relationship between mismatch cost and demand volatility, demonstrating that the marginal value of time increases with demand volatility, and with the volatility of demand volatility. We use the de Treville et al. model to explore the marginal value of time in three industrial supply chains facing relatively low demand volatility, extending the model to incorporate factors such as tender-loss risk, demand clustering in an order-up-to model, and use of a target fill rate that exceeded the newsvendor profit-maximizing order quantity. Each of these factors substantially increases the marginal value of time. In all of the companies under study, managers had underestimated the mismatch costs arising from lead time, so had underinvested in cutting lead times. (C) 2014 Elsevier B.V. All rights reserved.</t>
  </si>
  <si>
    <t>[de Treville, Suzanne; Bicer, Isik; Chavez-Demoulin, Valerie; Hagspiel, Verena; Schuerhoff, Norman; Tasserit, Christophe] Univ Lausanne, Fac Business &amp; Econ, CH-1015 Lausanne, Switzerland; [Schuerhoff, Norman] Swiss Finance Inst, CH-1211 Geneva, Switzerland; [Wager, Stefan] Stanford Univ, Dept Stat, Stanford, CA 94305 USA</t>
  </si>
  <si>
    <t>University of Lausanne; University of Geneva; Stanford University</t>
  </si>
  <si>
    <t>de Treville, S (corresponding author), Univ Lausanne, Fac Business &amp; Econ, CH-1015 Lausanne, Switzerland.</t>
  </si>
  <si>
    <t>suzanne.detreville@unil.ch</t>
  </si>
  <si>
    <t>Schürhoff, Norman/M-2215-2017</t>
  </si>
  <si>
    <t>Nissan Europe; GSK Vaccines</t>
  </si>
  <si>
    <t>The authors would like to acknowledge financial support for this research from Nissan Europe and GSK Vaccines. Many people at the three companies described in this research provided invaluable support, including Szymon Walus, Maria Vaccaro, Bryan Barr, and Christopher Benardis at Nissan Europe; Mauro Bernuzzi and Frederic Mahieu at GSK Vaccines; and Daniel Costa and Francois Facchin at Nestle Switzerland. We also would like to thank Joe Blackburn and co-Editor-in-Chief Dan Guide for very helpful insights and comments on earlier versions of this work.</t>
  </si>
  <si>
    <t>10.1016/j.jom.2014.06.002</t>
  </si>
  <si>
    <t>AP2JD</t>
  </si>
  <si>
    <t>WOS:000341897600003</t>
  </si>
  <si>
    <t>You, FQ; Pinto, JM; Grossmann, IE; Megan, L</t>
  </si>
  <si>
    <t>You, Fengqi; Pinto, Jose M.; Grossmann, Ignacio E.; Megan, Larry</t>
  </si>
  <si>
    <t>Optimal Distribution-Inventory Planning of Industrial Gases. II. MINLP Models and Algorithms for Stochastic Cases</t>
  </si>
  <si>
    <t>International-Mexican Congress on Chemical Reaction Engineering (IMCCRE)</t>
  </si>
  <si>
    <t>JUN 06-10, 2010</t>
  </si>
  <si>
    <t>City of Ixtapa-Zihuatanejo, MEXICO</t>
  </si>
  <si>
    <t>SUPPLY CHAIN DESIGN; PETROLEUM REFINERIES; DEMAND UNCERTAINTY; BATCH PLANTS; OPTIMIZATION; MANAGEMENT</t>
  </si>
  <si>
    <t>In this article, we consider inventory-distribution planning under uncertainty for industrial gas supply chains by extending the continuous approximation solution strategy proposed in part I of this work. A stochastic inventory approach is proposed and incorporated into a multiperiod two-stage stochastic mixed-integer nonlinear programming (MINLP) model to handle uncertainty In demand and loss or addition of customers. This nonconvex MINLP formulation takes into account customer synergies and simultaneously predicts the optimal sizes of customers' storage tanks, the safety stock levels, and the estimated delivery cost for replenishments. To globally optimize this stochastic MINLP problem with modest computational time, we develop a tailored branch-and-refine algorithm based on successive piecewise-linear approximation. The solution from the stochastic MINLP is fed into a detailed routing model with a shorter planning horizon to determine the optimal deliveries, replenishments, and inventories. A clustering-based heuristic is proposed for solving the routing model with reasonable computational effort. Three case studies including instances with up to 200 customers are presented to demonstrate the effectiveness of the proposed stochastic models and solution algorithms.</t>
  </si>
  <si>
    <t>[You, Fengqi; Grossmann, Ignacio E.] Carnegie Mellon Univ, Dept Chem Engn, Pittsburgh, PA 15213 USA; [You, Fengqi] Argonne Natl Lab, Argonne, IL 60439 USA; [Pinto, Jose M.; Megan, Larry] Praxair Inc, Danbury, CT 06810 USA</t>
  </si>
  <si>
    <t>Carnegie Mellon University; United States Department of Energy (DOE); Argonne National Laboratory; Linde plc; Linde US</t>
  </si>
  <si>
    <t>Grossmann, IE (corresponding author), Carnegie Mellon Univ, Dept Chem Engn, Pittsburgh, PA 15213 USA.</t>
  </si>
  <si>
    <t>grossmann@cmu.edu</t>
  </si>
  <si>
    <t>You, Fengqi/B-5040-2011; You, Fengqi/F-6894-2011</t>
  </si>
  <si>
    <t>You, Fengqi/0000-0001-9609-4299;</t>
  </si>
  <si>
    <t>Praxair, Inc.; Pennsylvania Infrastructure Technology Alliance; National Science Foundation [DMI-0556090, OCI-0750826]; U.S. Department of Energy [DE-AC02-06CH11357]</t>
  </si>
  <si>
    <t>Praxair, Inc.; Pennsylvania Infrastructure Technology Alliance; National Science Foundation(National Science Foundation (NSF)); U.S. Department of Energy(United States Department of Energy (DOE))</t>
  </si>
  <si>
    <t>The authors acknowledge financial support from Praxair, Inc.; the Pennsylvania Infrastructure Technology Alliance, and the National Science Foundation under Grants DMI-0556090 and OCI-0750826. F.Y. is partially supported by the U.S. Department of Energy under Contract DE-AC02-06CH11357.</t>
  </si>
  <si>
    <t>10.1021/ie101758u</t>
  </si>
  <si>
    <t>725HI</t>
  </si>
  <si>
    <t>WOS:000287635400054</t>
  </si>
  <si>
    <t>Lima, RHP; Carpinetti, LCR</t>
  </si>
  <si>
    <t>Palma Lima, Rafael Henrique; Ribeiro Carpinetti, Luiz Cesar</t>
  </si>
  <si>
    <t>Analysis of the interplay between knowledge and performance management in industrial clusters</t>
  </si>
  <si>
    <t>KNOWLEDGE MANAGEMENT RESEARCH &amp; PRACTICE</t>
  </si>
  <si>
    <t>industrial clusters; performance management; knowledge management; collaborative networks</t>
  </si>
  <si>
    <t>SUPPLY CHAIN; COLLABORATIVE NETWORKS; MEASUREMENT SYSTEM; FUTURES RESEARCH; SPILLOVERS; GOVERNANCE; BENEFITS; CREATION; FIRMS</t>
  </si>
  <si>
    <t>The concept of industrial clustering has been studied in-depth by policy makers and researchers from many fields, mainly due to the competitive advantages it may bring to regional economies. Companies often take part in collaborative initiatives with local partners while also taking advantage of knowledge spillovers to benefit from locating in a cluster. Thus, Knowledge Management (KM) and Performance Management (PM) have become relevant topics for policy makers and cluster associations when undertaking collaborative initiatives. Taking this into account, this paper aims to explore the interplay between both topics using a case study conducted in a collaborative network formed within a cluster. The results show that KM should be acknowledged as a formal area of cluster management so that PM practices can support knowledge-oriented initiatives and therefore make better use of the new knowledge created. Furthermore, tacit and explicit knowledge resulting from PM practices needs to be stored and disseminated throughout the cluster as a way of improving managerial practices and regional strategic direction. Knowledge Management Research &amp; Practice (2012) 10, 368-379. doi:10.1057/kmrp.2012.23</t>
  </si>
  <si>
    <t>[Palma Lima, Rafael Henrique; Ribeiro Carpinetti, Luiz Cesar] Univ Sao Paulo, Sch Engn Sao Carlos, Dept Prod Engn, BR-13566590 Sao Paulo, Brazil</t>
  </si>
  <si>
    <t>Universidade de Sao Paulo</t>
  </si>
  <si>
    <t>Lima, RHP (corresponding author), Univ Sao Paulo, Sch Engn Sao Carlos, Dept Prod Engn, Trabalhador Sao Carlense Ave,400 Sao Carlos, BR-13566590 Sao Paulo, Brazil.</t>
  </si>
  <si>
    <t>Carpinetti, Luiz C R/D-8974-2012</t>
  </si>
  <si>
    <t>Carpinetti, Luiz C R/0000-0002-8357-2607; Lima, Rafael/0000-0002-9098-3025</t>
  </si>
  <si>
    <t>1477-8238</t>
  </si>
  <si>
    <t>1477-8246</t>
  </si>
  <si>
    <t>KNOWL MAN RES PRACT</t>
  </si>
  <si>
    <t>Knowl. Manag. Res. Pract.</t>
  </si>
  <si>
    <t>10.1057/kmrp.2012.23</t>
  </si>
  <si>
    <t>Information Science &amp; Library Science; Management</t>
  </si>
  <si>
    <t>Information Science &amp; Library Science; Business &amp; Economics</t>
  </si>
  <si>
    <t>062MA</t>
  </si>
  <si>
    <t>WOS:000312922700007</t>
  </si>
  <si>
    <t>Menchaca-Méndez, A; Montero, E; Flores-Garrido, M; Miguel-Antonio, L</t>
  </si>
  <si>
    <t>Menchaca-Mendez, Adriana; Montero, Elizabeth; Flores-Garrido, Marisol; Miguel-Antonio, Luis</t>
  </si>
  <si>
    <t>An algorithm to compute time-balanced clusters for the delivery logistics problem</t>
  </si>
  <si>
    <t>Balanced clustering; Biobjective optimization; Simulated annealing</t>
  </si>
  <si>
    <t>An effective supply chain organization is fundamental for any manufacturing, distribution, retail or wholesale business. New technologies have made considerable improvements in the whole process of inventory management; Artificial Intelligence (AI) represents one of the best options for the industry and their search for more intelligent and robust logistics solutions. Based on a real-world scenario, we approach the challenge of defining delivery routes within a city such that the time they require to be traveled is approximately the same. Moreover, while the routes must ensure that drivers' workload is time balanced and contract regulations can be met, they also must correspond to a customers' partition (sectorization) according to well-defined, non-overlapping delivery areas. We introduce an approach to solve the problem through the algorithm HSAC (Hierarchical Simulated Annealing Clustering). The proposed algorithm first applies a divisive approach to the data, using simulated annealing at each step to create time-balanced partitions, and then solves the TSP problem to create optimal routes within the defined groups. Based on real data concerning two Mexican cities, our experimental results show that HSAC can solve the sectorization problem efficiently.</t>
  </si>
  <si>
    <t>[Menchaca-Mendez, Adriana; Flores-Garrido, Marisol] Univ Nacl Autonoma Mexico, Escuela Nacl Estudios Super, Unidad Morelia, Michoacan, Mexico; [Montero, Elizabeth] Univ Andres Bello, Fac Ingn, Vina Del Mar, Chile; [Miguel-Antonio, Luis] Go Sharp, Dept Inteligencia Artificial, Ciudad De Mexico, Mexico</t>
  </si>
  <si>
    <t>Universidad Nacional Autonoma de Mexico; Universidad Andres Bello</t>
  </si>
  <si>
    <t>Flores-Garrido, M (corresponding author), Univ Nacl Autonoma Mexico, Escuela Nacl Estudios Super, Unidad Morelia, Michoacan, Mexico.</t>
  </si>
  <si>
    <t>amenchaca@enesmorelia.unam.mx; elizabeth.montero@unab.cl; mflores@enesmorelia.unam.mx; luis.miguel@go-sharp.com</t>
  </si>
  <si>
    <t>Montero, Elizabeth/G-8298-2015; Menchaca-Méndez, Adriana/GPP-1625-2022</t>
  </si>
  <si>
    <t>Montero, Elizabeth/0000-0002-1690-3875;</t>
  </si>
  <si>
    <t>PAPIIT, Mexico [IA105918]</t>
  </si>
  <si>
    <t>PAPIIT, Mexico(Programa de Apoyo a Proyectos de Investigacion e Innovacion Tecnologica (PAPIIT))</t>
  </si>
  <si>
    <t>The first author acknowledges support from PAPIIT, Mexico project IA105918.</t>
  </si>
  <si>
    <t>10.1016/j.engappai.2022.104795</t>
  </si>
  <si>
    <t>2S0QA</t>
  </si>
  <si>
    <t>WOS:000821505200007</t>
  </si>
  <si>
    <t>Raza, SA; Ashrafi, R; Akgunduz, A</t>
  </si>
  <si>
    <t>Raza, Syed Asif; Ashrafi, Rafi; Akgunduz, Ali</t>
  </si>
  <si>
    <t>A bibliometric analysis of revenue management in airline industry</t>
  </si>
  <si>
    <t>JOURNAL OF REVENUE AND PRICING MANAGEMENT</t>
  </si>
  <si>
    <t>Revenue management; Airline industry; Bibliometrics; Network analysis; Co-citation; Multivariate analysis; Clustering; Factor analysis</t>
  </si>
  <si>
    <t>PROGRAMMING DECOMPOSITION METHOD; DYNAMIC PRICE-COMPETITION; COMPARING DECISION RULES; VIRTUAL NESTING CONTROLS; SUPPLY CHAIN MANAGEMENT; YIELD MANAGEMENT; SEAT ALLOCATION; STRATEGIC MANAGEMENT; STOCHASTIC DEMAND; INVENTORY CONTROL</t>
  </si>
  <si>
    <t>Air travel industry is among the most and the oldest beneficiaries of the Operations Research tools. The literature in the field of airline revenue management has been steadily growing over four decades. This paper presents a structured literature review of the peer-reviewed publications in the area of Revenue Management in the airline industry. The structured literature review utilizes contemporary tools from the bibliometric analysis of over 350 articles that are extracted. Using the comprehensive tools from bibliometric analysis, we identify emerging research clusters, topological analysis, key research topics, interrelation and collaboration networks and their patterns. A systematic graphical mapping helps marking research publications evaluation over the period explored along with the direction for future research. A multivariate analysis is also carried out on the co-citation matrix for identification of the factors and clusters in the highly cited publications. The findings of this paper also guide to layout a robust strategic plan for future research studies in the field.</t>
  </si>
  <si>
    <t>[Raza, Syed Asif] Sultan Qaboos Univ, Dept Operat Management &amp; Business Stat, Muscat, Oman; [Ashrafi, Rafi] Sultan Qaboos Univ, Dept Informat Syst, Muscat, Oman; [Akgunduz, Ali] Concordia Univ, Dept Mech &amp; Ind Engn, Montreal, PQ, Canada</t>
  </si>
  <si>
    <t>Sultan Qaboos University; Sultan Qaboos University; Concordia University - Canada</t>
  </si>
  <si>
    <t>syed@squ.edu.om; rafi@squ.edu.om; ali.akgunduz@concordia.ca</t>
  </si>
  <si>
    <t>Ashrafi, Rafi/AFD-8061-2022; Ashrafi, Rafi/AAE-9340-2022; Raza, Syed Asif/M-9467-2019</t>
  </si>
  <si>
    <t>Raza, Syed Asif/0000-0003-2992-0671; Ashrafi, Rafi/0000-0003-3594-2463</t>
  </si>
  <si>
    <t>1476-6930</t>
  </si>
  <si>
    <t>1477-657X</t>
  </si>
  <si>
    <t>J REVENUE PRICING MA</t>
  </si>
  <si>
    <t>J. Revenue Pricing Manag.</t>
  </si>
  <si>
    <t>10.1057/s41272-020-00247-1</t>
  </si>
  <si>
    <t>MAY 2020</t>
  </si>
  <si>
    <t>OX4UB</t>
  </si>
  <si>
    <t>WOS:000530787900001</t>
  </si>
  <si>
    <t>Xie, XM; Zang, ZP; Qi, GY</t>
  </si>
  <si>
    <t>Xie, X. M.; Zang, Z. P.; Qi, G. Y.</t>
  </si>
  <si>
    <t>Assessing the environmental management efficiency of manufacturing sectors: evidence from emerging economies</t>
  </si>
  <si>
    <t>Environmental management; Manufacturing sectors; Data envelopment analysis (DEA)</t>
  </si>
  <si>
    <t>URBAN SUSTAINABLE DEVELOPMENT; DATA ENVELOPMENT ANALYSIS; SUPPLY CHAIN MANAGEMENT; LONG-TERM STEWARDSHIP; PERFORMANCE; INDICATORS; SYSTEM; CHINA; RESTORATION; REMEDIATION</t>
  </si>
  <si>
    <t>Environmental management in the Chinese manufacturing industry has attracted global attention. Using environmental indicator data from 2001 to 2010 for this industry, we empirically examine its environmental management efficiency using Data Envelopment Analysis (DEA) and Hierarchical Clustering methods. Our findings reveal that the environmental management of the Chinese manufacturing industry has more DEA inefficiency than efficiency. Environmental management efficiency showed a significant decline before 2004, but rapid growth since 2007. Our findings also indicate that there is input redundancy and output insufficiency in the manufacturing industry's environmental management from 2002 to 2004. In addition, we found that most manufacturing sectors in China had consistently inefficient environmental management over the 10 years under study. Overall, our findings reveal that efficiency remains low. Thus, the manufacturing industry's environmental management needs to improve from the perspective of enterprises and government. We hope that our study paves the way for future research into improving the manufacturing industry's environmental management in emerging countries. (C) 2015 Elsevier Ltd. All rights reserved.</t>
  </si>
  <si>
    <t>[Xie, X. M.] Shanghai Univ, Sch Management, Shanghai 200444, Peoples R China; [Zang, Z. P.] East China Univ Polit Sci &amp; Law, Humanities Sch, Shanghai 200042, Peoples R China; [Qi, G. Y.] E China Univ Sci &amp; Technol, Sch Business, Shanghai 200237, Peoples R China</t>
  </si>
  <si>
    <t>Shanghai University; East China University Political Science &amp; Law; East China University of Science &amp; Technology</t>
  </si>
  <si>
    <t>Zang, ZP (corresponding author), East China Univ Polit Sci &amp; Law, Humanities Sch, Shanghai 200042, Peoples R China.</t>
  </si>
  <si>
    <t>xxm@shu.edu.cn</t>
  </si>
  <si>
    <t>Xie, Xuemei/S-6888-2019; Xie, X.M./ABQ-6831-2022</t>
  </si>
  <si>
    <t>National Natural Science Foundation of China [71002053, 71472118, 71472063]; Shanghai Planning Fund of Philosophy and Social Sciences [2014BGL011]; Shu Guang project of Shanghai Municipal Education Commission; Shanghai Education Development Foundation [13SG41]</t>
  </si>
  <si>
    <t>National Natural Science Foundation of China(National Natural Science Foundation of China (NSFC)); Shanghai Planning Fund of Philosophy and Social Sciences; Shu Guang project of Shanghai Municipal Education Commission(Chinese Academy of Sciences); Shanghai Education Development Foundation</t>
  </si>
  <si>
    <t>This research was supported by the National Natural Science Foundation of China (Grant number: 71002053, 71472118, 71472063), the Shanghai Planning Fund of Philosophy and Social Sciences (Grant number: 2014BGL011), and Shu Guang project of Shanghai Municipal Education Commission and Shanghai Education Development Foundation (Grant number: 13SG41).</t>
  </si>
  <si>
    <t>10.1016/j.jclepro.2015.08.006</t>
  </si>
  <si>
    <t>DB0OG</t>
  </si>
  <si>
    <t>WOS:000368206800017</t>
  </si>
  <si>
    <t>Sharma, A; Pathak, S; Borah, SB; Adhikary, A</t>
  </si>
  <si>
    <t>Sharma, Amalesh; Pathak, Surya; Borah, Sourav Bikash; Adhikary, Anirban</t>
  </si>
  <si>
    <t>Collaboration strategies in buyer-supplier relational (BSR) networks and sustainable firm performance: A trade-off story</t>
  </si>
  <si>
    <t>Sustainable performance; Economic performance; Greenhouse gas emissions; Buyer-supplier relationship network; Ambidexterity; Network theory</t>
  </si>
  <si>
    <t>ENVIRONMENTAL PERFORMANCE; FINANCIAL PERFORMANCE; MODERATING ROLE; INNOVATION; MANAGEMENT; EXPLOITATION; EMBEDDEDNESS; PERSPECTIVE; EXPLORATION; IMPACT</t>
  </si>
  <si>
    <t>A buyer firm can increase collaboration in its buyer-supplier relational (BSR) network by focussing on supplierto-supplier interconnectivity (i.e., network density) or alternatively, by enabling supplier clustering. While the extant literature has considered the effects of these two strategies on firm financial performance, it has not shown whether a focal firm???s buyer-supply network collaboration strategy affects its sustainable firm performance (SFP), specifically its environmental and economic performance. This paper investigates three key questions: (a) How do collaboration strategies influence SFP? (b) Is there an optimal mix of these two network strategies for fostering collaboration in a firm???s BSR network? (c) Can a manager win on both environmental and economic frontiers by pursuing either strategy? Leveraging extant research on BSR networks, ambidexterity, and network theory, we propose a model linking collaboration strategies to SFP. We construct 330 multi-tier BSR networks and find strong support for the non-linear effects of both collaboration strategies on SFP. A response function analysis identifies the combination of strategies yielding the best outcome for SFP. We also find strong evidence for trade-offs between the performance variables. The results show that managers should focus on density as a lever while developing a minimal level of supplier clustering. We discuss academic and managerial implications of our findings for managing buyer-supplier relationships and enhancing a firm???s performance.</t>
  </si>
  <si>
    <t>[Sharma, Amalesh] Texas A&amp;M Univ, Mays Business Sch, College Stn, TX 77843 USA; [Pathak, Surya] Univ Washington, Sch Business, Bothell, WA USA; [Borah, Sourav Bikash] Indian Inst Management Ahmedabad, Ahmadabad, Gujarat, India; [Adhikary, Anirban] Indian Inst Management Udaipur, Udaipur, Rajasthan, India</t>
  </si>
  <si>
    <t>Texas A&amp;M University System; Texas A&amp;M University College Station; Mays Business School; University of Washington; University of Washington Bothell; Indian Institute of Management (IIM System); Indian Institute of Management Ahmedabad; Indian Institute of Management (IIM System); Indian Institute of Management Udaipur (IIMU)</t>
  </si>
  <si>
    <t>Sharma, A (corresponding author), Texas A&amp;M Univ, Mays Business Sch, College Stn, TX 77843 USA.</t>
  </si>
  <si>
    <t>asharma@mays.tamu.edu; pathaksd@u.washington.edu; souravb@iima.ac.in; anirban.adhikary@iimu.ac.in</t>
  </si>
  <si>
    <t>Adhikary, Anirban/GVS-8305-2022; Sharma, Amalesh/AAA-2371-2022</t>
  </si>
  <si>
    <t>Adhikary, Anirban/0000-0003-2158-911X; Sharma, Amalesh/0000-0003-3514-2255</t>
  </si>
  <si>
    <t>10.1016/j.ijpe.2022.108558</t>
  </si>
  <si>
    <t>4W0GZ</t>
  </si>
  <si>
    <t>WOS:000859847500001</t>
  </si>
  <si>
    <t>dos Santos, EA; de Souza, DGB; da Silva, CES</t>
  </si>
  <si>
    <t>dos Santos, Erivelton Antonio; de Souza, Dalton Garcia Borges; da Silva, Carlos Eduardo Sanches</t>
  </si>
  <si>
    <t>What Matters in Hiring Professionals for Global Software Development? A SLR and NLP Criteria Clustering</t>
  </si>
  <si>
    <t>Cluster; criteria selection; hierarchical structure; mind map; NLP; SLR; sentence embeddings</t>
  </si>
  <si>
    <t>PROCESS IMPROVEMENT; DECISION-MAKING; ORGANIZATIONAL COMMITMENT; SENTIMENT ANALYSIS; TEAM PERFORMANCE; SUCCESS FACTORS; GIG ECONOMY; MANAGEMENT; PROJECT; AGILE</t>
  </si>
  <si>
    <t>Globalization stimulated a new era of Global Software Development (GSD), followed by the gig economy (GE) phenomenon, which jointly caused considerable transformations in software development markets, mainly after the recent supply chain disruptions. The cultural and geographic barriers have compelled numerous organizations to devise comprehensive digital technologies to overcome this situation. Likewise, the rising unemployment rates led the workforce into short-term contracts or to the on-demand market known as the gig economy. Together with the enhancement in global software development, the organizations found a direction to restore their activities. However, when organizations are immersed in fast-paced environments, selecting skilled professionals is difficult and risky, especially with a lack of qualified professionals. This article identifies the criteria for hiring professionals in the GSD or GE context and proposes a novel approach to clustering them. To do so, we collected the criteria from a broad subject through a systematic literature review, then applied natural language processing with the SBERT algorithm to get the sentence embeddings. Further, we cluster the criteria by applying the k-means algorithm. After that, we innovatively and responsively grouped the clusters formed by repeating the SBERT and k-means algorithms and created its mind map. Our findings disclosed 319 criteria and 6 cluster groups comprising a mind map hierarchical structure. Consequently, these outcomes have pedagogical implications to assist specialists from education institutions in designing new course domains. Such as, it can be helpful to practitioners to assist in hiring professional processes in the GSD or GE context.</t>
  </si>
  <si>
    <t>[dos Santos, Erivelton Antonio; da Silva, Carlos Eduardo Sanches] Univ Fed Itajuba, Inst Ind Engn &amp; Management, BR-37500903 Itajuba, MG, Brazil; [de Souza, Dalton Garcia Borges] Fluminense Fed Univ, Inst Sci &amp; Technol, BR-28895532 Rio das Ostras, RJ, Brazil</t>
  </si>
  <si>
    <t>Universidade Federal de Itajuba; Universidade Federal Fluminense</t>
  </si>
  <si>
    <t>dos Santos, EA (corresponding author), Univ Fed Itajuba, Inst Ind Engn &amp; Management, BR-37500903 Itajuba, MG, Brazil.</t>
  </si>
  <si>
    <t>erivelton.santos@gmail.com; daltonborges@id.uff.br; cadusanches02@gmail.com</t>
  </si>
  <si>
    <t>Sanches da Silva, Carlos Eduardo/0000-0002-7329-6565</t>
  </si>
  <si>
    <t>CNPq; CAPES; FAPEMIG; UNIFEI</t>
  </si>
  <si>
    <t>CNPq(Conselho Nacional de Desenvolvimento Cientifico e Tecnologico (CNPQ)); CAPES(Coordenacao de Aperfeicoamento de Pessoal de Nivel Superior (CAPES)); FAPEMIG(Fundacao de Amparo a Pesquisa do Estado de Minas Gerais (FAPEMIG)); UNIFEI</t>
  </si>
  <si>
    <t>The authors have no conflict of interest to declare. The authors would like to thank CNPq, CAPES, FAPEMIG, and UNIFEI for indirectly funding this research.</t>
  </si>
  <si>
    <t>2023 JUN 30</t>
  </si>
  <si>
    <t>10.1109/TEM.2023.3279769</t>
  </si>
  <si>
    <t>L8FL5</t>
  </si>
  <si>
    <t>WOS:001025562600001</t>
  </si>
  <si>
    <t>Lei, T; Lv, YQ; Zhang, YJ; Cao, XH</t>
  </si>
  <si>
    <t>Lei, Tu; Lv, Yaqiong; Yajie, Zhang; Xiaohua, Cao</t>
  </si>
  <si>
    <t>Logistics service provider selection decision making for healthcare industry based on a novel weighted density-based hierarchical clustering</t>
  </si>
  <si>
    <t>Healthcare industry; Logistics service provider selection; Weighted density-based hierarchical cluster; analysis (WDBHCA); Analytic hierarchy process (AHP)</t>
  </si>
  <si>
    <t>SUPPLIER SELECTION; MODEL</t>
  </si>
  <si>
    <t>In recent years, Industry 4.0 makes a significant impact on the manufacturing industry, which enables the business more intelligent and efficient, all while minimizing costs. As known, the logistics concerns in the supply chain always play an important role to a manufacturing company, and decision on the selection of logistics service provider is a key point, especially for healthcare manufacture whose products are the medical devices or equipment of fragility and high cost. Practically there are so many logistics service providers with varieties in service quality, effectiveness, punctuality and reliability, that the manufacturers often encounter the challenge on the provider selection, and healthcare industry is no exception. However, the research on provider selection for healthcare manufacturers is quite limited. In order to help them to make the decision, this paper designs a logistics service provider selection scheme based on a novel weighted density-based hierarchical cluster analysis with integration of the analytic hierarchy process (AHP) for healthcare industry. Initially an evaluation index system reflecting the capability of the candidate providers in all aspects is established. To improve the clustering within the scheme, the density concept and the obtained weights are introduced into the traditional hierarchical cluster analysis (HCA) to shape a novel Weighted Density-Based HCA (WDBHCA). To validate the feasibility of the scheme, a case study on a specified healthcare industry manufacturer is carried out, and results fulfill the case company's requirement which shows the feasibility of the proposed provider selection scheme. In addition, this scheme can be applied to the provider selection in other fields, as well.</t>
  </si>
  <si>
    <t>[Lei, Tu] Zhejiang Chinese Med Univ, Coll Med Technol, Hangzhou 310000, Zhejiang, Peoples R China; [Lv, Yaqiong; Xiaohua, Cao] Wuhan Univ Technol, Sch Logist Engn, Wuhan 430000, Hubei, Peoples R China; [Yajie, Zhang] Nanjing Univ Sci &amp; Technol, Nanjing 210000, Jiangsu, Peoples R China</t>
  </si>
  <si>
    <t>Zhejiang Chinese Medical University; Wuhan University of Technology; Nanjing University of Science &amp; Technology</t>
  </si>
  <si>
    <t>Lv, YQ (corresponding author), Wuhan Univ Technol, Sch Logist Engn, Wuhan 430000, Hubei, Peoples R China.</t>
  </si>
  <si>
    <t>y.q.lv@whut.edu.cn</t>
  </si>
  <si>
    <t>LV, YAQIONG/HCI-8068-2022; LV, YAQIONG/AAI-8146-2020</t>
  </si>
  <si>
    <t>LV, YAQIONG/0000-0002-2953-9996;</t>
  </si>
  <si>
    <t>Humanities and Social Science Foundation of Ministry of Education of China [20YJC630096, 2020ZG27]; ZCMU NSFC Preresearch project [2021ZR13]</t>
  </si>
  <si>
    <t>Humanities and Social Science Foundation of Ministry of Education of China(Ministry of Education, China); ZCMU NSFC Preresearch project</t>
  </si>
  <si>
    <t>The authors would like to thank all reviewers and editors for their valuable comments. This work was supported by the Humanities and Social Science Foundation of Ministry of Education of China, grant number 20YJC630096. This work was also in partial supported byZCMU Startup funding (2020ZG27) and ZCMU NSFC Preresearch project (2021ZR13) .</t>
  </si>
  <si>
    <t>10.1016/j.aei.2021.101301</t>
  </si>
  <si>
    <t>SV1NP</t>
  </si>
  <si>
    <t>WOS:000663592200006</t>
  </si>
  <si>
    <t>An, K; Kim, S; Shin, S; Min, H; Kim, S</t>
  </si>
  <si>
    <t>An, Kyunam; Kim, Sumin; Shin, Seoho; Min, Hyunkyoung; Kim, Sojung</t>
  </si>
  <si>
    <t>Optimized Supply Chain Management of Rice in South Korea: Location-Allocation Model of Rice Production</t>
  </si>
  <si>
    <t>location-allocation model; rice; rice morphological characteristics; clustering; transportation cost</t>
  </si>
  <si>
    <t>Planning for optimized farming with the aim of providing ideal site and cultivar selection is critical for a stable and sustainable supply of rice with sufficient quantity and quality to customers. In this study, a range of morphological characteristics and yield of eight rice cultivars that are commonly cultivated in Korea were investigated from 2005 to 2020. All morphological characteristics were significantly different among the eight rice cultivars. The dataset of morphological characteristics and yield was used to isolate groups of similar rice cultivars. The k-means clustering method was used to group the rice cultivars. Three groups (Group 1, Group 2, and Group 3) were created. Most cultivars were in Group 1. High-yielding rice cultivars were in Group 2, while the rice cultivars in Group 3 had the lowest rice grain yield. After grouping these rice cultivars, ideal farming locations for all three rice cultivar groups were identified to reduce transportation cost using an optimized location-allocation model. Simulation results suggested the following: (1) Group 1 should be produced in Jellanam-do (south west region), (2) Group 2 should be produced in Chungcheongnam-do (central west region), and (3) Group 3 should be mainly produced in the central west region of South Korea. Simulation results showed the potential to reduce transportation cost by around 0.014%. This can also reduce 21.04 tons of CO2 emission from a freight truck. Because these eight cultivars only make up 19.76% of the total rice production in South Korea, the cost reduction proportion was only 0.014% of total revenue. In future studies, more rice cultivars should be investigated to increase the efficiency of the model performance.</t>
  </si>
  <si>
    <t>[An, Kyunam; Shin, Seoho; Min, Hyunkyoung] Jeollanamdo Agr Res &amp; Extens Serv, Crop Res Div, Naju Si 58123, Jeollanam Do, South Korea; [Kim, Sumin] Dankook Univ, Coll Life Sci &amp; Biotechnol, Dept Environm Hort &amp; Landscape Architecture, Cheonan Si 31116, Chungnam, South Korea; [Kim, Sojung] Dongguk Univ Seoul, Dept Ind &amp; Syst Engn, Seoul 04620, South Korea</t>
  </si>
  <si>
    <t>Dankook University; Dongguk University</t>
  </si>
  <si>
    <t>Kim, S (corresponding author), Dongguk Univ Seoul, Dept Ind &amp; Syst Engn, Seoul 04620, South Korea.</t>
  </si>
  <si>
    <t>ankyunam@korea.kr; sumin.kim@dankook.ac.kr; shin2332@korea.kr; mindoong13@gmail.com; sojungkim@dongguk.edu</t>
  </si>
  <si>
    <t>Kim, Sumin/0000-0002-9335-4224; Kim, Sojung/0000-0001-7744-0686</t>
  </si>
  <si>
    <t>KEPCO Research Institute; Dongguk University</t>
  </si>
  <si>
    <t>This work was supported by the KEPCO Research Institute. It was also supported by the Dongguk University Research Fund of 2021.</t>
  </si>
  <si>
    <t>10.3390/agronomy11020270</t>
  </si>
  <si>
    <t>QM7UF</t>
  </si>
  <si>
    <t>WOS:000621979400001</t>
  </si>
  <si>
    <t>Ren, HT; Zhou, WJ; Wang, HZ; Zhang, B; Ma, TJ</t>
  </si>
  <si>
    <t>Ren, Hongtao; Zhou, Wenji; Wang, Hangzhou; Zhang, Bo; Ma, Tieju</t>
  </si>
  <si>
    <t>An energy system optimization model accounting for the interrelations of multiple stochastic energy prices</t>
  </si>
  <si>
    <t>Energy system modelling; Stochastic programming; Oil market; k-means clustering; Energy price volatility</t>
  </si>
  <si>
    <t>NATURAL-GAS; CRUDE-OIL; SUPPLY CHAIN; UNCERTAINTY; COAL; MANAGEMENT; DEMAND; FUEL</t>
  </si>
  <si>
    <t>The variation of and the interrelation between different energy markets significantly affect the competitiveness of various energy technologies, therefore complicate the decision-making problem for a complex energy system consisting of multiple competing technologies, especially in a long-term time frame. The interrelations between these markets have not been accounted for in the existing energy system modelling efforts, leading to a distortion of understanding of the market impact on the technological choices and operations in the real world. This study investigates the strategic and operational decision-making problem for such an energy system characterized by three competing technologies from crude oil, natural gas, and coal. A stochastic programming model is constructed by incorporating multiple volatile energy prices interrelated with each other. Oil price is modelled by the mean-reverting Ornstein-Uhlenbeck process and serves as the exogenous variable in the ARIMAX models for natural gas and downstream plastic prices. The K-means clustering method is employed to extract a handful of distinctive patterns from a large number of simulated price projections to enhance the computing efficiency without losing retaining critical information and insights from the price co-movement. The model results suggest that the high volatility of the energy market weakens the possibility of selecting the corresponding technology. The oil-based route, for example, gradually loses its market share to the coal approach, attributed to a higher volatile oil market. The proposed method is applicable to other problems of the same kind with high-dimensional stochastic variables.</t>
  </si>
  <si>
    <t>[Ren, Hongtao; Ma, Tieju] East China Univ Sci &amp; Technol, Sch Business, Meilong Rd 130, Shanghai 200237, Peoples R China; [Zhou, Wenji] Renmin Univ China, Sch Appl Econ, Beijing 100872, Peoples R China; [Wang, Hangzhou] China Natl Petr Corp, China Petr Planning &amp; Engn Inst CPPEI, Beijing 100083, Peoples R China; [Zhang, Bo] SINOPEC Beihai Refining &amp; Chem Co Ltd, South 4 Rd, Beihai 536016, Guangxi, Peoples R China; [Ma, Tieju] Int Inst Appl Syst Anal, Schlosspl 1, A-2361 Laxenburg, Austria</t>
  </si>
  <si>
    <t>East China University of Science &amp; Technology; Renmin University of China; China National Petroleum Corporation; International Institute for Applied Systems Analysis (IIASA)</t>
  </si>
  <si>
    <t>Zhou, WJ (corresponding author), Renmin Univ China, Sch Appl Econ, Beijing 100872, Peoples R China.</t>
  </si>
  <si>
    <t>wenji.zhou@gmail.com</t>
  </si>
  <si>
    <t>Zhang, Bo/I-3211-2014</t>
  </si>
  <si>
    <t>Zhang, Bo/0000-0003-1288-1549; Ren, Hongtao/0000-0001-7896-4131; Zhou, Wenji/0000-0001-8355-8357</t>
  </si>
  <si>
    <t>Major Innovation &amp; Planning Interdisciplinary Platform for theDouble-First Class Initiative, Renmin University of China; National Natural Science Foundation of China [71961137012, 71874055]; International Cooperation Program of Petro China [2018D-5009-06]</t>
  </si>
  <si>
    <t>Major Innovation &amp; Planning Interdisciplinary Platform for theDouble-First Class Initiative, Renmin University of China; National Natural Science Foundation of China(National Natural Science Foundation of China (NSFC)); International Cooperation Program of Petro China</t>
  </si>
  <si>
    <t>This research was supported by the Major Innovation &amp; Planning Interdisciplinary Platform for theDouble-First Class Initiative, Renmin University of China, the National Natural Science Foundation of China (71961137012, 71874055), and the International Cooperation Program of PetroChina (2018D-5009-06).</t>
  </si>
  <si>
    <t>10.1007/s10479-021-04229-3</t>
  </si>
  <si>
    <t>3V7UW</t>
  </si>
  <si>
    <t>WOS:000691176200002</t>
  </si>
  <si>
    <t>Rigby, DK; Vishwanath, V</t>
  </si>
  <si>
    <t>Localization: The revolution in consumer markets</t>
  </si>
  <si>
    <t>HARVARD BUSINESS REVIEW</t>
  </si>
  <si>
    <t>Standardization has been a powerful strategy in consumer markets, but it's reached the point of diminishing returns. Ana diversity is not the only chink in standardization's armor: Attempts to build stores in the remaining attractive locations often meet fierce resistance from community activists. From California to Florida to New Jersey, neighborhoods are passing ordinances that dictate the sizes and even architectural styles of new shops. Building more of the same-long the cornerstone of retailer growth-seems to be tapped.., as a strategy. Of course, a company can't customize every element of its business in every location. Strategists have begun to use clustering techniques to simplify and smooth out decision making and to focus their efforts on the relatively small number of variables that usually drive the bulk of consumer purchases. The customization-by-clusters approach, which began as a strategy for grocery stores in 1995, has since proven effective in drugstores, department stores, mass merchants, big-box retailers, restaurants, apparel companies, and a variety of consumer goods manufacturers. Clustering sorts things into groups, so that the associations are strong between members of the same cluster and weak between members of different clusters. In fact, by centralizing data-intensive and scale-sensitive functions (such as store design, merchandise assortment, buying, and supply chain management), localization liberates store personnel to do what they do best: Test innovative solutions to local challenges and forge strong bonds with communities. Ultimately, all companies serving consumers will face the challenge of local customization. We are advancing to a world where the strategies of the most successful businesses will be as diverse as the communities they serve.</t>
  </si>
  <si>
    <t>Bain &amp; Co, Global Retail Practice, Boston, MA USA</t>
  </si>
  <si>
    <t>Rigby, DK (corresponding author), Bain &amp; Co, Global Retail Practice, Boston, MA USA.</t>
  </si>
  <si>
    <t>HARVARD BUSINESS SCHOOL PUBLISHING CORPORATION</t>
  </si>
  <si>
    <t>WATERTOWN</t>
  </si>
  <si>
    <t>300 NORTH BEACON STREET, WATERTOWN, MA 02472 USA</t>
  </si>
  <si>
    <t>0017-8012</t>
  </si>
  <si>
    <t>HARVARD BUS REV</t>
  </si>
  <si>
    <t>Harv. Bus. Rev.</t>
  </si>
  <si>
    <t>025FK</t>
  </si>
  <si>
    <t>WOS:000236250500021</t>
  </si>
  <si>
    <t>Qiu, RZ; Ma, L; Sun, MH</t>
  </si>
  <si>
    <t>Qiu, Ruozhen; Ma, Lin; Sun, Minghe</t>
  </si>
  <si>
    <t>A robust omnichannel pricing and ordering optimization approach with return policies based on data-driven support vector clustering</t>
  </si>
  <si>
    <t>Pricing; Omnichannel retailing; Return policies; Demand uncertainty; Data -driven robust optimization</t>
  </si>
  <si>
    <t>MONEY-BACK GUARANTEES; RETAIL OPERATIONS; SUPPLY CHAIN; CHANNEL; UNCERTAINTY; REFUND</t>
  </si>
  <si>
    <t>This work considers an omnichannel retailer selling a product with market demand uncertainties to cus-tomers in different regions through an e-store and multiple brick-and-mortar stores. The retailer also manages online product returns by selecting appropriate return policies. A robust omnichannel pricing and ordering optimization model is proposed with two, i.e., a full-refund and a no-refund, return policies. The online demand and the offline demand depend on the prices of the e-store and the brick-and-mortar stores, where the online demand also depends on the refund of the e-store. A linearization technique is adopted to deal with nonlinearity of the model. A data-driven robust optimization approach is used to construct uncertainty sets based on available historical data using support vector clustering to handle de-mand uncertainties. Furthermore, the proposed model is transformed into an approximate mixed integer linear programming model which can be solved by using commercial software. An electronics retailer in China is used as a case study to illustrate the effectiveness and practicality of the proposed model and the solution method. A comparison with the box uncertainty set reveals that the data-driven uncertainty set is less conservative and performs better by obtaining higher profit for the retailer. Furthermore, sen-sitive analysis results indicate that return policies and the return rate of the product affect the optimal pricing and ordering decisions and the total profit.(c) 2022 Elsevier B.V. All rights reserved.</t>
  </si>
  <si>
    <t>[Qiu, Ruozhen; Ma, Lin] Northeastern Univ, Sch Business Adm, Shenyang 110169, Liaoning, Peoples R China; [Qiu, Ruozhen] Northeastern Univ, Natl Frontiers Sci Ctr Ind Intelligence &amp; Syst Opt, Shenyang 110819, Liaoning, Peoples R China; [Sun, Minghe] Univ Texas San Antonio, Dept Management Sci &amp; Stat, San Antonio, TX USA</t>
  </si>
  <si>
    <t>Northeastern University - China; Northeastern University - China; University of Texas System; University of Texas at San Antonio (UTSA)</t>
  </si>
  <si>
    <t>Ma, L (corresponding author), Northeastern Univ, Sch Business Adm, Shenyang 110169, Liaoning, Peoples R China.</t>
  </si>
  <si>
    <t>rzqiu@mail.neu.edu.cn; 1910425@stu.neu.edu.cn; Minghe.Sun@utsa.edu</t>
  </si>
  <si>
    <t>Sun, Minghe/J-1310-2014</t>
  </si>
  <si>
    <t>Sun, Minghe/0000-0001-8503-9761</t>
  </si>
  <si>
    <t>National Natural Sci- ence Foundation of China [71772035]; Talent Program of Liaon- ing Province [XLYC1907104]; Major Program of National Natu- ral Science Foundation of China [72192830, 72192831]; 111 Project [B16009]</t>
  </si>
  <si>
    <t>National Natural Sci- ence Foundation of China(National Natural Science Foundation of China (NSFC)); Talent Program of Liaon- ing Province; Major Program of National Natu- ral Science Foundation of China(National Natural Science Foundation of China (NSFC)); 111 Project(Ministry of Education, China - 111 Project)</t>
  </si>
  <si>
    <t>This work was partly supported by the National Natural Sci- ence Foundation of China (71772035) , the Talent Program of Liaon- ing Province (XLYC1907104) , the Major Program of National Natu- ral Science Foundation of China (72192830 , 72192831) , and the 111 Project (B16009) .</t>
  </si>
  <si>
    <t>10.1016/j.ejor.2022.07.029</t>
  </si>
  <si>
    <t>6U5KU</t>
  </si>
  <si>
    <t>WOS:000894406400003</t>
  </si>
  <si>
    <t>Hu, WJ; Dong, JJ; Hwang, BG; Ren, R; Chen, ZL</t>
  </si>
  <si>
    <t>Hu, Wanjie; Dong, Jianjun; Hwang, Bon-gang; Ren, Rui; Chen, Zhilong</t>
  </si>
  <si>
    <t>A Scientometrics Review on City Logistics Literature: Research Trends, Advanced Theory and Practice</t>
  </si>
  <si>
    <t>city logistics; sustainable transport; literature review; scientometrics analysis; thematic analysis</t>
  </si>
  <si>
    <t>URBAN FREIGHT TRANSPORT; VEHICLE-ROUTING PROBLEM; LAST MILE DELIVERY; ELECTRIC VEHICLES; GOODS DELIVERIES; SOCIAL NETWORKS; POLICY-MAKING; TIME WINDOWS; LAND-USE; SYSTEM</t>
  </si>
  <si>
    <t>The contradiction between the contribution of city logistics (CL) to sustainable urban development and its negative externalities is increasingly prominent. Policy supervision measures and the green logistics initiative are also in conflict with the management goal of logistics enterprises. Innovative solutions for CL have attracted increasing research attention worldwide. However, the description of the global research network in the field of CL, research trends, and the discussion of advanced theories and practices have not been systematically reviewed so far. Especially in the past three years, there has been an explosive growth of relevant literature. In this paper, the method of combining scientometric analysis and thematic discussion was adopted to systematically review 513 important works in the literature from 1993 to 2018, aiming to provide a holistic understanding of the status in quo, trends and gaps of CL research, and to further analyze prominent problems. The study has made statistical analyses of the publication year profile, journal allocation and research methods of the included literature, and constructed four kinds of visualized bibliographic information timeline maps for the authorship network, international collaboration network, keywords co-occurrence network and research topic clustering. Then, the three themes summarized by clustering are discussed, mainly focusing on CL strategies and policy, green supply chain management, planning methods, and advanced concepts and practices. Finally, the research gaps framework and agenda were reported. This study contributes to summarizing the research and development of city logistics on the whole, and can also serve as an explorative manual to support sustainable urban freight activities and innovative research.</t>
  </si>
  <si>
    <t>[Hu, Wanjie; Dong, Jianjun] Nanjing Tech Univ, Coll Civil Engn, Nanjing 211816, Jiangsu, Peoples R China; [Hwang, Bon-gang] Natl Univ Singapore, Dept Bldg, Singapore 117566, Singapore; [Ren, Rui; Chen, Zhilong] Army Engn Univ PLA, Coll Def Engn, Nanjing 210042, Jiangsu, Peoples R China</t>
  </si>
  <si>
    <t>Nanjing Tech University; National University of Singapore; Army Engineering University of PLA</t>
  </si>
  <si>
    <t>Dong, JJ (corresponding author), Nanjing Tech Univ, Coll Civil Engn, Nanjing 211816, Jiangsu, Peoples R China.;Chen, ZL (corresponding author), Army Engn Univ PLA, Coll Def Engn, Nanjing 210042, Jiangsu, Peoples R China.</t>
  </si>
  <si>
    <t>steve_hu@vip.163.com; dongjj@njtech.edu.cn; bdghbg@nus.edu.sg; renrui0801@163.com; chen-zl@vip.163.com</t>
  </si>
  <si>
    <t>Hu, Wanjie/0000-0001-6969-1012; Dong, Jianjun/0000-0003-3406-0573</t>
  </si>
  <si>
    <t>National Natural Science Foundation of China [71631007, 71601095]</t>
  </si>
  <si>
    <t>This work was funded by National Natural Science Foundation of China (grants no. 71631007 and no. 71601095).</t>
  </si>
  <si>
    <t>10.3390/su11102724</t>
  </si>
  <si>
    <t>IC5LV</t>
  </si>
  <si>
    <t>WOS:000471010300007</t>
  </si>
  <si>
    <t>Teng, F; Du, CT; Shen, MJ; Liu, PD</t>
  </si>
  <si>
    <t>Teng, Fei; Du, Chuantao; Shen, Mengjiao; Liu, Peide</t>
  </si>
  <si>
    <t>A dynamic large-scale multiple attribute group decision-making method with probabilistic linguistic term sets based on trust relationship and opinion correlation</t>
  </si>
  <si>
    <t>Dynamic large-scale multiple attribute; group decision making; Probabilistic linguistic term set; Social network analysis; Extended power average operator; Evidential reasoning theory</t>
  </si>
  <si>
    <t>CLUSTERING METHOD; MODEL; OPERATORS; AGGREGATION</t>
  </si>
  <si>
    <t>Dynamic large-scale multiple attribute group decision making (DLMAGDM) is ubiquitous in many areas of the real world. It is composed of large numbers of decision makers, several continuous periods, alternative set and attribute set changed with time. Given the charac-teristics implicited in decision-making elements and the advantages of probabilistic lin-guistic term sets (PLTSs) in modelling uncertainty and complexity of decision makers' subjective opinions, this paper constructs a probabilistic linguistic DLMAGDM method. First of all, a dynamic weight determination model based on trust relationships and eviden-tial conflicts between decision makers is proposed to obtain current dynamic weights of decision makers. Then, a comprehensive hierarchical clustering method that divides large numbers of decision makers into several subgroups is constructed based on three cluster-ing constrains. Moreover, some probabilistic linguistic extended evidential power aggrega-tion operators are proposed to aggregate PLTSs. These operators can appropriately handle the extreme PLTSs and fully consider the role of incomplete probabilistic distributions in PLTSs. In addition, a dynamic decision-making method based on PROMETHEE is developed to determine the final priority order of alternatives according to preferences between alter-natives over several periods. Lastly, a case study for supply chain finance risk assessment for several firms in Chinese household appliance industry is utilized to illustrate the prac-ticality and effectiveness of the probabilistic linguistic DLMAGDM method. Furthermore, the comparative analysis with some other existing methods and the sensitivity analysis are made to verify its advantages.(c) 2022 Elsevier Inc. All rights reserved.</t>
  </si>
  <si>
    <t>[Teng, Fei; Du, Chuantao; Shen, Mengjiao; Liu, Peide] Shandong Univ Finance &amp; Econ, Sch Management Sci &amp; Engn, Jinan 250014, Shandong, Peoples R China</t>
  </si>
  <si>
    <t>Shandong University of Finance &amp; Economics</t>
  </si>
  <si>
    <t>Teng, F (corresponding author), Shandong Univ Finance &amp; Econ, Sch Management Sci &amp; Engn, Jinan 250014, Shandong, Peoples R China.</t>
  </si>
  <si>
    <t>tf1049158564@163.com</t>
  </si>
  <si>
    <t>Liu, Peide/D-3392-2013</t>
  </si>
  <si>
    <t>Liu, Peide/0000-0001-5048-8145</t>
  </si>
  <si>
    <t>National Natural Science Foundation of China [72101134, 71771140]; Social Science Planning Project of Shandong Province [20CSDJ23]; Natural Science Foundation of Shandong Province [ZR2020QG002]; Project of cultural masters and ``the four kinds of a batchtalents, the Taishan Scholars Project of Shandong Province; Shandong Provincial Key Research and Development Program [2020CXGC010110, 2021SFGC0102]</t>
  </si>
  <si>
    <t>National Natural Science Foundation of China(National Natural Science Foundation of China (NSFC)); Social Science Planning Project of Shandong Province; Natural Science Foundation of Shandong Province(Natural Science Foundation of Shandong Province); Project of cultural masters and ``the four kinds of a batchtalents, the Taishan Scholars Project of Shandong Province; Shandong Provincial Key Research and Development Program</t>
  </si>
  <si>
    <t>This work is supported by the National Natural Science Foundation of China (Nos. 72101134, 71771140), the Social Science Planning Project of Shandong Province (No. 20CSDJ23), the Natural Science Foundation of Shandong Province (No. ZR2020QG002), the Project of cultural masters and ``the four kinds of a batchtalents, the Taishan Scholars Project of Shandong Province, Shandong Provincial Key Research and Development Program (Major Scientific and Technological Innovation Project) (Nos. 2020CXGC010110, 2021SFGC0102).</t>
  </si>
  <si>
    <t>10.1016/j.ins.2022.07.092</t>
  </si>
  <si>
    <t>5B1FP</t>
  </si>
  <si>
    <t>WOS:000863321400008</t>
  </si>
  <si>
    <t>Zhou, L; Zhang, C; Liu, F; Qiu, ZJ; He, Y</t>
  </si>
  <si>
    <t>Zhou, Lei; Zhang, Chu; Liu, Fei; Qiu, Zhengjun; He, Yong</t>
  </si>
  <si>
    <t>Application of Deep Learning in Food: A Review</t>
  </si>
  <si>
    <t>computer vision; deep learning; food quality; food recognition; spectroscopy</t>
  </si>
  <si>
    <t>CONVOLUTIONAL NEURAL-NETWORK; RECOGNITION SYSTEM; COMPUTER VISION; QUALITY; EXTRACTION; IMAGES; LOINS</t>
  </si>
  <si>
    <t>Deep learning has been proved to be an advanced technology for big data analysis with a large number of successful cases in image processing, speech recognition, object detection, and so on. Recently, it has also been introduced in food science and engineering. To our knowledge, this review is the first in the food domain. In this paper, we provided a brief introduction of deep learning and detailedly described the structure of some popular architectures of deep neural networks and the approaches for training a model. We surveyed dozens of articles that used deep learning as the data analysis tool to solve the problems and challenges in food domain, including food recognition, calories estimation, quality detection of fruits, vegetables, meat and aquatic products, food supply chain, and food contamination. The specific problems, the datasets, the preprocessing methods, the networks and frameworks used, the performance achieved, and the comparison with other popular solutions of each research were investigated. We also analyzed the potential of deep learning to be used as an advanced data mining tool in food sensory and consume researches. The result of our survey indicates that deep learning outperforms other methods such as manual feature extractors, conventional machine learning algorithms, and deep learning as a promising tool in food quality and safety inspection. The encouraging results in classification and regression problems achieved by deep learning will attract more research efforts to apply deep learning into the field of food in the future.</t>
  </si>
  <si>
    <t>[Zhou, Lei; Zhang, Chu; Liu, Fei; Qiu, Zhengjun; He, Yong] Zhejiang Univ, Coll Biosyst Engn &amp; Food Sci, Hangzhou 310058, Zhejiang, Peoples R China; [Zhou, Lei; Zhang, Chu; Liu, Fei; Qiu, Zhengjun; He, Yong] Minist Agr &amp; Rural Affairs, Key Lab Spect Sensing, Hangzhou 310058, Zhejiang, Peoples R China</t>
  </si>
  <si>
    <t>Zhejiang University; Ministry of Agriculture &amp; Rural Affairs</t>
  </si>
  <si>
    <t>Zhang, C (corresponding author), Zhejiang Univ, Coll Biosyst Engn &amp; Food Sci, Hangzhou 310058, Zhejiang, Peoples R China.;Zhang, C (corresponding author), Minist Agr &amp; Rural Affairs, Key Lab Spect Sensing, Hangzhou 310058, Zhejiang, Peoples R China.</t>
  </si>
  <si>
    <t>chuzh@zju.edu.cn; zjqiu@zju.edu.cn</t>
  </si>
  <si>
    <t>Zhou, Lei/HGE-4561-2022; Zhang, Chu/J-7191-2017; Liu, Fei/A-9493-2009</t>
  </si>
  <si>
    <t>Zhou, Lei/0000-0001-5857-8153; Zhang, Chu/0000-0001-6760-3154; Liu, Fei/0000-0003-0266-6896</t>
  </si>
  <si>
    <t>China Natl. Key Research And Development Program [2016YFD0700304]; Natl. Natural Science Foundation of China [61705195]</t>
  </si>
  <si>
    <t>China Natl. Key Research And Development Program; Natl. Natural Science Foundation of China(National Natural Science Foundation of China (NSFC))</t>
  </si>
  <si>
    <t>This research has been supported by the China Natl. Key Research And Development Program (2016YFD0700304) and the Natl. Natural Science Foundation of China (61705195).</t>
  </si>
  <si>
    <t>10.1111/1541-4337.12492</t>
  </si>
  <si>
    <t>SEP 2019</t>
  </si>
  <si>
    <t>JI6PB</t>
  </si>
  <si>
    <t>WOS:000486670900001</t>
  </si>
  <si>
    <t>Ren, S; Zhang, YF; Liu, Y; Sakao, T; Huisingh, D; Almeida, CMVB</t>
  </si>
  <si>
    <t>Ren, Shan; Zhang, Yingfeng; Liu, Yang; Sakao, Tomohiko; Huisingh, Donald; Almeida, Cecilia M. V. B.</t>
  </si>
  <si>
    <t>A comprehensive review of big data analytics throughout product lifecycle to support sustainable smart manufacturing: A framework, challenges and future research directions</t>
  </si>
  <si>
    <t>Big data analytics; Smart manufacturing; Servitization; Sustainable production; Conceptual framework; Product lifecycle</t>
  </si>
  <si>
    <t>SUPPLY CHAIN MANAGEMENT; CYBER-PHYSICAL SYSTEMS; ARTIFICIAL NEURAL-NETWORKS; CLOUD-BASED APPROACH; DATA MINING APPROACH; ENERGY MANAGEMENT; PREDICTIVE ANALYTICS; DECISION-MAKING; FAULT-DIAGNOSIS; COMPETITIVE ADVANTAGE</t>
  </si>
  <si>
    <t>Smart manufacturing has received increased attention from academia and industry in recent years, as it provides competitive advantage for manufacturing companies making industry more efficient and sustainable. As one of the most important technologies for smart manufacturing, big data analytics can uncover hidden knowledge and other useful information like relations between lifecycle decisions and process parameters helping industrial leaders to make more-informed business decisions in complex management environments. However, according to the literature, big data analytics and smart manufacturing were individually researched in academia and industry. To provide theoretical foundations for the research community to further develop scientific insights in applying big data analytics to smart manufacturing, it is necessary to summarize the existing research progress and weakness. In this paper, through combining the key technologies of smart manufacturing and the idea of ubiquitous servitization in the whole lifecycle, the term of sustainable smart manufacturing was coined. A comprehensive overview of big data in smart manufacturing was conducted, and a conceptual framework was proposed from the perspective of product lifecycle. The proposed framework allows analyzing potential applications and key advantages, and the discussion of current challenges and future research directions provides valuable insights for academia and industry. (C) 2018 Elsevier Ltd. All rights reserved.</t>
  </si>
  <si>
    <t>[Ren, Shan; Zhang, Yingfeng] Northwestern Polytech Univ, Key Lab Contemporary Design &amp; Integrated Mfg Tech, Minist Educ, Xian 710072, Shaanxi, Peoples R China; [Zhang, Yingfeng] Northwestern Polytech Univ, Res &amp; Dev Inst Shenzhen, Xian, Shaanxi, Peoples R China; [Liu, Yang; Sakao, Tomohiko] Linkoping Univ, Dept Management &amp; Engn, SE-58183 Linkoping, Sweden; [Liu, Yang] Univ Vaasa, Dept Prod, Vaasa 65200, Finland; [Huisingh, Donald] Univ Tennessee, Inst Secure &amp; Sustainable Environm, Knoxville, TN USA; [Almeida, Cecilia M. V. B.] Univ Paulista, Sao Paulo, Brazil</t>
  </si>
  <si>
    <t>Northwestern Polytechnical University; Northwestern Polytechnical University; Linkoping University; University of Vaasa; University of Tennessee System; University of Tennessee Knoxville; Universidade Paulista</t>
  </si>
  <si>
    <t>Zhang, YF (corresponding author), Northwestern Polytech Univ, Key Lab Contemporary Design &amp; Integrated Mfg Tech, Minist Educ, Xian 710072, Shaanxi, Peoples R China.;Liu, Y (corresponding author), Linkoping Univ, Dept Management &amp; Engn, SE-58183 Linkoping, Sweden.</t>
  </si>
  <si>
    <t>zhangyf@nwpu.edu.cn; yang.liu@liu.se</t>
  </si>
  <si>
    <t>Ren, Shan/HJA-6352-2022; z, y/HPC-0477-2023; Almeida, Cecilia M V B/G-7865-2012; yang, liu/HTN-9175-2023; Sakao, Tomohiko/C-4496-2008; Liu, Yang/C-8320-2013; yang, liu/GVU-8760-2022</t>
  </si>
  <si>
    <t>Sakao, Tomohiko/0000-0002-5991-5542; Liu, Yang/0000-0001-8006-3236; Almeida, Cecilia M V B/0000-0002-0473-906X</t>
  </si>
  <si>
    <t>National Natural Science Foundation of China [51675441]; Fundamental Research Funds for the Central Universities [3102017jc04001]; 111 Project [B13044]; Circularis (Circular Economy through Innovating Design) project - Vinnova - Sweden's innovation agency [2016-03267]; Simon (New Application of Al for Services in Maintenance towards a Circular Economy) project - Vinnova - Sweden's innovation agency [2017-01649]; Vinnova [2016-03267, 2017-01649] Funding Source: Vinnova</t>
  </si>
  <si>
    <t>National Natural Science Foundation of China(National Natural Science Foundation of China (NSFC)); Fundamental Research Funds for the Central Universities(Fundamental Research Funds for the Central Universities); 111 Project(Ministry of Education, China - 111 Project); Circularis (Circular Economy through Innovating Design) project - Vinnova - Sweden's innovation agency(Vinnova); Simon (New Application of Al for Services in Maintenance towards a Circular Economy) project - Vinnova - Sweden's innovation agency(Vinnova); Vinnova(Vinnova)</t>
  </si>
  <si>
    <t>The authors would like to acknowledge the financial supports of National Natural Science Foundation of China (51675441), the Fundamental Research Funds for the Central Universities (3102017jc04001) and the 111 Project Grant (B13044). This research was also supported in part by the Circularis (Circular Economy through Innovating Design) project funded by Vinnova - Sweden's innovation agency (2016-03267) and the Simon (New Application of Al for Services in Maintenance towards a Circular Economy) project funded by Vinnova - Sweden's innovation agency (2017-01649).</t>
  </si>
  <si>
    <t>10.1016/j.jclepro.2018.11.025</t>
  </si>
  <si>
    <t>HI9GF</t>
  </si>
  <si>
    <t>WOS:000456762600121</t>
  </si>
  <si>
    <t>Liu, JM; Chen, WW; Yang, JY; Xiong, H; Chen, C</t>
  </si>
  <si>
    <t>Liu, Junming; Chen, Weiwei; Yang, Jingyuan; Xiong, Hui; Chen, Can</t>
  </si>
  <si>
    <t>Iterative Prediction-and-Optimization for E-Logistics Distribution Network Design</t>
  </si>
  <si>
    <t>INFORMS JOURNAL ON COMPUTING</t>
  </si>
  <si>
    <t>facility location optimization; artificial neural network; heuristic; demand prediction; e-logistics</t>
  </si>
  <si>
    <t>SUPPLY CHAIN MANAGEMENT; FACILITY LOCATION; BENDERS DECOMPOSITION; ALGORITHM; SATISFACTION; ANALYTICS</t>
  </si>
  <si>
    <t>The emergence of online retailers has brought new opportunities to the design of their distribution networks. Notably, for online retailers that do not operate offline stores, their target customers are more sensitive to the quality of logistic services, such as delivery speed and reliability. This paper is motivated by a leading online retailer for cosmetic products on Taobao.com that aimed to improve its logistics efficiency by redesigning its centralized distribution network into a multilevel one. The multilevel distribution network consists of a layer of primary facilities to hold stocks from suppliers and transshipment and a layer of secondary facilities to provide last-mile delivery. There are two major challenges of designing such a facility network. First, online customers can respond signifi-cantly to the change of logistics efficiency with the redesigned network, thereby rendering the network optimized under the original demand distribution suboptimal. Second, because online retailers have relatively small sales volumes and are very flexible in choosing facility locations, the facility candidate set can be large, causing the facility location optimization challenging to solve. To this end, we propose an iterative prediction-and-optimization strategy for distribution network design. Specifically, we first develop an artificial neural network (ANN) to predict customer demands, factoring in the logistic service quality given the network and the city-level purchasing power based on demographic statistics. Then, a mixed integer linear programming (MILP) model is formulated to choose facility locations with minimum transportation, facility setup, and package processing costs. We further develop an efficient two-stage heuristic for computing high-quality solutions to the MILP model, featuring an agglomerative hierarchical clustering algorithm and an expectation and maximization algorithm. Subsequently, the ANN demand predictor and two-stage heuristic are integrated for iterative network design. Finally, using a real-world data set, we validate the demand prediction accuracy and demonstrate the mutual interdependence between the demand and network design. Summary of Contribution: We propose an iterative prediction-and-optimization algorithm for multilevel distribution network design for e-logistics and evaluate its operational value for online retailers. We address the issue of the interplay between distribution network design and the demand distribution using an iterative framework. Further, combining the idea in operational research and data mining, our paper provides an end-to-end solution that can provide accurate predictions of online sales distribution, subsequently solving large-scale optimization problems for distribution network design problems.</t>
  </si>
  <si>
    <t>[Liu, Junming] City Univ Hong Kong, Dept Informat Syst, Hong Kong, Peoples R China; [Chen, Weiwei] Rutgers State Univ, Dept Supply Chain Management, Newark, NJ 07102 USA; [Yang, Jingyuan] George Mason Univ, Informat Syst &amp; Operat Management, Fairfax, VA 22030 USA; [Xiong, Hui; Chen, Can] Rutgers State Univ, Management Sci &amp; Informat Syst, Newark, NJ 07102 USA</t>
  </si>
  <si>
    <t>City University of Hong Kong; Rutgers State University New Brunswick; Rutgers State University Newark; George Mason University; Rutgers State University New Brunswick; Rutgers State University Newark</t>
  </si>
  <si>
    <t>Liu, JM (corresponding author), City Univ Hong Kong, Dept Informat Syst, Hong Kong, Peoples R China.</t>
  </si>
  <si>
    <t>junmiliu@cityu.edu.hk; wchen@business.rutgers.edu; jyang53@gmu.ed; hxiong@rutgers.ed; cc1063@rutgers.edu</t>
  </si>
  <si>
    <t>Liu, Junming/ABB-5441-2021</t>
  </si>
  <si>
    <t>Liu, Junming/0000-0002-9301-0894; Yang, Jingyuan/0000-0003-4852-2724</t>
  </si>
  <si>
    <t>City University of Hong Kong; National Science Foundation NS</t>
  </si>
  <si>
    <t>City University of Hong Kong(City University of Hong Kong); National Science Foundation NS</t>
  </si>
  <si>
    <t>The research work was partially supported by the City University of Hong Kong [Grant and the National Science Foundation NS</t>
  </si>
  <si>
    <t>1091-9856</t>
  </si>
  <si>
    <t>1526-5528</t>
  </si>
  <si>
    <t>INFORMS J COMPUT</t>
  </si>
  <si>
    <t>INFORMS J. Comput.</t>
  </si>
  <si>
    <t>MAR-APR</t>
  </si>
  <si>
    <t>10.1287/ijoc.2021.1107</t>
  </si>
  <si>
    <t>0U5FQ</t>
  </si>
  <si>
    <t>WOS:000708983300001</t>
  </si>
  <si>
    <t>Bhattacharyay, A; Yang, S; Cruz, J; Chakraborty, P; Bhunia, S; Hoque, T</t>
  </si>
  <si>
    <t>Bhattacharyay, Aritra; Yang, Shuo; Cruz, Jonathan; Chakraborty, Prabuddha; Bhunia, Swarup; Hoque, Tamzidul</t>
  </si>
  <si>
    <t>An Automated Framework for Board-Level Trojan Benchmarking</t>
  </si>
  <si>
    <t>IEEE TRANSACTIONS ON COMPUTER-AIDED DESIGN OF INTEGRATED CIRCUITS AND SYSTEMS</t>
  </si>
  <si>
    <t>Trojan horses; Benchmark testing; Taxonomy; Fabrication; Logic gates; Supply chains; Layout; Hardware Trojan; printed circuit board (PCB); trust verification</t>
  </si>
  <si>
    <t>Economic and operational advantages have led the supply chain of printed circuit boards (PCBs) to incorporate various untrusted entities. Any of the untrusted entities are capable of introducing malicious alterations to facilitate a functional failure or leakage of secret information during field operation. While researchers have been investigating the threat of malicious modification within the scale of individual microelectronic components, the possibility of a board-level malicious manipulation has essentially been unexplored. In the absence of standard benchmarking solutions, prospective countermeasures for PCB trust assurance are likely to utilize homegrown representation of the attacks that undermine their evaluation and do not provide scope for comparison with other techniques. In this article, we have developed a benchmarking solution to facilitate an unbiased and comparable evaluation of countermeasures applicable to PCB trust assurance. Based on a taxonomy tailored for PCB-level alterations, we have developed a toolflow for the automatic generation of Trojan benchmarks to facilitate a comprehensive evaluation against a large number of diverse Trojan implementations and application of data mining for trust verification. Using the toolflow, we have developed a suite of custom Trojan benchmarks (i.e., PCB designs with Trojans) containing representative examples of Trojans in the taxonomy inserted in different PCB designs of varying complexity and functionality. Finally, with experimental measurements from a fabricated PCB and structural analysis of netlist, we analyze the stealthiness of the Trojan designs and present the runtime of the tool for a large number of PCB designs.</t>
  </si>
  <si>
    <t>[Bhattacharyay, Aritra; Yang, Shuo; Cruz, Jonathan; Chakraborty, Prabuddha; Bhunia, Swarup; Hoque, Tamzidul] Univ Florida, Dept Elect &amp; Comp Engn, Gainesville, FL 32611 USA; [Hoque, Tamzidul] Univ Kansas, Dept Elect Engn &amp; Comp Sci, Lawrence, KS 66045 USA</t>
  </si>
  <si>
    <t>State University System of Florida; University of Florida; University of Kansas</t>
  </si>
  <si>
    <t>Hoque, T (corresponding author), Univ Kansas, Dept Elect Engn &amp; Comp Sci, Lawrence, KS 66045 USA.</t>
  </si>
  <si>
    <t>hoque@ku.edu</t>
  </si>
  <si>
    <t>Chakraborty, Prabuddha/AAH-3832-2020</t>
  </si>
  <si>
    <t>Hoque, Tamzidul/0000-0002-6845-0361</t>
  </si>
  <si>
    <t>Defense Advanced Research Projects Agency (DARPA) [FA8750-21-1-1001]</t>
  </si>
  <si>
    <t>Defense Advanced Research Projects Agency (DARPA)(United States Department of DefenseDefense Advanced Research Projects Agency (DARPA))</t>
  </si>
  <si>
    <t>This work was supported in part by the Defense Advanced Research Projects Agency (DARPA) under Grant FA8750-21-1-1001.</t>
  </si>
  <si>
    <t>0278-0070</t>
  </si>
  <si>
    <t>1937-4151</t>
  </si>
  <si>
    <t>IEEE T COMPUT AID D</t>
  </si>
  <si>
    <t>IEEE Trans. Comput-Aided Des. Integr. Circuits Syst.</t>
  </si>
  <si>
    <t>10.1109/TCAD.2022.3178643</t>
  </si>
  <si>
    <t>D1PU8</t>
  </si>
  <si>
    <t>WOS:000966518700001</t>
  </si>
  <si>
    <t>Chileshe, N; Rameezdeen, R; Hosseini, MR</t>
  </si>
  <si>
    <t>Chileshe, Nicholas; Rameezdeen, Raufdeen; Hosseini, M. Reza</t>
  </si>
  <si>
    <t>Drivers for adopting reverse logistics in the construction industry: a qualitative study</t>
  </si>
  <si>
    <t>ENGINEERING CONSTRUCTION AND ARCHITECTURAL MANAGEMENT</t>
  </si>
  <si>
    <t>Drivers; Reverse logistics; Construction industry; Cluster analysis; Supply chain management (SCM); South Australia</t>
  </si>
  <si>
    <t>SUPPLY CHAIN MANAGEMENT; LIFE-CYCLE; DECONSTRUCTION; ENTERPRISE; BUILDINGS; RECOVERY; DESIGN</t>
  </si>
  <si>
    <t>Purpose - The purpose of this paper is to investigate and analyse the perceptions of South Australian construction practitioners on drivers affecting the implementation of reverse logistics (RL). In this context, RL is defined as the process of moving goods from their typical final destination for the purpose of capturing value or ensuring proper disposal. Design/methodology/approach - Semi-structured interviews were conducted with eight practitioners to collect data and the interview transcripts were analysed using the NVivo (version 10) package. Cluster analysis was used to cross-validate the findings and provide an in-depth insight into the findings. Findings - The findings indicate that most of the drivers identified in earlier research are relevant for the construction industry. In addition, the study identified some new drivers that are categorised as targeted demands by an exclusive clientele. These drivers were found to be complementary to the economic, environmental and social drivers as previously conceptualised. In addition, a set of factors affecting the strength of drivers that had been overlooked in previous studies emanated from the interview analysis. These include the type of project and the attributes of clients, both of which strongly affect the drivers of RL implementation in construction. Research limitations/implications - The major limitations are the relatively small size of the sample of interviewees and having interviewees from one geographic area with specific socio-economic characteristics. Practical implications - The identified drivers and the clustering of RL themes could be used by practitioners as a road map for the development of appropriate solutions to successfully promote RL within the construction industry. Organisational energies could thus be channelled towards the drivers that need the most improvement. Originality/value - The study contributes to this research sphere by employing cluster analysis to customise and contextualise the drivers that were previously identified. The study goes beyond the extant literature by discovering the prominent effects of these drivers on the impact of targeted demands by an exclusive clientele. This could be of great value in terms of creating avenues for future investigations on the topic.</t>
  </si>
  <si>
    <t>[Chileshe, Nicholas; Rameezdeen, Raufdeen] Univ S Australia, Sch Nat &amp; Built Environm, Adelaide, SA 5001, Australia; [Hosseini, M. Reza] Deakin Univ, Sch Architecture &amp; Built Environm, Geelong, Vic 3217, Australia</t>
  </si>
  <si>
    <t>University of South Australia; Deakin University</t>
  </si>
  <si>
    <t>Chileshe, N (corresponding author), Univ S Australia, Sch Nat &amp; Built Environm, Adelaide, SA 5001, Australia.</t>
  </si>
  <si>
    <t>Nicholas.Chileshe@unisa.edu.au</t>
  </si>
  <si>
    <t>Rameezdeen, Rameez/F-4614-2013; Chileshe, Nicholas/F-5482-2010; Hosseini, M. Reza/AAA-4859-2021</t>
  </si>
  <si>
    <t>Rameezdeen, Rameez/0000-0001-9639-2624; Chileshe, Nicholas/0000-0002-1981-7518; Hosseini, M. Reza/0000-0001-8675-736X</t>
  </si>
  <si>
    <t>0969-9988</t>
  </si>
  <si>
    <t>1365-232X</t>
  </si>
  <si>
    <t>ENG CONSTR ARCHIT MA</t>
  </si>
  <si>
    <t>Eng. Constr. Archit. Manag.</t>
  </si>
  <si>
    <t>10.1108/ECAM-06-2014-0087</t>
  </si>
  <si>
    <t>Engineering, Industrial; Engineering, Civil; Management</t>
  </si>
  <si>
    <t>DJ3XA</t>
  </si>
  <si>
    <t>WOS:000374138800002</t>
  </si>
  <si>
    <t>Carnerud, D; Mårtensson, A; Ahlin, K; Slumpi, TP</t>
  </si>
  <si>
    <t>Carnerud, Daniel; Martensson, Anna; Ahlin, Karin; Slumpi, Thomas Persson</t>
  </si>
  <si>
    <t>On the inclusion of sustainability and digitalisation in quality management - an overview from past to present</t>
  </si>
  <si>
    <t>quality management; total quality management; sustainability; digitalisation; artificial intelligence; sustainable business excellence; sustainable development</t>
  </si>
  <si>
    <t>INFORMATION-TECHNOLOGY; SUPPLY CHAIN; PERFORMANCE; OPERATIONS; BUSINESS; SYSTEMS; IMPLEMENTATION; IMPACT; CYCLE; GENERATION</t>
  </si>
  <si>
    <t>The aim of this study is to explore whether trends in sustainability and digitalisation from the 1980s until today have left any significant practical or epistemological footprints on the quality management paradigm. The study design consists of a mixed-methods approach that applies a data-mining methodology and content analysis to the digital archives of eight scientific journals: six within the quality management (QM) domain and two with a focus on operations management (OM). The data set contains an unbroken time series of over 12,000 research paper abstracts, the first of them published in 1980, giving the study a coverage of almost 40 years. The findings show that sustainability came onto the scholarly scene in 1996 and has since become an increasingly popular research area. In regard to digitalisation, the story is quite different, as the concept is currently absent from the scholarly QM and OM literatures. However, a search for information technology (IT) and information systems (IS) revealed that these topics have been gaining attention since the 1980s. However, it was found that QM research only addresses one part of digitalisation, omitting several interesting dimensions. One example is that the QM and OM literatures address IS mainly in relation to standardised guidelines and business processes within organisations. At the same time, we found a handful of studies combining QM and topics related to modern digitisation, like social media.</t>
  </si>
  <si>
    <t>[Carnerud, Daniel; Martensson, Anna] Mid Sweden Univ, Dept Qual Technol &amp; Management &amp; Mech Engn, Ostersund, Sweden; [Ahlin, Karin; Slumpi, Thomas Persson] Mid Sweden Univ, Dept Comp &amp; Syst Sci, Ostersund, Sweden</t>
  </si>
  <si>
    <t>Mid-Sweden University; Mid-Sweden University</t>
  </si>
  <si>
    <t>Carnerud, D (corresponding author), Mid Sweden Univ, Dept Qual Technol &amp; Management &amp; Mech Engn, Ostersund, Sweden.</t>
  </si>
  <si>
    <t>daniel.carnerud@miun.se</t>
  </si>
  <si>
    <t>Mårtensson, Anna/IWD-9630-2023; Ahlin, Karin/R-9503-2019; Carnerud, Daniel/C-2944-2015</t>
  </si>
  <si>
    <t>Mårtensson, Anna/0000-0001-8609-6290; Ahlin, Karin/0000-0003-4051-6960; Carnerud, Daniel/0000-0002-8839-2816; Persson Slumpi, Thomas/0000-0002-6593-909X</t>
  </si>
  <si>
    <t>European Union; Interreg Sweden-Norway programme</t>
  </si>
  <si>
    <t>European Union(European Union (EU)); Interreg Sweden-Norway programme</t>
  </si>
  <si>
    <t>The authors thank the European Union and the Interreg Sweden-Norway programme for supporting this research. The study was conducted as part of the SMICE project, which aims to accelerate the circular economy and sustainable development in the Mid-Nordic region.</t>
  </si>
  <si>
    <t>2020 NOV 27</t>
  </si>
  <si>
    <t>10.1080/14783363.2020.1848422</t>
  </si>
  <si>
    <t>OW0VH</t>
  </si>
  <si>
    <t>WOS:000592615400001</t>
  </si>
  <si>
    <t>Kavinesan, K; Sugumar, G; Chrisolite, B; Muthiahsethupathy, A; Sudarshan, S; Parthiban, F; Mansoor, M</t>
  </si>
  <si>
    <t>Kavinesan, Kumar; Sugumar, Gopalrajan; Chrisolite, Bagthasingh; Muthiahsethupathy, Andiappan; Sudarshan, Shanmugam; Parthiban, Fathiraja; Mansoor, Mohamed</t>
  </si>
  <si>
    <t>Phenotypic and genotypic characterization of pathogenic Escherichia coli identified in resistance mapping of β-lactam drug-resistant isolates from seafood along Tuticorin coast</t>
  </si>
  <si>
    <t>Seafood; STEC; Pathogenic E. coli; ESBL; Hemolytic activity; MDR; XDR</t>
  </si>
  <si>
    <t>ANTIMICROBIAL RESISTANCE; ANTIBIOTIC-RESISTANCE; MICROBIOLOGICAL QUALITY; EXTENDED-SPECTRUM; STREPTOCOCCUS-AGALACTIAE; MOLECULAR EPIDEMIOLOGY; KLEBSIELLA-PNEUMONIAE; VIRULENCE PROPERTIES; INTESTINAL MUCUS; UNITED-STATES</t>
  </si>
  <si>
    <t>The ubiquity of pathogenic E. coli isolate possessing antimicrobial resistance was investigated in seafood samples procured from major seafood supply chain markets established for export and domestic consumption along Tuticorin coast. Out of 63 seafood samples examined, 29 (46%) were found to be contaminated by pathogenic E. coli harbouring one or more genes of virulent potential. Based on virulome profiling, 9.55% of isolates belonged to enterotoxigenic E. coli (ETEC), 8.08% to enteroaggregative E. coli (EAEC), 7.35% to enterohemorrhagic E. coli (EHEC), 2.20% to enteropathogenic E. coli (EPEC), and 2.20% to uropathogenic E. coli (UPEC). All the 34 virulome positive and haemolytic pathogenic E. coli have been serogrouped as O119, O76, O18, O134, O149, O120, O114, O25, O55, O127, O6, O78, O83, O17 and clinically significant O111, O121, O84, O26, O103, and O104 (non-O157 STEC) serotypes in this study. Multi-drug resistance (MDR) (&gt;= 3 antibiotic classes/sub-classes) was exhibited in 38.23% of the pathogenic E. coli, and 17.64% were extensive drug resistant (XDR). Extended spectrum of beta-lactamase (ESBL) genotypes were confirmed in 32.35% isolates and 20.63% isolates harboured ampC gene. One sample (Penaeus semisulcatus) collected from landing centre (L1) harboured all ESBL genotypes bla(CTX-M), bla(SHV), bla(TEM), and ampC genes. Hierarchical clustering of isolates revealed the separation of ESBL isolates into three clusters and non-ESBL isolates into three clusters based on phenotypic and genotypic variations. Based on dendrogram analysis on antibiotic efficacy pattern, carbapenems and beta-lactam inhibitor drugs are the best available treatment for ESBL and non-ESBL infections. This study emphasizes the significance of comprehensive surveillance of pathogenic E. coli serogroups that pose serious threat to public health and compliance of AMR antimicrobial resistant genes in seafood that hinder seafood supply chain.</t>
  </si>
  <si>
    <t>[Kavinesan, Kumar; Chrisolite, Bagthasingh; Parthiban, Fathiraja; Mansoor, Mohamed] TNJFU Fisheries Coll &amp; Res Inst, Thoothukudi 628008, Tamil Nadu, India; [Sugumar, Gopalrajan] Tamil Nadu Dr JJayalalithaa Fisheries Univ, Nagapattinam 611002, Tamil Nadu, India; [Muthiahsethupathy, Andiappan] TNJFU Dr MGR Fisheries Coll &amp; Res Inst, ,, Ponneri 601204, Tamil Nadu, India; [Sudarshan, Shanmugam] TNJFU Dr MGR Fisheries Coll &amp; Res Inst, Thalainayeru 614712, Tamil Nadu, India</t>
  </si>
  <si>
    <t>Chrisolite, B (corresponding author), TNJFU Fisheries Coll &amp; Res Inst, Thoothukudi 628008, Tamil Nadu, India.</t>
  </si>
  <si>
    <t>kavinesankumar@gmail.com; chrisolite.b@gmail.com</t>
  </si>
  <si>
    <t>Shanmugam, Sudarshan/GLR-7004-2022</t>
  </si>
  <si>
    <t>Shanmugam, Sudarshan/0000-0003-1513-1858; Fathiraja, Parthiban/0000-0002-9079-2085</t>
  </si>
  <si>
    <t>10.1007/s11356-023-27008-y</t>
  </si>
  <si>
    <t>I0DA9</t>
  </si>
  <si>
    <t>WOS:000983703400014</t>
  </si>
  <si>
    <t>Dyntar, J; Strachotová, D; Botek, M</t>
  </si>
  <si>
    <t>Dyntar, Jakub; Strachotova, Dana; Botek, Marek</t>
  </si>
  <si>
    <t>ADJUSTING DIRECT DISTANCE TO ROAD FOR V4 COUNTRIES</t>
  </si>
  <si>
    <t>ACTA LOGISTICA</t>
  </si>
  <si>
    <t>geographical information system; data mining; vehicle routing; distribution; supply chain management</t>
  </si>
  <si>
    <t>This article describes the determination of the direct distance correction factor that reflects the actual density of the road network in V4 countries. V4 countries are the Czech Republic (CZ), Slovakia (SK), Poland (PL) and Hungary (HUN). No correction factors reflecting road density among major population places were still available for V4 countries. Three-level administrative classification and data from statistical offices concerning population density on 31 December 2017 was used. In MS-Excel was designed functions for obtaining coordinates of selected places and road distances using queries to Web Map Service Google Maps (WMS). Road distances obtained by queries represent the fastest connection on the road. The great-circle distance and spherical triangle were used to calculate direct distances from coordinates. The places were selected using ABC analysis based on the population sample and it was reduced so that the monthly limit of queries to WMS was not exceeded. The obtained values of correction factors can be used in vehicle routing. For the smallest classification items, in CZ, for 273 places with a population of over 5 000, the average values of the correction factor (kavg) range between 1.277 and 1.326. In SK, for 245 places with a population of over 3 000, kavg ranges between 1.424 and 1.446. In PL, for 376 places with a population of over 20 000, kavg ranges between 1.206 and 1.285. Finally, in HUN, for 287 places with a population of over 5 000, kavg ranges between 1.301 and 1.345.</t>
  </si>
  <si>
    <t>[Dyntar, Jakub] Tech Univ Liberec, Fac Econ, Dept Business Adm &amp; Management, Voronezska 13, Liberec 46001, Czech Republic; [Strachotova, Dana; Botek, Marek] Univ Chem &amp; Technol Prague, Dept Econ &amp; Management, Tech 5, Prague 16628 6, Czech Republic</t>
  </si>
  <si>
    <t>Technical University Liberec; University of Chemistry &amp; Technology, Prague</t>
  </si>
  <si>
    <t>Botek, M (corresponding author), Univ Chem &amp; Technol Prague, Dept Econ &amp; Management, Tech 5, Prague 16628 6, Czech Republic.</t>
  </si>
  <si>
    <t>jakub.dyntar@tul.cz; strachod@vscht.cz; botekm@vscht.cz</t>
  </si>
  <si>
    <t>Dyntar, Jakub/HDN-5719-2022</t>
  </si>
  <si>
    <t>Botek, Marek/0000-0002-5941-3040</t>
  </si>
  <si>
    <t>4S go, s.r.o</t>
  </si>
  <si>
    <t>Semsa</t>
  </si>
  <si>
    <t>Semsa 24, Semsa, SLOVAKIA</t>
  </si>
  <si>
    <t>1339-5629</t>
  </si>
  <si>
    <t>Acta Logistica</t>
  </si>
  <si>
    <t>10.22306/al.v7i2.161</t>
  </si>
  <si>
    <t>VL4LG</t>
  </si>
  <si>
    <t>WOS:000848732500003</t>
  </si>
  <si>
    <t>Dagiliene, L; Bruneckiene, J; Varaniute, V; Lukauskas, M</t>
  </si>
  <si>
    <t>Dagiliene, Lina; Bruneckiene, Jurgita; Varaniute, Viktorija; Lukauskas, Mantas</t>
  </si>
  <si>
    <t>The circular economy for sustainable development: implementation strategies in advanced small open economies</t>
  </si>
  <si>
    <t>INTERNATIONAL JOURNAL OF ENVIRONMENT AND SUSTAINABLE DEVELOPMENT</t>
  </si>
  <si>
    <t>circular economy; CE; strategy; small open economy; SOEs; implementation; principal components analysis; PCA; indicators</t>
  </si>
  <si>
    <t>COUNTRIES; CHINA</t>
  </si>
  <si>
    <t>Sustainable development and circular economy (CE) policy perspectives are growing in importance. However, there is little empirical research about the implementation of a CE or a critical review of its indicators at the country level. Using an institutional approach, this paper explores CE implementation strategies in advanced small open economies (SOEs) in the European Union (EU). We used a principal components analysis (PCA) and a clustering analysis based on data from the EU monitoring framework for the CE, specifically 13 small open economies from 2010-2017. The main findings reveal three CE implementation strategies correlated with CE development stages: integrated to value chain, focused on institutional compliance and fragmented profiles. Surprisingly, we found no evidence for the expansion of CE-related sectors based upon persons employed, value added or gross investments. This topic deserves further investigation, with important implications for future research and policymaking.</t>
  </si>
  <si>
    <t>[Dagiliene, Lina; Bruneckiene, Jurgita; Varaniute, Viktorija] Kaunas Univ Technol, Sch Econ &amp; Business, Gedimino St 50, LT-44239 Kaunas, Lithuania; [Lukauskas, Mantas] Kaunas Univ Technol, Fac Math &amp; Nat Sci, Studentu Str 50, LT-51368 Kaunas, Lithuania</t>
  </si>
  <si>
    <t>Kaunas University of Technology; Kaunas University of Technology</t>
  </si>
  <si>
    <t>Varaniute, V (corresponding author), Kaunas Univ Technol, Sch Econ &amp; Business, Gedimino St 50, LT-44239 Kaunas, Lithuania.</t>
  </si>
  <si>
    <t>jurgita.bruneckiene@ktu.lt; viktorija.varaniute@ktu.lt; mantas.lukauskas@ktu.lt</t>
  </si>
  <si>
    <t>Research Council of Lithuania (LMTLT) [S-MIP-19-38]</t>
  </si>
  <si>
    <t>Research Council of Lithuania (LMTLT)(Research Council of Lithuania (LMTLT))</t>
  </si>
  <si>
    <t>This work was supported by the Research Council of Lithuania (LMTLT), contract no. S-MIP-19-38 under the project title Circular economy modelling and empowerment perspective in small open economy (CEMESOE).</t>
  </si>
  <si>
    <t>1474-6778</t>
  </si>
  <si>
    <t>1478-7466</t>
  </si>
  <si>
    <t>INT J ENVIRON SUSTAI</t>
  </si>
  <si>
    <t>Int. J. Environ. Sustain. Dev.</t>
  </si>
  <si>
    <t>10.1504/IJESD.2023.127425</t>
  </si>
  <si>
    <t>6U5HA</t>
  </si>
  <si>
    <t>WOS:000894396500004</t>
  </si>
  <si>
    <t>Zhao, K; Kumar, A</t>
  </si>
  <si>
    <t>Zhao, Kang; Kumar, Akhil</t>
  </si>
  <si>
    <t>Who blogs what: understanding the publishing behavior of bloggers</t>
  </si>
  <si>
    <t>WORLD WIDE WEB-INTERNET AND WEB INFORMATION SYSTEMS</t>
  </si>
  <si>
    <t>blogosphere; topical profile; specialist; generalist; publishing behavior; blogger clustering</t>
  </si>
  <si>
    <t>EVOLUTION; NETWORKS</t>
  </si>
  <si>
    <t>Are bloggers' topical coverages related to their contributions, impacts, and publishing styles in the blogosphere? We investigated this question by grouping bloggers on the basis of their topical coverages and comparing their publishing behaviors. From a blog website with more than 370,000 posts, we first identified two types of bloggers: specialists and generalists. Then we studied and compared their respective publishing behaviors in the blogosphere. Our analysis suggested that bloggers with different topical coverages do behave in different ways. Specialists generally make more contributions than generalists. Specialists also tend to publish more on weekdays, during business hours, and on a more regular basis. We also revealed that specialists also have different publishing behaviors, with only a small fraction creating a large buzz or producing a voluminous output. As blogs start to gain more business value, an extensive analysis like ours can help various stakeholders in the blogosphere maximize their share of the value chain.</t>
  </si>
  <si>
    <t>[Zhao, Kang] Univ Iowa, Dept Management Sci, Tippie Coll Business, Iowa City, IA 52242 USA; [Kumar, Akhil] Penn State Univ, Smeal Coll Business, University Pk, PA 16802 USA</t>
  </si>
  <si>
    <t>University of Iowa; Pennsylvania Commonwealth System of Higher Education (PCSHE); Pennsylvania State University; Pennsylvania State University - University Park</t>
  </si>
  <si>
    <t>Zhao, K (corresponding author), Univ Iowa, Dept Management Sci, Tippie Coll Business, S210 John Pappajohn Bus Bldg, Iowa City, IA 52242 USA.</t>
  </si>
  <si>
    <t>kangzhao7@gmail.com; akhilkumar@psu.edu</t>
  </si>
  <si>
    <t>Zhao, Kang/0000-0002-8321-2804</t>
  </si>
  <si>
    <t>1386-145X</t>
  </si>
  <si>
    <t>1573-1413</t>
  </si>
  <si>
    <t>WORLD WIDE WEB</t>
  </si>
  <si>
    <t>World Wide Web</t>
  </si>
  <si>
    <t>10.1007/s11280-012-0167-3</t>
  </si>
  <si>
    <t>231QQ</t>
  </si>
  <si>
    <t>WOS:000325432800005</t>
  </si>
  <si>
    <t>Negara, ES; Andryani, R; Erlansyah, D; Syaputra, R</t>
  </si>
  <si>
    <t>Negara, Edi Surya; Andryani, Ria; Erlansyah, Deni; Syaputra, Rezki</t>
  </si>
  <si>
    <t>Analysis of Indonesian Motorcycle Gang with Social Network Approach</t>
  </si>
  <si>
    <t>Social network; data mining; data analytics; community detection; motorcycle gang</t>
  </si>
  <si>
    <t>Analysis of motorcycle gang networks in Indonesia was conducted to determine the dynamics of the motor gang network. This analysis is needed by the government in making appropriate and effective policies in overcoming social problems caused by the existence of this group. The purpose of this study is to detect and determine the community structure of motorcycle gang networks in Indonesia through the use of big data available on the internet, especially social media. This research also utilizes several approaches such as social and behavioral sciences, as well as the computer technology in understanding and finding solutions to problems that arise in society. This study uses a social network analysis method as an instrument that will reveal the social structure of motorcycle gangs with a network centrality approach and community detection. This research succeeded in finding the network structure pattern and network insight of motorcycle gangs by finding the most influential actors. The study also found 25 motorcycle gang groups with high-value network interactions and these groups had more than 2000 active members on social media. In the biker gang social network analysis, the most influential actor has 531 degrees with a weighted degree of 1557.</t>
  </si>
  <si>
    <t>[Negara, Edi Surya; Andryani, Ria; Erlansyah, Deni; Syaputra, Rezki] Univ Bina Darma, Data Sci Interdisciplinary Res Ctr, Fac Comp Sci, Palembang, Indonesia</t>
  </si>
  <si>
    <t>Negara, ES (corresponding author), Univ Bina Darma, Data Sci Interdisciplinary Res Ctr, Fac Comp Sci, Palembang, Indonesia.</t>
  </si>
  <si>
    <t>Negara, Edi Surya/AAC-6723-2021</t>
  </si>
  <si>
    <t>Negara, Edi Surya/0000-0002-6387-2813</t>
  </si>
  <si>
    <t>PQ8WK</t>
  </si>
  <si>
    <t>WOS:000606823500025</t>
  </si>
  <si>
    <t>Feng, YX; Zhang, H; Rad, S; Yu, XZ</t>
  </si>
  <si>
    <t>Feng, Yu-Xi; Zhang, Hua; Rad, Saeed; Yu, Xiao-Zhang</t>
  </si>
  <si>
    <t>Visual analytic hierarchical process for in situ identification of leakage risk in urban water distribution network</t>
  </si>
  <si>
    <t>SUSTAINABLE CITIES AND SOCIETY</t>
  </si>
  <si>
    <t>AHP model; Water supply network; Virtual DMA; Leakage zone identification; Clustering</t>
  </si>
  <si>
    <t>GIS; MANAGEMENT; DISTRICT; MODEL; AHP</t>
  </si>
  <si>
    <t>Assessment and early warning of leakage risk in the water distribution network are important for securing urban sustainable development. However, the identification of high leakage areas in urban water distribution networks lacks visual model-driven approaches. In the current study, the model parameters of the water distribution network (i.e., leakage point density, pipe age and material, road load, and average pressure of the pipe network) were collected in Haidian Island, Hainan Province, China as a case. The virtual district metering area (V-DMA) was used to modularize the water distribution network. A visual analytic hierarchical process (V-AHP) based on the V-DMA was established for identifying the leakage high-risk areas in the V-DMA. The first and second-level discriminant matrices (i.e., subjective and objective weights, respectively) were calculated based on the model parameters. Integration of V-AHP with V-DMA reveals insight into high leakage areas of urban water distribution networks, which was consistent with in-situ observations. Overall, this study provides a simple, efficient, and practically applicable method for identifying the leakage areas in water distribution networks.</t>
  </si>
  <si>
    <t>[Feng, Yu-Xi; Zhang, Hua; Rad, Saeed; Yu, Xiao-Zhang] Guilin Univ Technol, Coll Environm Sci Engn, Guilin 541004, Peoples R China</t>
  </si>
  <si>
    <t>Guilin University of Technology</t>
  </si>
  <si>
    <t>Yu, XZ (corresponding author), Guilin Univ Technol, Coll Environm Sci Engn, Guilin 541004, Peoples R China.</t>
  </si>
  <si>
    <t>xzyu@glut.edu.cn</t>
  </si>
  <si>
    <t>Natural Science Foundation of Guangxi [2018GXNSFDA281024]</t>
  </si>
  <si>
    <t>Natural Science Foundation of Guangxi(National Natural Science Foundation of Guangxi Province)</t>
  </si>
  <si>
    <t>This work is financially supported by the Natural Science Foundation of Guangxi (No. 2018GXNSFDA281024).</t>
  </si>
  <si>
    <t>2210-6707</t>
  </si>
  <si>
    <t>2210-6715</t>
  </si>
  <si>
    <t>SUSTAIN CITIES SOC</t>
  </si>
  <si>
    <t>Sust. Cities Soc.</t>
  </si>
  <si>
    <t>10.1016/j.scs.2021.103297</t>
  </si>
  <si>
    <t>Construction &amp; Building Technology; Green &amp; Sustainable Science &amp; Technology; Energy &amp; Fuels</t>
  </si>
  <si>
    <t>Construction &amp; Building Technology; Science &amp; Technology - Other Topics; Energy &amp; Fuels</t>
  </si>
  <si>
    <t>WN6OW</t>
  </si>
  <si>
    <t>WOS:000711887500001</t>
  </si>
  <si>
    <t>Zhang, C; Wu, H; Bie, RF; Mehmood, R; Kos, A</t>
  </si>
  <si>
    <t>Zhang, Chao; Wu, Hao; Bie, Rongfang; Mehmood, Rashid; Kos, Anton</t>
  </si>
  <si>
    <t>Dynamic Modeling of Failure Events in Preventative Pipe Maintenance</t>
  </si>
  <si>
    <t>Point process; pipe failure prediction; event series modeling</t>
  </si>
  <si>
    <t>STATISTICAL-MODELS; PREDICTION</t>
  </si>
  <si>
    <t>Urban water supply network is ubiquitous and indispensable to city dwellers, especially in the era of global urbanization. Preventative maintenance of water pipes, especially in urban-scale networks, thus becomes a vital importance. To achieve this goal, failure prediction that aims to pro-actively pinpoint those most-risky-to-fail'' pipes becomes critical and has been attracting wide attention from government, academia, and industry. Different from classification-, regression-, or ranking-based methods, this paper adopts a point process-based framework that incorporates both the past failure event data and individual pipe-specific pro file including physical, environmental, and operational covariants. In particular, based on a common wisdom of previous work that the failure event sequences typically exhibit temporal clustering distribution, we use mutual-exciting point process to model such triggering effects for different failure types. Our system is deployed as a platform commissioned by the water agency in a metropolitan city in Asia, and achieves state-of-the-art performance on an urban-scale pipe network. Our model is generic and thus can be applied to other industrial scenarios for event prediction.</t>
  </si>
  <si>
    <t>[Zhang, Chao; Wu, Hao; Bie, Rongfang; Mehmood, Rashid] Beijing Normal Univ, Coll Informat Sci &amp; Technol, Beijing 100875, Peoples R China; [Zhang, Chao] IBM Res China, Beijing 100085, Peoples R China; [Kos, Anton] Univ Ljubljana, Fac Elect Engn, Ljubljana 1000, Slovenia</t>
  </si>
  <si>
    <t>Beijing Normal University; International Business Machines (IBM); University of Ljubljana</t>
  </si>
  <si>
    <t>Wu, H (corresponding author), Beijing Normal Univ, Coll Informat Sci &amp; Technol, Beijing 100875, Peoples R China.</t>
  </si>
  <si>
    <t>wuhao@bnu.edu.cn</t>
  </si>
  <si>
    <t>Mehmood, Rashid/GLV-4450-2022</t>
  </si>
  <si>
    <t>Mehmood, Rashid/0000-0002-3488-9413; Kos, Anton/0000-0001-6234-8561</t>
  </si>
  <si>
    <t>National Natural Science Foundation of China [61571049, 61601033, 61401029, 11401028, 61472044]</t>
  </si>
  <si>
    <t>This work was supported by the National Natural Science Foundation of China under Grant 61571049, Grant 61601033, Grant 61401029, Grant 11401028, and Grant 61472044.</t>
  </si>
  <si>
    <t>10.1109/ACCESS.2018.2806340</t>
  </si>
  <si>
    <t>GA8MQ</t>
  </si>
  <si>
    <t>WOS:000428594800001</t>
  </si>
  <si>
    <t>Shi, QW; Ren, H; Ma, XR; Xiao, YQ</t>
  </si>
  <si>
    <t>Shi, Qingwei; Ren, Hong; Ma, Xianrui; Xiao, Yanqing</t>
  </si>
  <si>
    <t>Site selection of construction waste recycling plant</t>
  </si>
  <si>
    <t>Construction waste; Reverse logistics; Location optimization; Genetic algorithm</t>
  </si>
  <si>
    <t>OPERATIONS-RESEARCH; SUPPLY CHAIN; MANAGEMENT; NETWORK; MODEL; UNCERTAINTY; SYSTEM</t>
  </si>
  <si>
    <t>Under the background of the development of construction waste recycling in China, optimizing the site of construction waste recycling and disposal plant is important, considering not only the cost of construction waste recycling but also the impact on the surrounding environment. This study aims to minimize the cost and negative environmental effects. In order to find the best method to solve the problem of multiobjective function optimization, we propose a multiobjective location model which combines genetic algorithm with probabilistic robust optimization. The model first uses genetic algorithm to get preliminary result and then it uses probabilistic robust optimization to find the optimal solution. The preliminary results show that 1, 3, 5 of the candidate sites more cost-effective and environmentally friendly than other. The fitness value converges at a stable value of 1.55 x 10(-5), and the Pareto optimal frontier presents considerable clustering characteristics, which prove the rationality and operability of the site selection optimization model. Meanwhile, the robust model analysis under the given uncertain environment achieves the purpose of further optimization of the site. The research results can provide the government with a theoretical basis for the site selection of construction and demolition waste recycling plants. (C) 2019 Elsevier Ltd. All rights reserved.</t>
  </si>
  <si>
    <t>[Shi, Qingwei; Ren, Hong; Ma, Xianrui] Chongqing Univ, Sch Construct Management &amp; Real Estate, Chongqing 400045, Peoples R China; [Xiao, Yanqing] Guangzhou Univ, Sch Business Adm, Guangzhou 510006, Guangdong, Peoples R China</t>
  </si>
  <si>
    <t>Chongqing University; Guangzhou University</t>
  </si>
  <si>
    <t>Ma, XR (corresponding author), Chongqing Univ, Sch Construct Management &amp; Real Estate, Chongqing 400045, Peoples R China.</t>
  </si>
  <si>
    <t>shiqw2014@163.com; renhong@cqu.edu.cn; shiqw@cqu.edu.cn; xiaoyaqing@e.gzhu.edu.cn</t>
  </si>
  <si>
    <t>Fundamental Research Funds (RMB) for the Central Universities [2019CDSKXYJSG0047]; National Natural Science Foundation of China [71801024]</t>
  </si>
  <si>
    <t>Fundamental Research Funds (RMB) for the Central Universities; National Natural Science Foundation of China(National Natural Science Foundation of China (NSFC))</t>
  </si>
  <si>
    <t>We are truly grateful to editor and other reviewers' critical comments and suggestions. The authors would like to acknowledge Fundamental Research Funds (RMB) for the Central Universities (No.2019CDSKXYJSG0047) and the National Natural Science Foundation of China (No.71801024).</t>
  </si>
  <si>
    <t>10.1016/j.jclepro.2019.04.252</t>
  </si>
  <si>
    <t>IC4MJ</t>
  </si>
  <si>
    <t>WOS:000470939600050</t>
  </si>
  <si>
    <t>Zarghami, SA</t>
  </si>
  <si>
    <t>Zarghami, Seyed Ashkan</t>
  </si>
  <si>
    <t>A reflection on the impact of the COVID-19 pandemic on Australian businesses: Toward a taxonomy of vulnerabilities</t>
  </si>
  <si>
    <t>INTERNATIONAL JOURNAL OF DISASTER RISK REDUCTION</t>
  </si>
  <si>
    <t>Business; Cluster analysis; COVID-19 (coronavirus) pandemic; Resilience; Vulnerability</t>
  </si>
  <si>
    <t>SUPPLY CHAIN RESILIENCE; DISRUPTIONS; INNOVATION; ENTROPY</t>
  </si>
  <si>
    <t>The extant literature paints a grim picture of the COVID-19 impact on businesses around the world. However, in neither case has there been an attempt to evaluate the disproportionate impacts of the pandemic on the operation of different business sectors. To remedy this situation, this study utilises a cluster analysis to develop a taxonomy of vulnerabilities based on the industry-specific vulnerability indicators for 83 business sectors in the economy of Australia. The proposed taxonomy groups businesses into three clusters, labelled as vulnerable to business to people (B2P), vulnerable to business networking, and vulnerable to external factors. The differing vulnerability of businesses to the recent pandemic raises a fundamental question about how best to build resilience to reduce vulnerabilities. Built on the vulnerability characteristics identified in the taxonomy, this article suggests factors that contribute to the resilience of businesses in each cluster. Further, the present paper develops a novel validation method to demonstrate the goodness of the clustering results. Business leaders and government officials might draw considerable assistance from the taxonomy of vulnerabilities presented herein to build more resilient businesses to crises.</t>
  </si>
  <si>
    <t>[Zarghami, Seyed Ashkan] Australian Natl Univ, Canberra, ACT, Australia</t>
  </si>
  <si>
    <t>Australian National University</t>
  </si>
  <si>
    <t>Zarghami, SA (corresponding author), Australian Natl Univ, Canberra, ACT, Australia.</t>
  </si>
  <si>
    <t>ashkan.zarghami@anu.edu.au</t>
  </si>
  <si>
    <t>2212-4209</t>
  </si>
  <si>
    <t>INT J DISAST RISK RE</t>
  </si>
  <si>
    <t>Int. J. Disaster Risk Reduct.</t>
  </si>
  <si>
    <t>10.1016/j.ijdrr.2021.102496</t>
  </si>
  <si>
    <t>Geosciences, Multidisciplinary; Meteorology &amp; Atmospheric Sciences; Water Resources</t>
  </si>
  <si>
    <t>Geology; Meteorology &amp; Atmospheric Sciences; Water Resources</t>
  </si>
  <si>
    <t>US4PS</t>
  </si>
  <si>
    <t>WOS:000697413900001</t>
  </si>
  <si>
    <t>Bai, CG; Shi, BF; Liu, F; Sarkis, J</t>
  </si>
  <si>
    <t>Bai, Chunguang; Shi, Baofeng; Liu, Feng; Sarkis, Joseph</t>
  </si>
  <si>
    <t>Banking credit worthiness: Evaluating the complex relationships</t>
  </si>
  <si>
    <t>Or in banking; Credit risk; Fuzzy rough-set; Fuzzy C-means; Farmers; China</t>
  </si>
  <si>
    <t>FUZZY C-MEANS; ROUGH SET; MODEL; INVESTMENT; LOANS; PREDICTION; MANAGEMENT; SYSTEMS; FIRMS; AHP</t>
  </si>
  <si>
    <t>In developing economies agriculture and farming play crucial roles for economic sustainable development. Farmer credit risk evaluation is an important issue when determining financial support to farmers, improving agricultural supply chain performance, and ensuring profitability of financial institutions. Credit risk evaluation, or creditworthiness, is not a trivial exercise due to various complexities. Honoring complexity is necessary to effectively evaluate and predict farmer creditworthiness. A methodology using fuzzy rough-set theory and fuzzy C-means clustering is used to evaluate and investigate the complex relationships between farmer characteristics, competitive environmental factors, and farmer credit level. The methodology is detailed using actual bank data from 2044 farmers within China. This empirical methodology generates decision rules that provide insight to more complex relationships than can be found through standard econometric multivariate approaches. A rule-based methodological outcome can be used to predict the creditworthiness of farmers and to aid in agricultural loan decision making. Prediction accuracy of the rule-base was 81.16%. A central finding is that education and skills related characteristics are important for determining farmer credit-worthiness. Other implications are presented along with study limitations and future research directions. (C) 2018 Elsevier Ltd. All rights reserved.</t>
  </si>
  <si>
    <t>[Bai, Chunguang] Univ Elect Sci &amp; Technol China, Sch Management &amp; Econ, 2006 Xiyuan Av, Chengdu 611731, Sichuan, Peoples R China; [Shi, Baofeng] Northwest A&amp;F Univ, Coll Econ &amp; Management, 3 TaiCheng Rd, Yangling 712100, Shaanxi, Peoples R China; [Liu, Feng] Dongbei Univ Finance &amp; Econ, Sch Management Sci &amp; Engn, Jianshan St 217, Dalian 116025, Peoples R China; [Sarkis, Joseph] Worcester Polytech Inst, Sch Business, 100 Inst Rd, Worcester, MA 01609 USA</t>
  </si>
  <si>
    <t>University of Electronic Science &amp; Technology of China; Northwest A&amp;F University - China; Dongbei University of Finance &amp; Economics; Worcester Polytechnic Institute</t>
  </si>
  <si>
    <t>Bai, CG (corresponding author), Univ Elect Sci &amp; Technol China, Sch Management &amp; Econ, 2006 Xiyuan Av, Chengdu 611731, Sichuan, Peoples R China.;Shi, BF (corresponding author), Northwest A&amp;F Univ, Coll Econ &amp; Management, 3 TaiCheng Rd, Yangling 712100, Shaanxi, Peoples R China.</t>
  </si>
  <si>
    <t>chunguang.bai@gmail.com; shibaofeng@nwsuaf.edu.cn; drliufeng@mail.dlut.edu.cn; jsarkis@WPl.edu</t>
  </si>
  <si>
    <t>Bai, Chunguang April/E-3296-2012; Sarkis, Joseph/F-4508-2014</t>
  </si>
  <si>
    <t>Bai, Chunguang April/0000-0002-9461-1632; Sarkis, Joseph/0000-0003-0143-804X; Shi, Baofeng/0000-0003-1244-5886; Liu, Feng/0000-0001-8773-0775</t>
  </si>
  <si>
    <t>National Natural Science Foundation of China [71772032, 71503199, 71502026, 714720311]; Key Projects of National Natural Science Foundation of China [71731003]; Credit Risks Evaluation and Loan Pricing for Petty Loan Funded for the Head Office of Post Savings Bank of China [2009-07]; Youth Talent Cultivation Program of Northwest AF University [Z109021717]</t>
  </si>
  <si>
    <t>National Natural Science Foundation of China(National Natural Science Foundation of China (NSFC)); Key Projects of National Natural Science Foundation of China(National Natural Science Foundation of China (NSFC)); Credit Risks Evaluation and Loan Pricing for Petty Loan Funded for the Head Office of Post Savings Bank of China; Youth Talent Cultivation Program of Northwest AF University</t>
  </si>
  <si>
    <t>The research was supported by National Natural Science Foundation of China (Nos. 71772032, 71503199, 71502026, 714720311, the Key Projects of National Natural Science Foundation of China (No. 71731003), the Credit Risks Evaluation and Loan Pricing for Petty Loan Funded for the Head Office of Post Savings Bank of China (No. 2009-07), the Youth Talent Cultivation Program of Northwest A&amp;F University (No. Z109021717).</t>
  </si>
  <si>
    <t>10.1016/j.omega.2018.02.001</t>
  </si>
  <si>
    <t>HG6CK</t>
  </si>
  <si>
    <t>WOS:000455068400003</t>
  </si>
  <si>
    <t>Chen, L; Hendalianpour, A; Feylizadeh, MR; Xu, HY</t>
  </si>
  <si>
    <t>Chen, Lu; Hendalianpour, Ayad; Feylizadeh, Mohammad Reza; Xu, Haiyan</t>
  </si>
  <si>
    <t>Factors Affecting the Use of Blockchain Technology in Humanitarian Supply Chain: A Novel Fuzzy Large-Scale Group-DEMATEL</t>
  </si>
  <si>
    <t>GROUP DECISION AND NEGOTIATION</t>
  </si>
  <si>
    <t>Blockchain technology; Humanitarian supply chains; Fuzzy sets; Large-scale group-DEMATEL</t>
  </si>
  <si>
    <t>Based on previous evidence, the use of blockchain for improving Supply Chains (SCs) regarding humanitarian projects has received attention over the past five years. The present study is innovative in investigating crucial parameters affecting the using of Blockchain Technology (BT) in Humanitarian Supply Chains (HSCs). More precisely, this study emphasizes parameters that affect blockchain in the HSCs and presents a new fuzzy large-scale group decision-making trial and evaluation laboratory (fuzzy large-scale group-DEMATEL) approach to analyze the interdependence of contributing factors for using BT in HSCs. This method consists of two stages: (1) clustering the large-scale group-experts into small subgroups by their characteristics, and (2) identifying the key factors affecting BT in HSCs with a novel fuzzy large-scale group-DEMATEL approach. According to experts, in this study, among the 25 evaluated factors, disintermediation has been identified as the most important one, followed by anonymity and security. A closer look reveals that 13 and 12 factors have been cause and effect factors, respectively. Our research can be used to promote the effectiveness of using BT in HSCs, so as to promote the proper distribution of relief materials in practical disasters.</t>
  </si>
  <si>
    <t>[Chen, Lu; Xu, Haiyan] Nanjing Univ Aeronaut &amp; Astronaut, Coll Econ &amp; Management, Nanjing 211106, Jiangsu, Peoples R China; [Hendalianpour, Ayad] Soshianest Enterprise Miner, N Vancouver, BC V7N2J7, Canada; [Feylizadeh, Mohammad Reza] Islamic Azad Univ, Shiraz Branch, Dept Ind Engn, Shiraz, Iran</t>
  </si>
  <si>
    <t>Nanjing University of Aeronautics &amp; Astronautics; Islamic Azad University</t>
  </si>
  <si>
    <t>Xu, HY (corresponding author), Nanjing Univ Aeronaut &amp; Astronaut, Coll Econ &amp; Management, Nanjing 211106, Jiangsu, Peoples R China.</t>
  </si>
  <si>
    <t>chenlu@nuaa.edu.cn; hendalianpour@ut.ac.ir; feylizadeh_mr@yahoo.com; xuhaiyan@nuaa.edu.cn</t>
  </si>
  <si>
    <t>Hendalianpour, Ayad/P-8313-2016</t>
  </si>
  <si>
    <t>Hendalianpour, Ayad/0000-0003-3923-1124; chen, lu/0000-0002-4070-7903</t>
  </si>
  <si>
    <t>National Natural Science Foundation of China (NSFC) [71971115, 61673209, 72001096]</t>
  </si>
  <si>
    <t>National Natural Science Foundation of China (NSFC)(National Natural Science Foundation of China (NSFC))</t>
  </si>
  <si>
    <t>AcknowledgementsThis work was supported by the National Natural Science Foundation of China (NSFC) (Grant Nos. 71971115, 61673209 and 72001096).</t>
  </si>
  <si>
    <t>0926-2644</t>
  </si>
  <si>
    <t>1572-9907</t>
  </si>
  <si>
    <t>GROUP DECIS NEGOT</t>
  </si>
  <si>
    <t>Group Decis. Negot.</t>
  </si>
  <si>
    <t>10.1007/s10726-022-09811-z</t>
  </si>
  <si>
    <t>9J5OH</t>
  </si>
  <si>
    <t>WOS:000913737700001</t>
  </si>
  <si>
    <t>Ji, SW; Wang, XJ; Zhao, WP; Guo, D</t>
  </si>
  <si>
    <t>Ji, Shouwen; Wang, Xiaojing; Zhao, Wenpeng; Guo, Dong</t>
  </si>
  <si>
    <t>An Application of a Three-Stage XGBoost-Based Model to Sales Forecasting of a Cross-Border E-Commerce Enterprise</t>
  </si>
  <si>
    <t>TIME-SERIES; ALGORITHM; DEMAND; ARIMA</t>
  </si>
  <si>
    <t>Sales forecasting is even more vital for supply chain management in e-commerce with a huge amount of transaction data generated every minute. In order to enhance the logistics service experience of customers and optimize inventory management, e-commerce enterprises focus more on improving the accuracy of sales prediction with machine learning algorithms. In this study, a C-A-XGBoost forecasting model is proposed taking sales features of commodities and tendency of data series into account, based on the XGBoost model. A C-XGBoost model is first established to forecast for each cluster of the resulting clusters based on two-step clustering algorithm, incorporating sales features into the C-XGBoost model as influencing factors of forecasting. Secondly, an A-XGBoost model is used to forecast the tendency with the ARIMA model for the linear part and the XGBoost model for the nonlinear part. The final results are summed by assigning weights to forecasting results of the C-XGBoost and A-XGBoost models. By comparison with the ARIMA, XGBoost, C-XGBoost, and A-XGBoost models using data from Jollychic cross-border e-commerce platform, the C-A-XGBoost is proved to outperform than other four models.</t>
  </si>
  <si>
    <t>[Ji, Shouwen; Wang, Xiaojing] Beijing Jiaotong Univ, Sch Traff &amp; Transportat, Beijing 100044, Peoples R China; [Zhao, Wenpeng] Beijing Capital Int Airport Co Ltd, Beijing 100621, Peoples R China; [Guo, Dong] Beijing Univ Civil Engn &amp; Architecture, Sch Mech Elect &amp; Vehicle Engn, Beijing 102600, Peoples R China</t>
  </si>
  <si>
    <t>Beijing Jiaotong University; Beijing University of Civil Engineering &amp; Architecture</t>
  </si>
  <si>
    <t>Wang, XJ (corresponding author), Beijing Jiaotong Univ, Sch Traff &amp; Transportat, Beijing 100044, Peoples R China.</t>
  </si>
  <si>
    <t>17120889@bjtu.edu.cn</t>
  </si>
  <si>
    <t>WANG, Xiaojing/0000-0002-2052-9417</t>
  </si>
  <si>
    <t>National Key R&amp;D Program of China through the China Development Research Foundation (CDRF) - Ministry of Science and Technology [CDRF-SQ2017YFGH002106]</t>
  </si>
  <si>
    <t>National Key R&amp;D Program of China through the China Development Research Foundation (CDRF) - Ministry of Science and Technology</t>
  </si>
  <si>
    <t>This research was supported by the National Key R&amp;D Program of China through the China Development Research Foundation (CDRF) funded by the Ministry of Science and Technology (CDRF-SQ2017YFGH002106).</t>
  </si>
  <si>
    <t>SEP 16</t>
  </si>
  <si>
    <t>10.1155/2019/8503252</t>
  </si>
  <si>
    <t>JB3LY</t>
  </si>
  <si>
    <t>WOS:000488460000001</t>
  </si>
  <si>
    <t>Kim, K; Jung, J; Kim, HS; Haraguchi, M; Kim, S</t>
  </si>
  <si>
    <t>Kim, Kyunghun; Jung, Jaewon; Kim, Hung Soo; Haraguchi, Masahiko; Kim, Soojun</t>
  </si>
  <si>
    <t>Rainfall pattern analysis in 24 East Asian megacities using a complex network</t>
  </si>
  <si>
    <t>HYDROLOGY AND EARTH SYSTEM SCIENCES</t>
  </si>
  <si>
    <t>PRECIPITATION; TELECONNECTIONS; ANOMALIES; SOUTH; VARIABILITY; DYNAMICS; PACIFIC</t>
  </si>
  <si>
    <t>Concurrent floods in multiple locations pose systemic risks to the interconnected economy in East Asia via supply chain disruptions. Despite these significant economic impacts, understanding of the interconnection between rainfall patterns in the region is still currently limited. Here, we analyzed the spatial dependence of the rainfall patterns of 24 megacities in the region using complex analysis theory and discussed the technique's applicability. Each city and rainfall similarity were represented by a node and a link, respectively. Vital-node identification and clustering analysis were conducted using adjacency information entropy and multiresolution community detection. The results of vital-node identification analysis show that high-ranking nodes are cities that are located near main vapor providers in East Asia. Using multiresolution community detection, the groups were clustered to reflect the spatial characteristics of the climate. In addition, the climate links between each group were identified using cross-mutual information considering the delay time for each group. We found a strong bond between Northeast China and the southern Indochinese Peninsula and verified that the links between each group originated from the summer climate characteristics of East Asia. The results of the study show that complex network analysis could be a valuable method for analyzing the spatial relationships between climate factors.</t>
  </si>
  <si>
    <t>[Kim, Kyunghun; Kim, Hung Soo; Kim, Soojun] INHA Univ, Dept Civil Engn, Incheon 22212, South Korea; [Jung, Jaewon] Korea Inst Civil Engn &amp; Bldg Technol, Dept Hydro Sci &amp; Engn Res, Gyeonggi Do 10223, South Korea; [Haraguchi, Masahiko] Res Inst Humanity &amp; Nat, Kyoto 6038047, Japan</t>
  </si>
  <si>
    <t>Inha University; Korea Institute of Civil Engineering &amp; Building Technology (KICT); Research Institute for Humanity &amp; Nature (RIHN)</t>
  </si>
  <si>
    <t>Kim, S (corresponding author), INHA Univ, Dept Civil Engn, Incheon 22212, South Korea.</t>
  </si>
  <si>
    <t>sk325@inha.ac.kr</t>
  </si>
  <si>
    <t>Haraguchi, Masahiko/0000-0002-3250-5746; Kim, Kyunghun/0000-0002-1844-502X</t>
  </si>
  <si>
    <t>Ministry of the Interior and Safety [2021MOIS36-002]</t>
  </si>
  <si>
    <t>Ministry of the Interior and Safety(Ministry of the Interior &amp; Safety (MOIS), Republic of Korea)</t>
  </si>
  <si>
    <t>=This research has been supported by the Ministry of the Interior and Safety (grant no. 2021-MOIS36-002).</t>
  </si>
  <si>
    <t>COPERNICUS GESELLSCHAFT MBH</t>
  </si>
  <si>
    <t>GOTTINGEN</t>
  </si>
  <si>
    <t>BAHNHOFSALLEE 1E, GOTTINGEN, 37081, GERMANY</t>
  </si>
  <si>
    <t>1027-5606</t>
  </si>
  <si>
    <t>1607-7938</t>
  </si>
  <si>
    <t>HYDROL EARTH SYST SC</t>
  </si>
  <si>
    <t>Hydrol. Earth Syst. Sci.</t>
  </si>
  <si>
    <t>OCT 4</t>
  </si>
  <si>
    <t>10.5194/hess-26-4823-2022</t>
  </si>
  <si>
    <t>Geosciences, Multidisciplinary; Water Resources</t>
  </si>
  <si>
    <t>Geology; Water Resources</t>
  </si>
  <si>
    <t>5B5OM</t>
  </si>
  <si>
    <t>WOS:000863618800001</t>
  </si>
  <si>
    <t>Suleiman, Z; Shaikholla, S; Dikhanbayeva, D; Shehab, E; Turkyilmaz, A</t>
  </si>
  <si>
    <t>Suleiman, Zhanybek; Shaikholla, Sabit; Dikhanbayeva, Dinara; Shehab, Essam; Turkyilmaz, Ali</t>
  </si>
  <si>
    <t>Industry 4.0: Clustering of concepts and characteristics</t>
  </si>
  <si>
    <t>COGENT ENGINEERING</t>
  </si>
  <si>
    <t>Industry 4.0; digitalization; cyber-physical systems; technology; enablers; clusters</t>
  </si>
  <si>
    <t>SUPPLY CHAIN MANAGEMENT; GLOBAL VALUE CHAINS; DIGITAL TRANSFORMATION; MASS PERSONALIZATION; FUTURE; FRAMEWORK; TECHNOLOGIES; SYSTEM; IMPLEMENTATION; SMES</t>
  </si>
  <si>
    <t>The Fourth Industrial Revolution, also known as Industry 4.0, stems from the rapid advancement of digital technologies such as the Internet of Things and Cyber-Physical Production Systems. It has the potential to weave positive changes to firms and impact organizational structure layers. Therefore, it provides an impetus for the collaboration of factories, suppliers, and customers. Nevertheless, due to the difference of Industry 4.0 vision among companies, there is a lack of unified perception and approach of its implementation roadmap. Therefore, many firms in both developed and developing countries that step in the way of digital transformation encounter not only organizational, technological, and operational challenges but are also compelled to cope with a large deal of confusion. Hence, this paper aims to identify the main concepts, characteristics, and technology enablers related to Industry 4.0 to provide stakeholders with a clear understanding of this paradigm. It then clusters and matches the derived concepts and characteristics associated with Industry 4.0. Further, the paper provides an analysis of how these clusters are supported by technology enablers of Industry 4.0, as well as managerial implications.</t>
  </si>
  <si>
    <t>[Suleiman, Zhanybek; Dikhanbayeva, Dinara; Shehab, Essam; Turkyilmaz, Ali] Nazarbayev Univ, Sch Engn &amp; Digital Sci, Nur Sultan, Kazakhstan</t>
  </si>
  <si>
    <t>Nazarbayev University</t>
  </si>
  <si>
    <t>Turkyilmaz, A (corresponding author), Nazarbayev Univ, Sch Engn &amp; Digital Sci, Nur Sultan, Kazakhstan.</t>
  </si>
  <si>
    <t>ali.turkyilmaz@nu.edu.kz</t>
  </si>
  <si>
    <t>Turkyilmaz, Ali/U-2726-2018</t>
  </si>
  <si>
    <t>Turkyilmaz, Ali/0000-0001-5461-7610</t>
  </si>
  <si>
    <t>Nazarbayev University Research Grants [240919FD3919]</t>
  </si>
  <si>
    <t>Nazarbayev University Research Grants</t>
  </si>
  <si>
    <t>This research has been supported by Nazarbayev University Research Grants, [240919FD3919] under Industry 4.0 Assessment of SMEs in Kazakhstan project.</t>
  </si>
  <si>
    <t>TAYLOR &amp; FRANCIS AS</t>
  </si>
  <si>
    <t>OSLO</t>
  </si>
  <si>
    <t>KARL JOHANS GATE 5, NO-0154 OSLO, NORWAY</t>
  </si>
  <si>
    <t>2331-1916</t>
  </si>
  <si>
    <t>COGENT ENG</t>
  </si>
  <si>
    <t>Cogent Eng.</t>
  </si>
  <si>
    <t>10.1080/23311916.2022.2034264</t>
  </si>
  <si>
    <t>ZE1OF</t>
  </si>
  <si>
    <t>WOS:000758659000001</t>
  </si>
  <si>
    <t>Cavicchioli, M; Kocollari, U</t>
  </si>
  <si>
    <t>Cavicchioli, Maddalena; Kocollari, Ulpiana</t>
  </si>
  <si>
    <t>Learning from Failure: Big Data Analysis for Detecting the Patterns of Failure in Innovative Startups</t>
  </si>
  <si>
    <t>BIG DATA</t>
  </si>
  <si>
    <t>big data techniques; cluster analysis; factor analysis; failure patterns; innovative startups</t>
  </si>
  <si>
    <t>SUPPLY CHAIN; MANAGEMENT; BANKRUPTCY; ANALYTICS; GROWTH; UPS</t>
  </si>
  <si>
    <t>This article aims at identifying appropriate models for analyzing large datasets to serve a twofold goal: first, to better understand the dynamics impacting innovative startups' performance and their managerial practice and, second, to detect their patterns of failure. Therefore, we investigate the interaction of economic-financial, context, and governance dimensions of 4185 Italian innovative startups created from 2012 to 2015. Once startups have been grouped, we focus only on those that are unsuccessful. Then, failure patterns have been uncovered, integrating the use of factor and cluster analysis, where factor scores for each firm are used to identify a set of homogeneous groups based on clustering methods. The integrated use of those large-dimensional data techniques permits to classify items in rigorous ways and to unfold structures of the data, which are not apparent in the beginning. The analysis suggests that each pattern of failure is a multidimensional construct and, as a consequence can generate different managerial implications. Therefore, an effective handling of failure requires management to use appropriate interventions targeted at the challenges faced by that particular pattern of failure in the age of different firms.</t>
  </si>
  <si>
    <t>[Cavicchioli, Maddalena; Kocollari, Ulpiana] Univ Modena &amp; Reggio Emilia, Dept Econ Marco Biagi, Viale Berengario 51, I-41121 Modena, Italy; [Cavicchioli, Maddalena] ReCent, Viale Berengario 51, I-41121 Modena, Italy; [Kocollari, Ulpiana] Softech ICT, Modena, Italy</t>
  </si>
  <si>
    <t>Universita di Modena e Reggio Emilia</t>
  </si>
  <si>
    <t>Cavicchioli, M (corresponding author), Univ Modena &amp; Reggio Emilia, Dept Econ Marco Biagi, Viale Berengario 51, I-41121 Modena, Italy.;Cavicchioli, M (corresponding author), ReCent, Viale Berengario 51, I-41121 Modena, Italy.</t>
  </si>
  <si>
    <t>maddalena.cavicchioli@unimore.it</t>
  </si>
  <si>
    <t>Ulpiana, Kocollari/AAJ-3759-2021; CAVICCHIOLI, MADDALENA/HCH-7248-2022</t>
  </si>
  <si>
    <t>Ulpiana, Kocollari/0000-0003-4643-7673; CAVICCHIOLI, MADDALENA/0000-0001-7125-8111</t>
  </si>
  <si>
    <t>Fondo di Ateneo per la Ricerca'' FAR research grant of the University of Modena and Reggio Emilia, Italy</t>
  </si>
  <si>
    <t>Maddalena Cavicchioli acknowledges financial support by Fondo di Ateneo per la Ricerca'' FAR (2019) research grant of the University of Modena and Reggio Emilia, Italy.</t>
  </si>
  <si>
    <t>MARY ANN LIEBERT, INC</t>
  </si>
  <si>
    <t>NEW ROCHELLE</t>
  </si>
  <si>
    <t>140 HUGUENOT STREET, 3RD FL, NEW ROCHELLE, NY 10801 USA</t>
  </si>
  <si>
    <t>2167-6461</t>
  </si>
  <si>
    <t>2167-647X</t>
  </si>
  <si>
    <t>BIG DATA-US</t>
  </si>
  <si>
    <t>Big Data</t>
  </si>
  <si>
    <t>10.1089/big.2020.0047</t>
  </si>
  <si>
    <t>Computer Science, Interdisciplinary Applications; Computer Science, Theory &amp; Methods</t>
  </si>
  <si>
    <t>RN9RN</t>
  </si>
  <si>
    <t>WOS:000595030500001</t>
  </si>
  <si>
    <t>Dong, ZG; Zhang, LC; Li, HJ; Gong, YH; Jiang, Y; Peng, QM</t>
  </si>
  <si>
    <t>Dong, Zhengai; Zhang, Lichen; Li, Houjian; Gong, Yanhui; Jiang, Yue; Peng, Qiumei</t>
  </si>
  <si>
    <t>Knowledge Mapping and Institutional Prospects on Circular Carbon Economy Based on Scientometric Analysis</t>
  </si>
  <si>
    <t>INTERNATIONAL JOURNAL OF ENVIRONMENTAL RESEARCH AND PUBLIC HEALTH</t>
  </si>
  <si>
    <t>circular carbon economy; scientometric analysis; institutional prospects</t>
  </si>
  <si>
    <t>LIFE-CYCLE ASSESSMENT; SUPPLY CHAIN; WASTE; TRANSITION; ENERGY; EMISSIONS; SYSTEM; CHINA; GAS; MANAGEMENT</t>
  </si>
  <si>
    <t>The circular carbon economy is receiving increasing research attention as an essential tool for reducing carbon emissions and mitigating climate change. However, there is no research on the literature distribution and the current situation of the circular carbon economy studies. This paper presents a scientometric analysis of 1452 academic papers on the circular carbon economy and their references from 2010-2021 using the Citespace visualization network. The results show that research on the circular carbon economy has experienced a relatively gradual growth from 2010 to 2016, followed by an explosive growth from 2016 to 2021. Research cooperation among countries is close, forming a relatively concentrated cooperation network, while the core author group has not yet formed. Furthermore, the research on circular carbon economy strongly correlates with relevant international hotspots and national policy changes, reflecting the instrumental characteristics of circular carbon economy research. We summarized three main research topics through keywords clustering. In addition, we point out the future research directions from technical progress considering industry differences and cooperation, multiple environmental policies and legal system construction, interregional and international cooperation, etc., from an institutional research perspective. This article provides an essential and valuable reference for related research.</t>
  </si>
  <si>
    <t>[Dong, Zhengai; Zhang, Lichen; Gong, Yanhui; Jiang, Yue; Peng, Qiumei] Chongqing Univ, Sch Law, Chongqing 400044, Peoples R China; [Li, Houjian] Sichuan Agr Univ, Coll Econ, Chengdu 611130, Peoples R China</t>
  </si>
  <si>
    <t>Chongqing University; Sichuan Agricultural University</t>
  </si>
  <si>
    <t>Dong, ZG (corresponding author), Chongqing Univ, Sch Law, Chongqing 400044, Peoples R China.;Li, HJ (corresponding author), Sichuan Agr Univ, Coll Econ, Chengdu 611130, Peoples R China.</t>
  </si>
  <si>
    <t>dongzhengai@cqu.edu.cn; 14159@sicau.edu.cn</t>
  </si>
  <si>
    <t>Li, Houjian/0000-0003-4852-8042</t>
  </si>
  <si>
    <t>Fundamental Research Funds for the Central Universities [2021CDJSKJC29]</t>
  </si>
  <si>
    <t>Fundamental Research Funds for the Central Universities(Fundamental Research Funds for the Central Universities)</t>
  </si>
  <si>
    <t>Project No. 2019CDSKXYFX0040 supported by the Fundamental Research Funds for the Central Universities, Project No. 2021CDJSKJC29 supported by the Fundamental Research Funds for the Central Universities.</t>
  </si>
  <si>
    <t>1660-4601</t>
  </si>
  <si>
    <t>INT J ENV RES PUB HE</t>
  </si>
  <si>
    <t>Int. J. Environ. Res. Public Health</t>
  </si>
  <si>
    <t>10.3390/ijerph191912508</t>
  </si>
  <si>
    <t>Environmental Sciences; Public, Environmental &amp; Occupational Health</t>
  </si>
  <si>
    <t>Environmental Sciences &amp; Ecology; Public, Environmental &amp; Occupational Health</t>
  </si>
  <si>
    <t>5H9GV</t>
  </si>
  <si>
    <t>WOS:000867980000001</t>
  </si>
  <si>
    <t>Wichaisri, S; Sopadang, A</t>
  </si>
  <si>
    <t>Wichaisri, Sooksiri; Sopadang, Apichat</t>
  </si>
  <si>
    <t>Trends and Future Directions in Sustainable Development</t>
  </si>
  <si>
    <t>sustainable development; clustering research; environmental policy; stakeholder engagement; co-citation analysis</t>
  </si>
  <si>
    <t>SUPPLY-CHAIN MANAGEMENT; CORPORATE SOCIAL-RESPONSIBILITY; ENVIRONMENTAL-MANAGEMENT; REVERSE LOGISTICS; FIRM PERFORMANCE; DESIGN; CRITERIA; NETWORK; BOTTOM; COLLABORATION</t>
  </si>
  <si>
    <t>This study aims to explore research and to identify research clusters on sustainable development by using bibliometric analysis. The sustainable development field is examined using the selected research articles. A co-citation unit is used to analyze the relationship between cited documents, and then science mapping is used to identify clusters in this relationship. The results show that there are four main distinct clusters, of which the most important concerns sustainable supply chains and logistics management. This cluster is then classified into five bunches of knowledge sources. These bunches illustrate the need for a trend in sustainability issues that includes a social dimension to balance economic and environmental dimensions for long-term development. There are logistics management and lean concepts that can be applied to sustainable development to move toward business sustainability. The future direction of sustainable business concerns economic values, environmental policy and stakeholder engagement for business opportunities. The contribution of this article is to identify trends in sustainable development by means of bibliometric analysis, to develop research in the future. Copyright (c) 2017 John Wiley &amp; Sons, Ltd and ERP Environment</t>
  </si>
  <si>
    <t>[Wichaisri, Sooksiri; Sopadang, Apichat] Chiang Mai Univ, Fac Engn, Dept Ind Engn, Excellence Ctr Logist &amp; Supply Chain Management, Chiang Mai, Thailand</t>
  </si>
  <si>
    <t>Chiang Mai University</t>
  </si>
  <si>
    <t>Sopadang, A (corresponding author), Chiang Mai Univ, Fac Engn, Dept Ind Engn, Excellence Ctr Logist &amp; Supply Chain Management, Chiang Mai, Thailand.</t>
  </si>
  <si>
    <t>sopadang@gmail.com</t>
  </si>
  <si>
    <t>Sopadang, Apichat/AAD-2545-2020</t>
  </si>
  <si>
    <t>Sopadang, Apichat/0000-0003-2407-4779</t>
  </si>
  <si>
    <t>Excellence Center in Logistics and Supply Chain Management (E-LSCM), Chiang Mai University; Thailand Research Fund through the Royal Golden Jubilee PhD Program [PHD/0122/2553]</t>
  </si>
  <si>
    <t>Excellence Center in Logistics and Supply Chain Management (E-LSCM), Chiang Mai University; Thailand Research Fund through the Royal Golden Jubilee PhD Program(Thailand Research Fund (TRF))</t>
  </si>
  <si>
    <t>The authors gratefully acknowledge the Excellence Center in Logistics and Supply Chain Management (E-LSCM), Chiang Mai University, for supporting this research work. The Thailand Research Fund provided financial support through the Royal Golden Jubilee PhD Program (Grant No PHD/0122/2553) to Sooksiri Wichaisri and Associate Professor Apichat Sopadang.</t>
  </si>
  <si>
    <t>10.1002/sd.1687</t>
  </si>
  <si>
    <t>FV2JO</t>
  </si>
  <si>
    <t>WOS:000424392200001</t>
  </si>
  <si>
    <t>Giorgetti, A; Arcidiacono, G; Ciappi, A; Barbieri, R; Citti, P</t>
  </si>
  <si>
    <t>Giorgetti, Alessandro; Arcidiacono, Gabriele; Ciappi, Andrea; Barbieri, Riccardo; Citti, Paolo</t>
  </si>
  <si>
    <t>HNCR model following robust approach</t>
  </si>
  <si>
    <t>non-conformities detection; quality control; root cause analysis</t>
  </si>
  <si>
    <t>This paper introduces a new model for Non-Conformity Management, aimed at overcoming the limitations occurring when dealing with Non-Conformities through traditional methods like Root Cause Analysis. The need to suggest a new approach to Non-Conformities Management is connected to those situations where a large variety of Non-Conformities is recorded, with a significant number of low-impacting ones; addressing them directly through methods like Root Cause Analysis would often be not economically viable. In this context, the paper discusses Holistic Non-Conformities Reduction (HNCR) approach as a suitable option to address this kind of business situations. In particular, the contribution of this paper is related to the development of HNCR model and the evaluation of how to properly structure the model and the flow that shall be followed. By clustering Non-Conformities into flexible categories to be easily modified, expanded and rearranged through time, the HNCR model allows to identify new critical Non-Conformity families, otherwise hardly detectable. A proof of concept relative to HNCR deployment is presented: 2 different scenarios are introduced, the first being the Non-Conformities management within the extended supply chain of a large pharmaceutical distribution centre, while the second deals with Non-Conformities in the context of a company's new programs development.</t>
  </si>
  <si>
    <t>[Giorgetti, Alessandro; Arcidiacono, Gabriele; Ciappi, Andrea; Citti, Paolo] Guglielmo Marconi Univ, Dept Innovat &amp; Informat Engn, Rome, Italy; [Barbieri, Riccardo] Univ Florence, Dept Ind Engn, Florence, Italy</t>
  </si>
  <si>
    <t>Guglielmo Marconi University; University of Florence</t>
  </si>
  <si>
    <t>Giorgetti, A (corresponding author), Guglielmo Marconi Univ, Dept Innovat &amp; Informat Engn, Rome, Italy.</t>
  </si>
  <si>
    <t>a.giorgetti@unimarconi.it</t>
  </si>
  <si>
    <t>Giorgetti, Alessandro/O-1136-2013</t>
  </si>
  <si>
    <t>Giorgetti, Alessandro/0000-0002-8232-1523; Arcidiacono, Gabriele/0000-0002-7712-1009; Citti, Paolo/0000-0002-3066-5105</t>
  </si>
  <si>
    <t>10.1002/qre.2324</t>
  </si>
  <si>
    <t>GU0TW</t>
  </si>
  <si>
    <t>WOS:000444966500022</t>
  </si>
  <si>
    <t>Reiter, O; Stehrer, R</t>
  </si>
  <si>
    <t>Reiter, Oliver; Stehrer, Robert</t>
  </si>
  <si>
    <t>Assessing the importance of risky products in international trade and global value chains</t>
  </si>
  <si>
    <t>EMPIRICA</t>
  </si>
  <si>
    <t>Supply chains; Vulnerability; Resilience; Robustness; Global extraction method</t>
  </si>
  <si>
    <t>The COVID-19 pandemic has thrown the world's economy and trade into disarray, putting international reliance in the limelight. This sparked debate on the durability and resilience of global value chains. In this paper, we construct a 'product riskiness indicator' for 4700 globally traded products based on components such as market concentration, clustering tendencies, network centrality of players, or international substitutability to determine which products are vulnerable to trade shocks at the global level - referred to as 'risky' products. In a second step, bilateral risky product imports are matched to multi-country input-output tables, allowing for an examination of the importance of globally supplied risky products by country and industry. Due to the high percentage of dangerous products in high-tech product categories, higher-tech industries are more vulnerable to supply-chain vulnerabilities. Third, we analyse the GDP impact of reshoring using a partial global extraction method.  Assuming that risky product imports from non-EU27 nations are re-shored to EU27 countries, the EU27 GDP might rise by up to 0.5 percent. Non-EU27 countries suffer as a result of such reshoring activity. This implies that ensuring robust or at least resilient supply networks is also in the interest of the supplier countries and sectors.</t>
  </si>
  <si>
    <t>[Reiter, Oliver; Stehrer, Robert] Vienna Inst Int Econ Studies Wiiw, Rahlgasse 3, A-1060 Vienna, Austria</t>
  </si>
  <si>
    <t>Vienna Institute for International Economic Studies</t>
  </si>
  <si>
    <t>Reiter, O (corresponding author), Vienna Inst Int Econ Studies Wiiw, Rahlgasse 3, A-1060 Vienna, Austria.</t>
  </si>
  <si>
    <t>reiter@wiiw.ac.at</t>
  </si>
  <si>
    <t>Reiter, Oliver/0000-0001-6338-5428; Stehrer, Robert/0000-0002-4120-4953</t>
  </si>
  <si>
    <t>Austrian Federal Ministry for Digital and Economic Affairs</t>
  </si>
  <si>
    <t>The research leading to these results received funding from the Austrian Federal Ministry for Digital and Economic Affairs under the contract Lehren aus der Corona-Krise: Towards a Risk-adjusted Trade Policy</t>
  </si>
  <si>
    <t>0340-8744</t>
  </si>
  <si>
    <t>1573-6911</t>
  </si>
  <si>
    <t>Empirica</t>
  </si>
  <si>
    <t>10.1007/s10663-022-09560-x</t>
  </si>
  <si>
    <t>8P5PB</t>
  </si>
  <si>
    <t>WOS:000905509400001</t>
  </si>
  <si>
    <t>Ma, ZJ; Yang, XB; Miao, RL</t>
  </si>
  <si>
    <t>Ma, Zhijun; Yang, Xiaobei; Miao, Ruili</t>
  </si>
  <si>
    <t>A Big Data-Driven Risk Assessment Method Using Machine Learning for Supply Chains in Airport Economic Promotion Areas</t>
  </si>
  <si>
    <t>JOURNAL OF CIRCUITS SYSTEMS AND COMPUTERS</t>
  </si>
  <si>
    <t>Big data; risk assessment; machine learning; supply chains</t>
  </si>
  <si>
    <t>With the rapid development of economic globalization, population, capital and information are rapidly flowing and clustering between regions. As the most important transportation mode in the high-speed transportation systems, airports are playing an increasingly important role in promoting regional economic development, yielding a number of airport economic promotion areas. To boost effective development management of these areas, accurate risk assessment through data analysis is quite important. Thus in this paper, the idea of ensemble learning is utilized to propose a big data-driven assessment model for supply chains in airport economic promotion areas. In particular, we combine two aspects of data from different sources: (1) national economic statistics and enterprise registration data from the Bureau of Industry and Commerce; (2) data from the Civil Aviation Administration of China and other multi-source data. On this basis, an integrated ensemble learning method is constructed to quantitatively analyze the supply chain security characteristics in domestic airport economic area, providing important support for the security of supply chains in airport economic area. Finally, some experiments are conducted on synthetic data to evaluate the method investigated in this paper, which has proved its efficiency and practice.</t>
  </si>
  <si>
    <t>[Ma, Zhijun] Zhengzhou Univ Aeronaut, Sch Management Engn, Zhengzhou 450046, Peoples R China; [Yang, Xiaobei] Henan Finance Univ, Sch Tourism Management, Zhengzhou 450046, Peoples R China; [Miao, Ruili] Zhengzhou Sias Univ, Sch Business, Zhengzhou 451150, Peoples R China</t>
  </si>
  <si>
    <t>Zhengzhou University of Aeronautics; Henan Finance University</t>
  </si>
  <si>
    <t>Yang, XB (corresponding author), Henan Finance Univ, Sch Tourism Management, Zhengzhou 450046, Peoples R China.</t>
  </si>
  <si>
    <t>zhijunma@zua.edu.cn; yangxiaobei@hafu.edu.cn; gary_2000@126.com</t>
  </si>
  <si>
    <t>Ma, Zhijun/0000-0002-3877-2036</t>
  </si>
  <si>
    <t>Henan Soft Science Research Project [222400410413]</t>
  </si>
  <si>
    <t>Henan Soft Science Research Project</t>
  </si>
  <si>
    <t>This work was supported by the Henan Soft Science Research Project under Grant No. 222400410413.</t>
  </si>
  <si>
    <t>0218-1266</t>
  </si>
  <si>
    <t>1793-6454</t>
  </si>
  <si>
    <t>J CIRCUIT SYST COMP</t>
  </si>
  <si>
    <t>J. Circuits Syst. Comput.</t>
  </si>
  <si>
    <t>10.1142/S0218126623501700</t>
  </si>
  <si>
    <t>I7NO9</t>
  </si>
  <si>
    <t>WOS:000938040800003</t>
  </si>
  <si>
    <t>Besana, A; Esposito, A</t>
  </si>
  <si>
    <t>Besana, Angela; Esposito, Annamaria</t>
  </si>
  <si>
    <t>Tourism curricula, entrepreneurial engagement and stakeholders' satisfaction: economics and relationship marketing of universities</t>
  </si>
  <si>
    <t>EURASIAN BUSINESS REVIEW</t>
  </si>
  <si>
    <t>Economics; Marketing; University; Tourism; Entrepreneurs; Satisfaction</t>
  </si>
  <si>
    <t>HIGHER-EDUCATION; PERFORMANCE</t>
  </si>
  <si>
    <t>Today universities face a very competitive arena and the stakeholders' engagement and satisfaction, they are both essential in order to gain and consolidate the competitive advantage. The entrepreneurial engagement involves, first of all, work placements. The entrepreneurial engagement and satisfaction can be investigated through questionnaires, interviews and, if the satisfaction is high, the advocacy for the university can imply sponsorships and partnerships for research. Relationship marketing becomes a priority in order to manage relationships with stakeholders and to create a competitive edge for the university. The entrepreneurial engagement is evident in all above-mentioned practices in tourism curricula in the Italian university. The aim of the paper is cluster analysis of satisfaction of 100 entrepreneurs of the tourism industry who supplied stages for a Milan University students in 2013 and 2014. These entrepreneurs replied to questionnaires, so that they revealed their satisfaction for students. K-means clustering gave evidence to the diversification of the supply chain and to entrepreneurs' satisfaction about students' knowledge, relationship skills, willingness-to-learn and overall satisfaction. The most crowded cluster includes hotels, travel agencies, administrations and not-for-profits. This cluster signals the highest satisfaction of work placement-tutors.</t>
  </si>
  <si>
    <t>[Besana, Angela; Esposito, Annamaria] IULM Univ, Milan, Italy</t>
  </si>
  <si>
    <t>IULM International University Languages &amp; Media</t>
  </si>
  <si>
    <t>Besana, A (corresponding author), IULM Univ, Milan, Italy.</t>
  </si>
  <si>
    <t>angela.besana@iulm.it; annamaria.esposito@iulm.it</t>
  </si>
  <si>
    <t>1309-4297</t>
  </si>
  <si>
    <t>2147-4281</t>
  </si>
  <si>
    <t>EURASIAN BUS REV</t>
  </si>
  <si>
    <t>Eurasian Bus. Rev.</t>
  </si>
  <si>
    <t>10.1007/s40821-016-0059-z</t>
  </si>
  <si>
    <t>FK9UP</t>
  </si>
  <si>
    <t>WOS:000413856800003</t>
  </si>
  <si>
    <t>Bahrami, Z; Zhang, R; Wang, T; Liu, Z</t>
  </si>
  <si>
    <t>Bahrami, Zhila; Zhang, Ran; Wang, Teng; Liu, Zheng</t>
  </si>
  <si>
    <t>An End-to-End Framework for Shipping Container Corrosion Defect Inspection</t>
  </si>
  <si>
    <t>IEEE TRANSACTIONS ON INSTRUMENTATION AND MEASUREMENT</t>
  </si>
  <si>
    <t>Containers; Corrosion; Inspection; Feature extraction; Image resolution; Steel; Sea surface; Attention mechanism; context information; corrosion defect; deep learning (DL); object segmentation; super-resolved structure</t>
  </si>
  <si>
    <t>The worldwide transportation industry relies heavily on shipping containers. Containerization has made it easier to transfer goods all over the world by guaranteeing cargo safety while in transit. To ensure the safety of goods during the transition, shipping containers should be reliable and kept in healthy conditions. Surface defect inspection of shipping containers is of great importance to guarantee the quality of containers. Customs officers must check the surface of shipping containers as they pass through terminal gates during the transition. Human visual observation is the basis for the current inspection method, which is time-consuming, labor-intensive, and possibly hazardous. The purpose of this research is to present a deep learning-based framework that can be used in conjunction with a computer vision technique to successfully and efficiently inspect corrosion defects on the surface of shipping containers. The proposed framework consists of two main modules, including High-resolution and Temporal Context region-based convolutional neural network (HRTC R-CNN) for corrosion defect detection and corrosion defect characterization (CDC) for corrosion defect inspection. HRTC R-CNN uses a multistream backbone, multidepth, and multiscale super-resolved feature generation to extract semantic information from different defect scales. The shallow network receives high-resolution images to maintain positional information, while the deep network receives low-resolution images to extract semantic information. In order to increase the framework's performance, an attention mechanism and two memory banks are used to leverage context information from unlabeled images. In CDC, an optical flow-based image stitching is proposed to calculate the percentage of corrosion on the surface of the whole container. Experiments on the corrosion defect dataset demonstrate the excellent accuracy and resilience of our approach. This technology will expedite the process of container's defect inspection at terminals, thereby supporting container transport logistics and supply chain processes.</t>
  </si>
  <si>
    <t>[Bahrami, Zhila; Zhang, Ran; Wang, Teng; Liu, Zheng] Univ British Columbia, Sch Engn, Fac Appl Sci, Okanagan Campus, Kelowna, BC V1V 1V7, Canada</t>
  </si>
  <si>
    <t>University of British Columbia</t>
  </si>
  <si>
    <t>Liu, Z (corresponding author), Univ British Columbia, Sch Engn, Fac Appl Sci, Okanagan Campus, Kelowna, BC V1V 1V7, Canada.</t>
  </si>
  <si>
    <t>zhila.bahrami@ubc.ca; ran.zhang@alumni.ubc.ca; teng.wang@ubc.ca; zheng.liu@ubc.ca</t>
  </si>
  <si>
    <t>Liu, Zheng/D-8678-2016</t>
  </si>
  <si>
    <t>Liu, Zheng/0000-0002-7241-3483; Zhang, Ran/0000-0003-3461-0045; Wang, Teng/0000-0002-4836-1740</t>
  </si>
  <si>
    <t>Mitacs [IT12857]; Canscan Inc., Montreal, QC, Canada</t>
  </si>
  <si>
    <t>Mitacs; Canscan Inc., Montreal, QC, Canada</t>
  </si>
  <si>
    <t>This work was supported in part by Mitacs under Grant IT12857 and in part by Canscan Inc., Montreal, QC, Canada. The Associate Editor coordinating the review process was Dr. Zhenbing Zhao.</t>
  </si>
  <si>
    <t>0018-9456</t>
  </si>
  <si>
    <t>1557-9662</t>
  </si>
  <si>
    <t>IEEE T INSTRUM MEAS</t>
  </si>
  <si>
    <t>IEEE Trans. Instrum. Meas.</t>
  </si>
  <si>
    <t>10.1109/TIM.2022.3204091</t>
  </si>
  <si>
    <t>Engineering, Electrical &amp; Electronic; Instruments &amp; Instrumentation</t>
  </si>
  <si>
    <t>4O3FL</t>
  </si>
  <si>
    <t>WOS:000854588300001</t>
  </si>
  <si>
    <t>Shastry, KA; Sanjay, HA</t>
  </si>
  <si>
    <t>Shastry, K. Aditya; Sanjay, H. A.</t>
  </si>
  <si>
    <t>Hybrid prediction strategy to predict agricultural information</t>
  </si>
  <si>
    <t>Prediction; ANN; Agriculture; Hybrid; PSO</t>
  </si>
  <si>
    <t>SUPPLY CHAIN; STOCHASTIC CONSTRAINTS; INVENTORY; MODEL; QUALITY</t>
  </si>
  <si>
    <t>The crop yield prediction (CYP) has a high significance in agriculture. Early crop yield predictions assist the farmers, decision-makers in making timely decisions during the actual growing season. In many developing countries such as India, the process of crop yield prediction is done manually, based on surveys and field visits which are time-consuming, expensive and prone to human error. To overcome these drawbacks, we propose a hybrid prediction strategy which can be applied to predict agricultural information such as crop yield and air temperature with a critical focus on crop yield prediction. The weighted principal component analysis (w-PCA) is used as the feature extraction strategy to extract the relevant features. A hybrid prediction strategy integrating artificial neural network (ANN) with modified-particle swarm optimization (m-PSO) is proposed. Initial parameters of ANN are selected using m-PSO with modified inertia weight and velocity update equations. This hybridized ANN then performs prediction on the selected features. This proposed prediction model which we call as hybrid ANN (H-ANN) comprises of w-PCA as feature extractor, m-PSO for selecting initial weights and biases of ANN. Experiments were performed on eight real world and two benchmark agriculture data sets for crop yield and air temperature prediction. Results show that the proposed prediction model (H-ANN) performed with improvements in the range of 2 to 30%, 0.2 to 4% and 0.12 to 3% with respect to R-squared (R-2), root mean square error (RMSE) and mean absolute error (MAE) respectively when compared to other prediction models such as ANN, ANN trained using GA (GA-ANN), ANN trained using standard PSO (SPSO-ANN), multiple linear regression (MLR), support vector regression (SVR) and ensemble of bagged regression trees (ET) on benchmark and real-world agricultural datasets. (C) 2020 Elsevier B.V. All rights reserved.</t>
  </si>
  <si>
    <t>[Shastry, K. Aditya; Sanjay, H. A.] Nitte Meenakshi Inst Technol, Dept Informat Sci &amp; Engn, Bengaluru, India</t>
  </si>
  <si>
    <t>Nitte Meenakshi Institute of Technology</t>
  </si>
  <si>
    <t>Shastry, KA (corresponding author), Nitte Meenakshi Inst Technol, Dept Informat Sci &amp; Engn, Bengaluru, India.</t>
  </si>
  <si>
    <t>adityashastry.k@nmit.ac.in; sanjay.ha@nmit.ac.in</t>
  </si>
  <si>
    <t>Shastry, Aditya/0000-0003-3920-576X</t>
  </si>
  <si>
    <t>10.1016/j.asoc.2020.106811</t>
  </si>
  <si>
    <t>PL8LO</t>
  </si>
  <si>
    <t>WOS:000603366400008</t>
  </si>
  <si>
    <t>Kartal, H; Oztekin, A; Gunasekaran, A; Cebi, F</t>
  </si>
  <si>
    <t>Kartal, Hasan; Oztekin, Asil; Gunasekaran, Angappa; Cebi, Ferhan</t>
  </si>
  <si>
    <t>An integrated decision analytic framework of machine learning with multi-criteria decision making for multi-attribute inventory classification</t>
  </si>
  <si>
    <t>Multi-attribute inventory classification; ABC analysis; Business analytics; Data mining</t>
  </si>
  <si>
    <t>SUPPORT VECTOR MACHINE; SUPPLY CHAIN; ARTIFICIAL-INTELLIGENCE; ABC ANALYSIS; OPTIMIZATION; LOGISTICS; MODEL; VIKOR; CONSIGNMENT; MANAGEMENT</t>
  </si>
  <si>
    <t>The purpose of this study is to develop a hybrid methodology that integrates machine learning algorithms with multi-criteria decision making (MCDM) techniques to effectively conduct multi-attribute inventory analysis. In the proposed methodology, first, ABC analyses using three different MCDM methods (i.e. simple-additive weighting, analytical hierarchy process, and VIKOR) are employed to determine the appropriate class for each of the inventory items. Following this, na ve Bayes, Bayesian network, artificial neural network (ANN), and support vector machine (SVM) algorithms are implemented to predict classes of initially determined stock items. Finally, the detailed prediction performance metrics of algorithms for each method are determined. The comprehensive case study executed at a large-scale automotive company revealed that the best classification accuracy is achieved by SVMs. The results also revealed that Bayesian networks, SVMs and ANNs are all capable of successfully dealing with the unbalanced data problems associated with Pareto distribution, and each of these algorithms performed well against all examined measures, thus validating the fact that machine learning algorithms are highly applicable to inventory classification problems. Therefore, this study presents uniqueness in that it is the first and foremost of its kind to effectively combine MCDM methods with machine learning algorithms in multi attribute inventory classification and is practically applicable in various inventory settings. Furthermore, this study also provides a comprehensive chronological overview of the existing literature of machine learning methods within inventory classification problems. (C) 2016 Elsevier Ltd. All rights reserved.</t>
  </si>
  <si>
    <t>[Kartal, Hasan; Oztekin, Asil] Univ Massachusetts, Dept Operat &amp; Informat Syst, Manning Sch Business, Lowell, MA 01854 USA; [Gunasekaran, Angappa] Univ Massachusetts Dartmouth, Charlton Coll Business, N Dartmouth, MA 02747 USA; [Cebi, Ferhan] Istanbul Tech Univ, Dept Management Engn, Fac Management, TR-34367 Istanbul, Turkey</t>
  </si>
  <si>
    <t>University of Massachusetts System; University of Massachusetts Lowell; University of Massachusetts System; University Massachusetts Dartmouth; Istanbul Technical University</t>
  </si>
  <si>
    <t>Oztekin, A (corresponding author), UMass Lowell, Dept Operat &amp; Informat Syst, One Univ Ave,Southwick Hall 201D, Lowell, MA 01854 USA.</t>
  </si>
  <si>
    <t>hasan_kartal@uml.edu; asil_ortekin@uml.edu; agunesakaran@umassd.edu; cebife@itu.edu.tr</t>
  </si>
  <si>
    <t>Cebi, Ferhan -/L-7884-2015</t>
  </si>
  <si>
    <t>Cebi, Ferhan -/0000-0003-3100-3020</t>
  </si>
  <si>
    <t>10.1016/j.cie.2016.06.004</t>
  </si>
  <si>
    <t>EF7GK</t>
  </si>
  <si>
    <t>WOS:000390497900049</t>
  </si>
  <si>
    <t>Wen, R; Yan, WJ</t>
  </si>
  <si>
    <t>Wen, Rong; Yan, Wenjing</t>
  </si>
  <si>
    <t>Supply-Demand Prediction for Agile Manufacturing with Deep Neural Network</t>
  </si>
  <si>
    <t>SMART AND SUSTAINABLE MANUFACTURING SYSTEMS</t>
  </si>
  <si>
    <t>demand prediction; deep learning neural network; spatiotemporal data mining; forecasting; agile manufacturing</t>
  </si>
  <si>
    <t>Agile manufacturing represents modern production systems that rapidly respond to a fast-moving marketplace and connect customers to production. The success of an agile manufacturing system relies on multisource data analytics, which provide smart data-driven decision-making strategies to guide manufacturing and the supply chain system. In order to implement rapid manufacturing processes to respond to customer orders, supply-demand gap prediction plays a critical role. In this article, we study the problem of predicting supply-demand gap with respect to product types, categories, and spatiotemporal attributes. To this end, we propose and develop an end-to-end framework using an extendable deep neural network architecture for supply-demand gap reduction. The framework can process multiple customized input factors and automatically discover spatiotemporal supply-demand patterns from historical transaction data. A set of customized features are employed to build a general training model to predict future demand. Embedding layers are used to map high dimensional features into a smaller subspace for input data consolidation. Fully connected layers with activation functions are used to build the training architecture of the model. Customized data attributes can be concatenated from different layers in the deep learning neural network. In this way, multisource input data can be integrated with outputs of internal layers for a comprehensive demand prediction. Experiments were conducted to evaluate the network with real supply and demand data, which were acquired from warehouses of a manufacturing company. The experimental results demonstrated that the proposed network was able to reduce supply-demand gap and provide a practical solution to long-term customer demand prediction.</t>
  </si>
  <si>
    <t>[Wen, Rong; Yan, Wenjing] Singapore Inst Mfg Technol, Planning &amp; Operat Management Grp, 2 Fusionopolis Way, Singapore 138634, Singapore</t>
  </si>
  <si>
    <t>Agency for Science Technology &amp; Research (A*STAR); A*STAR - Singapore Institute of Manufacturing Technology (SIMTech)</t>
  </si>
  <si>
    <t>Wen, R (corresponding author), Singapore Inst Mfg Technol, Planning &amp; Operat Management Grp, 2 Fusionopolis Way, Singapore 138634, Singapore.</t>
  </si>
  <si>
    <t>wenr@SIMTech.a-star.edu.sg</t>
  </si>
  <si>
    <t>Project Massive Spatio-temporal Data Analytics to Support Logistics Planning [C17-O-013]</t>
  </si>
  <si>
    <t>Project Massive Spatio-temporal Data Analytics to Support Logistics Planning</t>
  </si>
  <si>
    <t>This work is partially supported under the Project Massive Spatio-temporal Data Analytics to Support Logistics Planning (C17-O-013).</t>
  </si>
  <si>
    <t>2520-6478</t>
  </si>
  <si>
    <t>2572-3928</t>
  </si>
  <si>
    <t>SMART SUSTAIN MANUF</t>
  </si>
  <si>
    <t>Smart Sustain. Manuf. Syst.</t>
  </si>
  <si>
    <t>10.1520/SSMS20190025</t>
  </si>
  <si>
    <t>JV8RU</t>
  </si>
  <si>
    <t>WOS:000502628800008</t>
  </si>
  <si>
    <t>Zhang, YF; Ren, S; Liu, Y; Sakao, T; Huisingh, D</t>
  </si>
  <si>
    <t>Zhang, Yingfeng; Ren, Shan; Liu, Yang; Sakao, Tomohiko; Huisingh, Donald</t>
  </si>
  <si>
    <t>A framework for Big Data driven product lifecycle management</t>
  </si>
  <si>
    <t>Maintenance; Service; Macro level analysis; Micro level analysis; Economic impact</t>
  </si>
  <si>
    <t>SUPPLY CHAIN MANAGEMENT; DATA MINING APPROACH; COMPETITIVE ADVANTAGE; SYSTEM ARCHITECTURE; SUPPORT-SYSTEM; MAINTENANCE; QUALITY; TECHNOLOGY; OPERATIONS; ANALYTICS</t>
  </si>
  <si>
    <t>Optimization of the process of product lifecycle management is an increasingly important objective for manufacturing enterprises to improve their sustainable competitive advantage. Originally, this approach was developed to integrate the business processes of an organization and more effectively manage and utilize the data generated during lifecycle studies. With emerging technologies, product embedded information devices such as radio frequency identification tags and smart sensors are widely used to improve the efficiency of enterprises' routine management on an operational level. Manufacturing enterprises need a more advanced analysis approach to develop a solution on a strategic level from using such lifecycle Big Data. However, the application of Big Data in lifecycle faces several challenges, such as the lack of reliable data and valuable knowledge that can be employed to support the optimized decision-making of product lifecycle management. In this paper, a framework for Big Data driven product lifecycle management was proposed to address these challenges. Within the proposed framework, the availability and accessibility of data and knowledge related to lifecycle can be achieved. A case study was presented to demonstrate the proof-of-concept of the proposed framework. The results showed that the proposed framework was feasible to be adopted in industry, and can provide an overall solution for optimizing the decision-making processes in different phases of the whole lifecycle. The key findings and insights from the case study were summarized as managerial implications, which can guide manufacturers to ensure improvements in energy saving and fault diagnosis related decisions in the whole lifecycle. (C) 2017 Elsevier Ltd. All rights reserved.</t>
  </si>
  <si>
    <t>[Zhang, Yingfeng; Ren, Shan] Northwestern Polytech Univ, Key Lab Contemporary Design &amp; Integrated Mfg Tech, Minist Educ, Xian 710072, Shaanxi, Peoples R China; [Zhang, Yingfeng] Northwestern Polytech Univ, Res &amp; Dev Inst Shenzhen, Xian, Shaanxi, Peoples R China; [Liu, Yang; Sakao, Tomohiko] Linkoping Univ, Div Environm Technol &amp; Management, Dept Management &amp; Engn, SE-58183 Linkoping, Sweden; [Liu, Yang] Univ Vaasa, Dept Prod, PL 700, Vaasa 65101, Finland; [Huisingh, Donald] Univ Tennessee, Inst Secure &amp; Sustainable Environm, Knoxville, TN USA</t>
  </si>
  <si>
    <t>Northwestern Polytechnical University; Northwestern Polytechnical University; Linkoping University; University of Vaasa; University of Tennessee System; University of Tennessee Knoxville</t>
  </si>
  <si>
    <t>Zhang, YF (corresponding author), Northwestern Polytech Univ, Key Lab Contemporary Design &amp; Integrated Mfg Tech, Minist Educ, Xian 710072, Shaanxi, Peoples R China.;Liu, Y (corresponding author), Linkoping Univ, Div Environm Technol &amp; Management, Dept Management &amp; Engn, SE-58183 Linkoping, Sweden.</t>
  </si>
  <si>
    <t>yang, liu/GVU-8760-2022; Sakao, Tomohiko/C-4496-2008; Ren, Shan/HJA-6352-2022; yang, liu/HTN-9175-2023; Liu, Yang/C-8320-2013; z, y/HPC-0477-2023</t>
  </si>
  <si>
    <t>Sakao, Tomohiko/0000-0002-5991-5542; Liu, Yang/0000-0001-8006-3236;</t>
  </si>
  <si>
    <t>National Science Foundation of China [51675441]; 111 Project Grant [B13044]; Fundamental Research Funds for the Central Universities; Circularis (Circular Economy through Innovating Design) [2016-03267]; Simon (New Application of AI for Services in Maintenance towards a Circular Economy) - VINNOVA, Sweden's Innovation Agency [2017-01649]; Vinnova [2017-01649] Funding Source: Vinnova</t>
  </si>
  <si>
    <t>National Science Foundation of China(National Natural Science Foundation of China (NSFC)); 111 Project Grant; Fundamental Research Funds for the Central Universities(Fundamental Research Funds for the Central Universities); Circularis (Circular Economy through Innovating Design); Simon (New Application of AI for Services in Maintenance towards a Circular Economy) - VINNOVA, Sweden's Innovation Agency; Vinnova(Vinnova)</t>
  </si>
  <si>
    <t>The authors would like to acknowledge the financial supports of the National Science Foundation of China (51675441), the 111 Project Grant (B13044), and the Fundamental Research Funds for the Central Universities. This research is also supported in part by the Circularis (Circular Economy through Innovating Design) project (Grant No. 2016-03267) and the Simon (New Application of AI for Services in Maintenance towards a Circular Economy) project (Grant No. 2017-01649) funded by VINNOVA, Sweden's Innovation Agency.</t>
  </si>
  <si>
    <t>10.1016/j.jclepro.2017.04.172</t>
  </si>
  <si>
    <t>EY3EK</t>
  </si>
  <si>
    <t>WOS:000403854200021</t>
  </si>
  <si>
    <t>Guo, GM</t>
  </si>
  <si>
    <t>Guo, Gen Ming</t>
  </si>
  <si>
    <t>A computer-aided bibliometric system to article ranked lists in interdisciplinar generate core subjects</t>
  </si>
  <si>
    <t>bibliometrics; scientometrics; citation analysis; paper ranking</t>
  </si>
  <si>
    <t>SELF-CITATION</t>
  </si>
  <si>
    <t>Due to the tremendous increase and variations in serial publications, the impact of every peer-reviewed paper on different subjects is varying continually. Domain experts or researchers want to keep track of those latest and highly cited peer-reviewed papers: however they are finding it difficult to update or collect their subject core paper lists regularly and accurately. The evaluation of serial papers for generating and ranking core paper lists on different subjects becomes a very challenging task for scholars or librarians. Therefore, a computer-aided bibliometric system (CABS) was developed to generate a core article ranked list automatically. Four indicators - subject reference cited counts, subject total cited Counts. subject reference period impact and subject reference cited history - were proposed to generate a subject core article ranking list. Seven different subjects including E-commerce. Data Mining, Supply Chain, Image Processing, Enterprise Resource Planning, Microarray and Expert Systems were used as samples. The turning point (TP) was proposed to determine the core article area in the paper citation analysis. The TP patterns observed were that all TPs had the same rate for four different subjects. The usage of TP patterns can also be used to verify the experimental results. This study provides experimental evidence to disprove three myths. Myth 1: the top papers on a subject (for instance, the top 10 papers) were all submitted to (S)SCI journals. Myth 2: the highly cited papers (cited counts &gt;4) on interdisciplinary subjects were almost submitted to (S)SCI journals. Myth 3: the articles published in the top journals on a subject would be highly cited. (c) 2007 Elsevier Inc. All rights reserved.</t>
  </si>
  <si>
    <t>So Taiwan Univ Technol, Dept Informat Management, Kaohsiung 821, Taiwan</t>
  </si>
  <si>
    <t>Southern Taiwan University of Science &amp; Technology</t>
  </si>
  <si>
    <t>Guo, GM (corresponding author), So Taiwan Univ Technol, Dept Informat Management, POB 102, Kaohsiung 821, Taiwan.</t>
  </si>
  <si>
    <t>sambuela@gmail.corn</t>
  </si>
  <si>
    <t>10.1016/j.ins.2007.02.043</t>
  </si>
  <si>
    <t>191ZE</t>
  </si>
  <si>
    <t>WOS:000248169700007</t>
  </si>
  <si>
    <t>Rudnitckaia, J; Venkatachalam, HS; Essmann, R; Hruska, T; Colombo, AW</t>
  </si>
  <si>
    <t>Rudnitckaia, Julia; Venkatachalam, Hari Santhosh; Essmann, Roland; Hruska, Tomas; Colombo, Armando Walter</t>
  </si>
  <si>
    <t>Screening Process Mining and Value Stream Techniques on Industrial Manufacturing Processes: Process Modelling and Bottleneck Analysis</t>
  </si>
  <si>
    <t>Data mining; Manufacturing; Information management; Production; Manufacturing processes; Companies; Analytical models; Bottleneck analysis; manufacturing process; process mining; process modelling; information management system; value stream</t>
  </si>
  <si>
    <t>LOGISTICS</t>
  </si>
  <si>
    <t>One major result of the Industrial Digitalization is the access to a large set of digitalized data and information, i.e. Big Data. The market of analytic tools offers a huge variety of algorithms and software to exploit big datasets. Implementing their advantages into one approach brings better results and empower possibilities for process analysis. Its application in the manufacturing industry requires a high level of effort and remains to be challenging due to product complexity, human-centric processes, and data quality. In this manuscript, the authors combine process mining and value streams methods for analyzing the data from the information management system, applying the approach to the data delivered by one specific manufacturing system. The manufacturing process to be examined is the process of assembling gas meters in the manufacture. This specific and important part of the whole supply-chain process was taken as suitable for the study due to almost full-automated line with data about each process activity of the value-stream in the information system. The paper applies process mining algorithms in discovering a descriptive process model that plays the main role as a basis for further analysis. At the same time, modern techniques of the bottleneck analysis are described, and two new comprehensible methods of bottlenecks detection (TimeLag and Confidence intervals methods), as well as their advantages, will be discussed. Achieved results can be subsequently used for other sources of big data and industrial-compliant Information Management Systems.</t>
  </si>
  <si>
    <t>[Rudnitckaia, Julia; Hruska, Tomas] Brno Univ Technol, Fac Informat Technol, Brno 61200, Czech Republic; [Venkatachalam, Hari Santhosh; Colombo, Armando Walter] Univ Appl Sci Emden Leer, Hsch Emden Leer, D-26723 Emden, Germany; [Essmann, Roland] Honeywell, Prod Intelligence, D-49504 Lotte, Germany</t>
  </si>
  <si>
    <t>Brno University of Technology; Honeywell</t>
  </si>
  <si>
    <t>Rudnitckaia, J (corresponding author), Brno Univ Technol, Fac Informat Technol, Brno 61200, Czech Republic.</t>
  </si>
  <si>
    <t>irudnickaia@fit.vutbr.cz</t>
  </si>
  <si>
    <t>Colombo, Armando Walter/GXG-0831-2022</t>
  </si>
  <si>
    <t>Rudnitckaia, Julia/0000-0003-2021-8114</t>
  </si>
  <si>
    <t>Brno University of Technology [FIT-S-20-6293]; German Academic Exchange Service (DAAD) through the Deutsch-Argentinisches Hochschulzentrum (CUAA-DAHZ) [57530192]</t>
  </si>
  <si>
    <t>Brno University of Technology; German Academic Exchange Service (DAAD) through the Deutsch-Argentinisches Hochschulzentrum (CUAA-DAHZ)(Deutscher Akademischer Austausch Dienst (DAAD))</t>
  </si>
  <si>
    <t>This work was supported in part by the Brno University of Technology Project Application of AI Methods to Cyber Security and Control Systems'' (2020-2022) under Grant FIT-S-20-6293, and in part by the German Academic Exchange Service (DAAD) through the Deutsch-Argentinisches Hochschulzentrum (CUAA-DAHZ) by the Binational Studies with Double-Degree: Master in Industrial Informatics with Specialization in Industrial Cyber-Physical Systems under Project 57530192.</t>
  </si>
  <si>
    <t>10.1109/ACCESS.2022.3152211</t>
  </si>
  <si>
    <t>ZP6PQ</t>
  </si>
  <si>
    <t>WOS:000766543100001</t>
  </si>
  <si>
    <t>Kumar, R; Goel, P</t>
  </si>
  <si>
    <t>Kumar, Raman; Goel, Pankaj</t>
  </si>
  <si>
    <t>Exploring the Domain of Interpretive Structural Modelling (ISM) for Sustainable Future Panorama: A Bibliometric and Content Analysis</t>
  </si>
  <si>
    <t>ARCHIVES OF COMPUTATIONAL METHODS IN ENGINEERING</t>
  </si>
  <si>
    <t>SUPPLY CHAIN MANAGEMENT; IMPLEMENTATION; BARRIERS; ENABLERS; KNOWLEDGE; IDENTIFICATION; FRAMEWORK; SYSTEM; ENERGY; INDIA</t>
  </si>
  <si>
    <t>Interpretive Structural Modelling (ISM) is one of the most widely used techniques in identifying the complex structural relationship between various elements. It is commonly used in multiple disciplines but hardly explored its all-encompassing scientific productivities. Hence, this paper has endeavoured to scrutinize 1480 documents using the ISM technique from 2000 to 2020 in the Scopus database. A systematic two-tier approach comprising bibliometric analysis and visualization review has been made with VOSviewer and Biblioshiny software. Extensive data mining has been done to collect required information with certain filters containing document type, language, author, subject, publication status, source title, affiliation, country, and source type. The study has generated information regarding ISM documents, their types, publications, citations, and predictions. The citation analysis is used to ascertain the most prolific and dominant authors, sources, articles, countries, and organizations. The author-keywords, index-keywords, and text data content analysis is conducted to find ISM's hotspots and progress trends. The study has found a rapid exponential pace in annual publications using the ISM technique since 2000. The most prolific and dominant articles based on total citation include Diabat and Govindan, 2011; the top source is the Journal of Cleaner Production. The chief author is Shankar R., the leading organization IIT New Delhi, India, and the leading country is India. The study has explored many research hotspots and less explored areas using ISM techniques. The present research is the first paper that has utilized bibliometric analysis to analyze the ISM publications widely. This bibliometric review has further contributed to the ISM technique, usability, and exploitation areas and future scope for scholars working in this area through its research hotspots and valuable findings.</t>
  </si>
  <si>
    <t>[Kumar, Raman] Guru Nanak Dev Engn Coll, Dept Mech &amp; Prod Engn, Ludhiana 141006, Punjab, India; [Goel, Pankaj] Guru Nanak Inst Management &amp; Technol, Dept Business Management, Ludhiana 141002, Punjab, India</t>
  </si>
  <si>
    <t>Guru Nanak Dev Engineering College Ludhiana</t>
  </si>
  <si>
    <t>Kumar, R (corresponding author), Guru Nanak Dev Engn Coll, Dept Mech &amp; Prod Engn, Ludhiana 141006, Punjab, India.</t>
  </si>
  <si>
    <t>sehga191@yahoo.co.in; pankajgoel456@gmail.com</t>
  </si>
  <si>
    <t>Kumar, Raman/I-6869-2019; Goel, Pankaj/H-6298-2016</t>
  </si>
  <si>
    <t>Kumar, Raman/0000-0003-2934-7609; Goel, Pankaj/0000-0003-0316-8901</t>
  </si>
  <si>
    <t>1134-3060</t>
  </si>
  <si>
    <t>1886-1784</t>
  </si>
  <si>
    <t>ARCH COMPUT METHOD E</t>
  </si>
  <si>
    <t>Arch. Comput. Method Eng.</t>
  </si>
  <si>
    <t>10.1007/s11831-021-09675-7</t>
  </si>
  <si>
    <t>Computer Science, Interdisciplinary Applications; Engineering, Multidisciplinary; Mathematics, Interdisciplinary Applications</t>
  </si>
  <si>
    <t>Computer Science; Engineering; Mathematics</t>
  </si>
  <si>
    <t>2Y6QR</t>
  </si>
  <si>
    <t>WOS:000714297800001</t>
  </si>
  <si>
    <t>Mittal, VK; Bailin, SC; Gonzalez, MA; Meyer, DE; Barrett, WM; Smith, RL</t>
  </si>
  <si>
    <t>Mittal, Vinit K.; Bailin, Sidney C.; Gonzalez, Michael A.; Meyer, David E.; Barrett, William M.; Smith, Raymond L.</t>
  </si>
  <si>
    <t>Toward Automated Inventory Modeling in Life Cycle Assessment: The Utility of Semantic Data Modeling to Predict Real-World Chemical Production</t>
  </si>
  <si>
    <t>Semantic data model; Lineage; Process; Ontology; Life cycle assessment; Life cycle inventory</t>
  </si>
  <si>
    <t>ONTOLOGY</t>
  </si>
  <si>
    <t>A set of coupled semantic data models, i.e., ontologies, are presented to advance a methodology toward automated inventory modeling of chemical manufacturing in life cycle assessment. The cradle-to-gate life cycle inventory for chemical manufacturing is a detailed collection of the material and energy flows associated with a chemical's supply chain. Thus, there is a need to manage data describing both the lineage (or synthesis pathway) and processing conditions for a chemical. To this end, a Lineage ontology is proposed to reveal all the synthesis steps required to produce a chemical from raw materials, such as crude oil or biomaterials, while a Process ontology is developed to manage data describing the various unit processes associated with each synthesis step. The two ontologies are coupled such that process data, which is the basis for inventory modeling, is linked to lineage data through key concepts like the chemical reaction and reaction participants. To facilitate automated inventory modeling, a series of SPARQL queries, based on the concepts of ancestor and parent, are presented to generate a lineage for a chemical of interest from a set of reaction data. The proposed ontologies and SPARQL queries are evaluated and tested using a case study of nylon-6 production. Once a lineage is established, the process ontology can be used to guide inventory modeling based on both data mining (top-down) and simulation (bottom-up) approaches. The ability to generate a cradle-to-gate life cycle for a chemical represents a key achievement toward the ultimate goal of automated life cycle inventory modeling.</t>
  </si>
  <si>
    <t>[Mittal, Vinit K.] US EPA, ORISE, Off Res &amp; Dev, 26 West Martin Luther King Dr, Cincinnati, OH 45268 USA; [Bailin, Sidney C.] Knowledge Evolut Inc, 1748 Seaton St NW, Washington, DC 20009 USA; [Gonzalez, Michael A.; Meyer, David E.; Barrett, William M.; Smith, Raymond L.] US EPA, Natl Risk Management Res Lab, 26 West Martin Luther King Dr, Cincinnati, OH 45268 USA</t>
  </si>
  <si>
    <t>United States Environmental Protection Agency; Oak Ridge Associated Universities; United States Department of Energy (DOE); Oak Ridge Institute for Science &amp; Education; United States Environmental Protection Agency</t>
  </si>
  <si>
    <t>Smith, RL (corresponding author), US EPA, Natl Risk Management Res Lab, 26 West Martin Luther King Dr, Cincinnati, OH 45268 USA.</t>
  </si>
  <si>
    <t>smith.raymond@epa.gov</t>
  </si>
  <si>
    <t>Barrett, William/0000-0003-2629-4054; Mittal, Vinit Kumar/0000-0003-2841-4312</t>
  </si>
  <si>
    <t>Oak Ridge Institute for Science and Education [DW-89-92433001]</t>
  </si>
  <si>
    <t>Oak Ridge Institute for Science and Education</t>
  </si>
  <si>
    <t>This research was supported in part by an appointment of V.M. to the Postmasters Research Program at the National Risk Management Research Laboratory, Office of Research and Development, U.S. Environmental Protection Agency (EPA), administered by the Oak Ridge Institute for Science and Education through Interagency Agreement No. DW-89-92433001 between the U.S. Department of Energy and the U.S. EPA.</t>
  </si>
  <si>
    <t>10.1021/acssuschemeng.7b03379</t>
  </si>
  <si>
    <t>FV6YM</t>
  </si>
  <si>
    <t>WOS:000424728300049</t>
  </si>
  <si>
    <t>Biemba, G; Chiluba, B; Yeboah-Antwi, K; Silavwe, V; Lunze, K; Mwale, RK; Hamer, DH; MacLeod, WB</t>
  </si>
  <si>
    <t>Biemba, Godfrey; Chiluba, Boniface; Yeboah-Antwi, Kojo; Silavwe, Vichael; Lunze, Karsten; Mwale, Rodgers K.; Hamer, Davidson H.; MacLeod, William B.</t>
  </si>
  <si>
    <t>Impact of mobile health-enhanced supportive supervision and supply chain management on appropriate integrated community case management of malaria, diarrhoea, and pneumonia in children 2-59 months: A cluster randomised trial in Eastern Province, Zambia</t>
  </si>
  <si>
    <t>JOURNAL OF GLOBAL HEALTH</t>
  </si>
  <si>
    <t>RAPID DIAGNOSTIC-TESTS; 2 DISTRICTS; WORKERS; PERFORMANCE; COUNTRIES; SEEKING; CARE</t>
  </si>
  <si>
    <t>Background Despite progress made over the past twenty years, child mortality remains high, with 5.3 million children under five years having died in 2018 globally. Pneumonia, diarrhoea, and malaria remain among the commonest causes of under-five mortality; contributing 15%, 8%, and 5% of global mortality respectively. Recent evidence shows that integrated community case management (iCCM) of pneumonia, diarrhoea, and malaria can reduce under five mortality. However, despite growing evidence of the effectiveness of iCCM, there are implementation challenges, especially stock out of iCCM commodities and inadequate supportive supervision of community health workers (CHWs). This study aimed to address these two key challenges to successful iCCM implementation by using mobile health (mHealth) technology. Methods This cluster randomised controlled trial compared health centre catchment areas (clusters) where CHWs and their supervisors implemented mHealth-enhanced iCCM supportive supervision and supply chain management vs clusters implementing iCCM as per current Zambian guidelines. CHWs in intervention clusters used community DHIS2 platform on mobile phones to report on a weekly basis children with iCCM conditions and make requisitions for iCCM commodities. Their supervisors received electronic reports on disease caseloads and monthly automated supervision reminders. The supervisors on receipt of requisitions, organized the medical supplies and notified CHWs for collection. Intention-to-treat analysis on the primary outcome, the percentage of children aged 2-59 months receiving appropriate treatment for malaria, pneumonia, or diarrhoea from an iCCM trained CHW, was performed using a generalized linear model. Prevalence ratios and 95% confidence intervals comparing the prevalence of appropriate treatment in the intervention and control groups were calculated using log binomial regression with an exchangeable correlation matrix, adjusted for clustering by health facility. Results In the intervention clusters, 61.3% (98/160) of expected monthly supervision visits took place vs 52.0% (78/150) in the controls. A total of 3690 children 2-59 months old presented with malaria, diarrhoea, or pneumonia. In the intervention group, 65.9% (1,252/1,899) of children received appropriate care for iCCM conditions, compared to 63.3% (1,134/1,791) in the control group. The mHealth intervention was associated with 18.0% improvement in supportive supervision and 21.0% increase in appropriate treatment for pneumonia; these changes were not statistically significant. There was a 2-3-fold increase in the proportion of CHWs receiving supplies ordered: prevalence ratios ranged from 2.82 (confidence interval (CI) =1.50, 5.30) to 3.01 (95% CI =1.29, 7.00) depending on the particular commodity. Conclusion This study was unable to determine whether using mHealth technology would strengthen supervision and supply chain management of iCCM commodities for community-level workers. There was no statistically significant effect of mHealth enhanced iCCM on appropriate diagnosis and treatment for children with malaria, pneumonia, and diarrhoea in rural Zambia. Longer term longitudinal studies are required to determine the impact of mHealth enhanced iCCM on health outputs and outcomes.</t>
  </si>
  <si>
    <t>[Biemba, Godfrey] Natl Hlth Res Author, Lusaka, Zambia; [Biemba, Godfrey; Yeboah-Antwi, Kojo; Hamer, Davidson H.; MacLeod, William B.] Boston Univ, Sch Publ Hlth, Dept Global Hlth, Boston, MA USA; [Biemba, Godfrey; Chiluba, Boniface; Hamer, Davidson H.] Zambian Ctr Appl Hlth Res &amp; Dev ZCAHRD, Lusaka, Zambia; [Silavwe, Vichael] Minist Hlth, Child Hlth Unit, Lusaka, Zambia; [Lunze, Karsten] Boston Univ, Sch Med, Dept Med, Div Internal Med, Boston, MA 02215 USA; [Lunze, Karsten] Boston Med Ctr, Boston, MA 02215 USA; [Mwale, Rodgers K.] United Nations Childrens Fund UNICEF, Lusaka, Zambia; [Hamer, Davidson H.] Boston Univ, Sch Med, Dept Med, Sect Infect Dis, Boston, MA 02118 USA</t>
  </si>
  <si>
    <t>Boston University; Boston University; Boston Medical Center; Boston University</t>
  </si>
  <si>
    <t>Biemba, G (corresponding author), Natl Hlth Res Author, Paediat Ctr Excellence, Univ Teaching Hosp, POB 30075, Lusaka, Zambia.</t>
  </si>
  <si>
    <t>gbiemba@gmail.com</t>
  </si>
  <si>
    <t>Lunze, Karsten/AAL-7240-2021</t>
  </si>
  <si>
    <t>Lunze, Karsten/0000-0001-8495-0350</t>
  </si>
  <si>
    <t>UNICEF; Bill and Melinda Gates Foundation</t>
  </si>
  <si>
    <t>UNICEF; Bill and Melinda Gates Foundation(Bill &amp; Melinda Gates Foundation)</t>
  </si>
  <si>
    <t>This study was funded by UNICEF with Funds from the Bill and Melinda Gates Foundation.</t>
  </si>
  <si>
    <t>UNIV EDINBURGH, GLOBAL HEALTH SOC</t>
  </si>
  <si>
    <t>EDINBURGH</t>
  </si>
  <si>
    <t>CENTRE POPULATION HEALTH SCIENCES, OLD MEDICAL SCH, TEVIOT PL, EDINBURGH, EH8 9AG, SCOTLAND</t>
  </si>
  <si>
    <t>2047-2978</t>
  </si>
  <si>
    <t>2047-2986</t>
  </si>
  <si>
    <t>J GLOB HEALTH</t>
  </si>
  <si>
    <t>J. Glob. Health</t>
  </si>
  <si>
    <t>10.7189/jogh.10.010425</t>
  </si>
  <si>
    <t>MM1DB</t>
  </si>
  <si>
    <t>WOS:000549898000112</t>
  </si>
  <si>
    <t>Chen, YF; Chen, DM; Altermatt, PP; Zhang, S; Wang, L; Zhang, XL; Xu, JM; Feng, ZQ; Shen, H; Verlinden, PJ</t>
  </si>
  <si>
    <t>Chen, Yifeng; Chen, Daming; Altermatt, Pietro P.; Zhang, Shu; Wang, Le; Zhang, Xueling; Xu, Jianmei; Feng, Zhiqiang; Shen, Hui; Verlinden, Pierre J.</t>
  </si>
  <si>
    <t>Technology evolution of the photovoltaic industry: Learning from history and recent progress</t>
  </si>
  <si>
    <t>PROGRESS IN PHOTOVOLTAICS</t>
  </si>
  <si>
    <t>efficiency; evolution; industrial; manufacturing cost; power; size</t>
  </si>
  <si>
    <t>SOLAR-CELLS; EFFICIENCY</t>
  </si>
  <si>
    <t>This paper reports on the latest advances in crystalline Si cells and modules in the industry and explores the dynamics shaping the silicon PV industry. First, we report on the recent efficiency improvements of passivated emitter and rear cell (PERC) and tunnel oxide passivated contact (TOPCon) cells on 210 mm wafers. At Trina Solar, the best batch average cell efficiency (total area) reached 23.61% for PERC and 25.04% for industrial-TOPCon (i-TOPCon). As far as we know, these are the highest values achieved on 210 mm wafers. The best champion efficiency for PERC and i-TOPCon is 24.5% and 25.42%, respectively, as independently confirmed by the National Institute of Metrology of China in Beijing and ISFH CalTech in Hamelin. We have developed modules with power outputs of up to 660 W by using 66 pieces of these 210 mm cells with 12-busbar technology in mass production. Besides, the aperture efficiency of the best laboratory PERC module fabricated by Trina Solar is 23.03%, which was independently confirmed by TuV Rheinland. As far as we know, this is the first commercially sized PERC module with an aperture efficiency of 23% and a power output of over 600 W. Second, we have examined the technological development in the PV industry and summarise some empirical results. A look at the historical data shows that an increase in wafer area of at least 50% is required for a wafer size to become a new industry standard that lasts for 10 years. We find that it typically took about 3 years for the average efficiency of a cell in mass production to reach the efficiency of the champion cell produced in the industrial laboratory. We apply the empirical Goetzberger equation to analyse the module efficiency of c-Si and thin-film technologies. Based on our previous work, we update the selling price and manufacturing cost of PV modules and their learning curves. If we restrict the module price learning curve to the years starting in 2015, we find a short-term learning rate (LR) of about 40%, while the overall LR since 1970 is about 24%. A strong LR is driven by collaboration among industrial players and clustering of the industry, as well as standardisation of the technology, the supply chain, and final product design, which lead to fast equipment development and fast increase in capacity of supply chain. We propose an empirical law to describe the recent evolution of equipment LR, which shows that the throughput of tool increases 100% in every 3 years, so that the investment in cell production lines has decreased by 50% every 3 years since 2015. Finally, we quantify the material consumption and carbon footprint of PV plants today and for the expansion of PV to terawatt (TW) levels. Besides replacing silver fingers with copper and aluminium, saving copper cables in utilities and low-carbon mining of materials are the most effective carbon reduction measures in the PV supply chain.</t>
  </si>
  <si>
    <t>[Chen, Yifeng; Chen, Daming; Altermatt, Pietro P.; Zhang, Shu; Wang, Le; Zhang, Xueling; Xu, Jianmei; Feng, Zhiqiang; Verlinden, Pierre J.] Trina Solar, State Key Lab PV Sci &amp; Technol, Changzhou 213031, Peoples R China; [Shen, Hui] Yangtze Inst Solar Technol, Wuxi, Jiangsu, Peoples R China; [Verlinden, Pierre J.] AMROCK Pty Ltd, Mclaren Vale, SA, Australia; [Verlinden, Pierre J.] Univ New South Wales, Sch Photovolta &amp; Renewable Energy Engn, Kensington, NSW, Australia</t>
  </si>
  <si>
    <t>Trina Solar; University of New South Wales Sydney</t>
  </si>
  <si>
    <t>Chen, YF (corresponding author), Trina Solar, State Key Lab PV Sci &amp; Technol, Changzhou 213031, Peoples R China.</t>
  </si>
  <si>
    <t>yifeng.chen01@trinasolar.com</t>
  </si>
  <si>
    <t>chen, ye Xiao/HSF-9650-2023; Chen, Yi/HPD-0595-2023; Chen, Yi/HIR-2608-2022; Altermatt, Pietro P/B-5363-2013; Chen, Yuxuan/IWL-8267-2023</t>
  </si>
  <si>
    <t>Altermatt, Pietro P/0000-0002-0177-4935; Verlinden, Pierre/0000-0003-2473-0326</t>
  </si>
  <si>
    <t>1062-7995</t>
  </si>
  <si>
    <t>1099-159X</t>
  </si>
  <si>
    <t>PROG PHOTOVOLTAICS</t>
  </si>
  <si>
    <t>Prog. Photovoltaics</t>
  </si>
  <si>
    <t>2022 SEP 30</t>
  </si>
  <si>
    <t>10.1002/pip.3626</t>
  </si>
  <si>
    <t>Energy &amp; Fuels; Materials Science, Multidisciplinary; Physics, Applied</t>
  </si>
  <si>
    <t>Energy &amp; Fuels; Materials Science; Physics</t>
  </si>
  <si>
    <t>4Y7ZT</t>
  </si>
  <si>
    <t>WOS:000861742800001</t>
  </si>
  <si>
    <t>Tang, MH; Hong, JK; Liu, GW; Shen, GQ</t>
  </si>
  <si>
    <t>Tang, Miaohan; Hong, Jingke; Liu, Guiwen; Shen, Geoffrey Qiping</t>
  </si>
  <si>
    <t>Exploring energy flows embodied in China's economy from the regional and sectoral perspectives via combination of multi-regional input-output analysis and a complex network approach</t>
  </si>
  <si>
    <t>ENERGY</t>
  </si>
  <si>
    <t>Embodied energy flows; Multi-regional input-output model; Complex network; China</t>
  </si>
  <si>
    <t>INTERNATIONAL CRUDE-OIL; CO2 EMISSIONS; INTERPROVINCIAL TRANSFER; DRIVING FORCES; SUPPLY CHAIN; TRADE; CONSUMPTION; CENTRALITY; IMPACT; MODEL</t>
  </si>
  <si>
    <t>Rapid urbanization has produced considerable energy demands in China and increased pressure on sustainable development. Therefore, investigating the embodied energy flows induced by China's modern economy is important. By integrating the multi-regional input output (MRIO) model with the complex network approach, this study builds two embodied energy flow networks (EEFNs) from the regional and sectoral perspectives. The small-world nature is explored in the current EEFN by assessing the average clustering coefficient and average path length. Findings indicate that any disturbance occurring in key nodes or flows can generate substantial effects on the whole embodied energy system. From a regional perspective, Guangdong, Hebei, Jiangsu, Shanghai, and Zhejiang consistently rank highest in terms of centrality indices. From a sectoral perspective, the chemical industry, the smelting and pressing of metals, the transportation, storage, posts and telecommunications, and the manufacture of general and special purpose machinery are highly connected sectors in the EEFN. Community detection further reveals an apparent separation of amounts existing among communities. Heterogeneous effects within communities are also observed. Provinces located in the western and central areas of China act as energy suppliers to promote economic development in the eastern area. Economic cooperation organizations, when taken as a whole, exert more apparent influences on the embodied energy trade system. From a sectoral perspective, the embodied energy use of sectors in each community displays remarkable clustering features. The findings of this study can help formulate fair and reasonable energy-saving policies for suppliers and consumers from the regional and sectoral perspectives. (C) 2018 Elsevier Ltd. All rights reserved.</t>
  </si>
  <si>
    <t>[Tang, Miaohan; Hong, Jingke; Liu, Guiwen] Chongqing Univ, Sch Construct Management &amp; Real Estate, Chongqing 400045, Peoples R China; [Shen, Geoffrey Qiping] Hong Kong Polytech Univ, Dept Bldg &amp; Real Estate, Hong Kong, Peoples R China</t>
  </si>
  <si>
    <t>Chongqing University; Hong Kong Polytechnic University</t>
  </si>
  <si>
    <t>Hong, JK (corresponding author), Chongqing Univ, Sch Construct Management &amp; Real Estate, Chongqing 400045, Peoples R China.</t>
  </si>
  <si>
    <t>teie@foxmail.com; hongjingke@cqu.edu.cn; gwliu@cqu.edu.cn; geoffrey.shen@polyu.edu.hk</t>
  </si>
  <si>
    <t>Shen, Geoffrey/A-1250-2014</t>
  </si>
  <si>
    <t>Shen, Geoffrey/0000-0002-3111-2019</t>
  </si>
  <si>
    <t>Natural Science Foundation of China [71801023]; Chongqing Science &amp; Technology Commission [cstc2018jcyjAX0099]; Fundamental Research Funds for the Central Universities [2017CDJSK03XK05]; Research Grants Council of Hong Kong [15276916]</t>
  </si>
  <si>
    <t>Natural Science Foundation of China(National Natural Science Foundation of China (NSFC)); Chongqing Science &amp; Technology Commission(Natural Science Foundation Project of CQ CSTC); Fundamental Research Funds for the Central Universities(Fundamental Research Funds for the Central Universities); Research Grants Council of Hong Kong(Hong Kong Research Grants Council)</t>
  </si>
  <si>
    <t>The authors wish to express their sincere gratitude to the Natural Science Foundation of China (Grant No. 71801023), Chongqing Science &amp; Technology Commission (No. cstc2018jcyjAX0099), the Fundamental Research Funds for the Central Universities (No. 2017CDJSK03XK05), and the Research Grants Council of Hong Kong (No. 15276916) for funding this research project. Appreciation is also due to all members of the research team for their invaluable contributions.</t>
  </si>
  <si>
    <t>0360-5442</t>
  </si>
  <si>
    <t>1873-6785</t>
  </si>
  <si>
    <t>Energy</t>
  </si>
  <si>
    <t>10.1016/j.energy.2018.12.164</t>
  </si>
  <si>
    <t>Thermodynamics; Energy &amp; Fuels</t>
  </si>
  <si>
    <t>HO3TL</t>
  </si>
  <si>
    <t>WOS:000460845700097</t>
  </si>
  <si>
    <t>Wang, Y; Ma, XL; Li, ZB; Liu, Y; Xu, MZ; Wang, YH</t>
  </si>
  <si>
    <t>Wang, Yong; Ma, Xiaolei; Li, Zhibin; Liu, Yong; Xu, Maozeng; Wang, Yinhai</t>
  </si>
  <si>
    <t>Profit distribution in collaborative multiple centers vehicle routing problem</t>
  </si>
  <si>
    <t>Multiple-center vehicle routing optimization; Profit distribution; Integer-programming model; Multi-phase hybrid approach; Improved shapley value model</t>
  </si>
  <si>
    <t>CARRIER COLLABORATION; SUPPLY CHAIN; OPTIMIZATION APPROACH; NEIGHBORHOOD SEARCH; GENETIC ALGORITHM; SPLIT DELIVERIES; ALLOCATION; METHODOLOGY; COOPERATION; MECHANISMS</t>
  </si>
  <si>
    <t>A collaborative multiple-center vehicle routing problem (CMCVRP) is a multi-constraint combinatorial and game optimization issue containing both vehicle routing optimization and profit distribution procedures. The CMCVRP is generally used to study the logistics network structure adjustment from a non optimal network structure to a collaborative multiple DCs network optimization structure. The optimization of CMCVR can effectively improve vehicle loading rate and reduce the crisscross transportation phenomenon. Designing a reasonable profit distribution mechanism is a critical step of CMCVR optimization. Collaboration can be organized through a negotiation process by a logistics service provider. This paper establishes an integer-programming model that contains transportation costs among distribution centers (DCs) and vehicle routing costs in each DC to minimize the total costs of CMCVRP. A multi-phase hybrid approach with clustering, dynamic programming, and heuristic algorithm is presented to solve the model formulation. The clustering procedure increases the likelihood that the solution will converge to an optimal value, between-route operations (relocate, 2-opt* exchange, and swap move) in the heuristic algorithm will improve the initial solution, and the within-route (dynamic programming) procedure will calculate a good feasible solution for each vehicle route. Both between- and within-route operations are recursively executed to find the best solution. Profit distribution plans are then established using the improved Shapley value model. Optimal sequential coalitions are selected based on strictly monotonic path, cost reduction model, and best strategy of sequential coalition selection in cooperative game theory. An empirical study in Chongqing, China suggests that the proposed approach outperforms other algorithms, and the best sequential coalition can be selected and adjusted to increase the negotiation power for network optimization of logistics distribution. (C) 2017 Elsevier Ltd. All rights reserved.</t>
  </si>
  <si>
    <t>[Wang, Yong; Liu, Yong; Xu, Maozeng] Chongqing Jiaotong Univ, Sch Econ &amp; Management, Chongqing 400074, Peoples R China; [Wang, Yong] Univ Elect Sci &amp; Technol, Sch Management &amp; Econ, Chengdu 610054, Peoples R China; [Ma, Xiaolei] Beihang Univ, Sch Transportat Sci &amp; Engn, Beijing 100191, Peoples R China; [Li, Zhibin] Southeast Univ, Dept Transportat, Nanjing 210096, Jiangsu, Peoples R China; [Wang, Yinhai] Univ Washington, Dept Civil &amp; Environm Engn, Seattle, WA 98195 USA</t>
  </si>
  <si>
    <t>Chongqing Jiaotong University; University of Electronic Science &amp; Technology of China; Beihang University; Southeast University - China; University of Washington; University of Washington Seattle</t>
  </si>
  <si>
    <t>Ma, XL (corresponding author), Beihang Univ, Sch Transportat Sci &amp; Engn, Beijing 100191, Peoples R China.;Li, ZB (corresponding author), Southeast Univ, Dept Transportat, Nanjing 210096, Jiangsu, Peoples R China.</t>
  </si>
  <si>
    <t>yongwx6@gmail.com; xiaolei@buaa.edu.cn; lizhibin@seu.edu.cn; liuevery@gmail.com; xmzzrxhy@cqjtu.edu.cn; yinhai@uw.edu</t>
  </si>
  <si>
    <t>Wang, Yong/IQV-5647-2023; Wang, Yinhai/B-5396-2012; Ma, Xiaolei/J-4069-2014</t>
  </si>
  <si>
    <t>Wang, Yinhai/0000-0002-4180-5628; Ma, Xiaolei/0000-0002-3841-5792; XU, Maozeng/0000-0003-2231-4222</t>
  </si>
  <si>
    <t>National Natural Science Foundation of China [71402011, 51408019, 51508094, 71432003, 71471024]; China Postdoctoral Science Foundation [2016M600735]; Natural Science Foundation of Chongqing of China [cstc2015jcyjA30012, cstc2016jcyjA0023]; Social Science Key Foundation of Chongqing Municipal Education Commission [16SKGH067]</t>
  </si>
  <si>
    <t>National Natural Science Foundation of China(National Natural Science Foundation of China (NSFC)); China Postdoctoral Science Foundation(China Postdoctoral Science Foundation); Natural Science Foundation of Chongqing of China(Natural Science Foundation of Chongqing); Social Science Key Foundation of Chongqing Municipal Education Commission</t>
  </si>
  <si>
    <t>The authors thank the Transportation Planning Department in Chongqing City for providing valuable location and data for the empirical case study. This research is supported by the National Natural Science Foundation of China (Project No. 71402011, 51408019, 51508094, 71432003, 71471024), the China Postdoctoral Science Foundation (Project No. 2016M600735), and the Natural Science Foundation of Chongqing of China (No. cstc2015jcyjA30012, cstc2016jcyjA0023), and the Social Science Key Foundation of Chongqing Municipal Education Commission (No. 16SKGH067).</t>
  </si>
  <si>
    <t>FEB 15</t>
  </si>
  <si>
    <t>10.1016/j.jclepro.2017.01.001</t>
  </si>
  <si>
    <t>EJ5HV</t>
  </si>
  <si>
    <t>WOS:000393249300021</t>
  </si>
  <si>
    <t>Liu, D; Deng, ZH; Mao, XH; Yang, Y; Kaisar, EI</t>
  </si>
  <si>
    <t>Liu, Dan; Deng, Zhenghong; Mao, Xinhua; Yang, Yang; Kaisar, Evangelos I.</t>
  </si>
  <si>
    <t>Two-Echelon Vehicle-Routing Problem: Optimization of Autonomous Delivery Vehicle-Assisted E-Grocery Distribution</t>
  </si>
  <si>
    <t>Satellites; Transportation; Optimization; Routing; Companies; Vehicle routing; Clustering algorithms; E-grocery delivery network; autonomous delivery vehicle; last-mile delivery</t>
  </si>
  <si>
    <t>LARGE NEIGHBORHOOD SEARCH; HYBRID GENETIC ALGORITHM; NETWORK DESIGN; DEMAND; MODELS</t>
  </si>
  <si>
    <t>The last mile problem of E-grocery Distribution comprises one of the most costly and highest polluting components of the supply chain in which companies deliver goods to end customers. To reduce transport cost and fuel emissions, a new element of ground-based delivery services, autonomous delivery vehicles (ADVs), is included in the E-grocery distribution system for improving delivery efficiency. Thus, the objective of this study is to optimize a two-echelon distribution network for efficient E-grocery delivery, where conventional vans serve the delivery in the first echelon and ADVs serve delivery in the second echelon. The problem is formulated as a two-echelon vehicle routing problem with mixed vehicles (2E-VRP-MV) with a nonlinear objective function, in which the total transport and emission costs are optimized. This optimization is based on the flow assignment at each echelon and to realize routing choice for both the van and ADV. A two-step clustering-based hybrid Genetic Algorithm and Particle Swarm Optimization (C-GA-PSO) algorithm is proposed to solve the problem. First, the end customers are clustered to the intermediate depots, named satellites, based on the minimized distance and maximized demand. To enhance the efficiency of resolving the 2E-VRP-MV-model, a hybrid GA-PSO algorithm is adopted to solve the vehicle routing problem. Computational results of up to 21, 32, 50, and 100 customers show the effectiveness of the methods developed here. At last, the impacts of the layout of the depot-customer and customer density on the total cost are analyzed. This study sheds light on the tactical planning of the multi-echelon sustainable E-grocery delivery network.</t>
  </si>
  <si>
    <t>[Liu, Dan; Mao, Xinhua] Changan Univ, Sch Econ &amp; Management, Xian 710064, Peoples R China; [Deng, Zhenghong] Northwestern Polytech Univ, Sch Automat, Xian 710064, Peoples R China; [Yang, Yang] Beijing Jiaotong Univ, Sch Traff &amp; Transportat, Beijing 100044, Peoples R China; [Liu, Dan; Kaisar, Evangelos I.] Florida Atlantic Univ, Dept Civil Environm &amp; Geomat Engn, Boca Raton, FL 33431 USA; [Yang, Yang] Univ Washington, Dept Civil &amp; Environm Engn, Seattle, WA 98195 USA</t>
  </si>
  <si>
    <t>Chang'an University; Northwestern Polytechnical University; Beijing Jiaotong University; State University System of Florida; Florida Atlantic University; University of Washington; University of Washington Seattle</t>
  </si>
  <si>
    <t>Liu, D (corresponding author), Changan Univ, Sch Econ &amp; Management, Xian 710064, Peoples R China.;Deng, ZH (corresponding author), Northwestern Polytech Univ, Sch Automat, Xian 710064, Peoples R China.;Liu, D; Kaisar, EI (corresponding author), Florida Atlantic Univ, Dept Civil Environm &amp; Geomat Engn, Boca Raton, FL 33431 USA.</t>
  </si>
  <si>
    <t>danbi129@163.com; dthree@nwpu.edu; ekaisar@fau.edu</t>
  </si>
  <si>
    <t>YANG, YANG/ABD-9242-2021</t>
  </si>
  <si>
    <t>YANG, YANG/0000-0002-7132-5860; Liu, Dan/0000-0002-8338-5596; Mao, Xinhua/0000-0003-4977-1538</t>
  </si>
  <si>
    <t>National Natural Science Foundation of China [61806021]; Humanities and Social Sciences Project of Education Ministry [15YJCZH093]; Social Science Fund Project in Shaanxi Province [2014P08]; Theoretical and Practical Research Projects in Shaanxi Province [2020Z358]; Basic Scientific Research Funds of Central Universities [300102239632, 310823160645]; Freight Mobility Research Institute (FMRI), a Tier 1 Transportation Centers</t>
  </si>
  <si>
    <t>National Natural Science Foundation of China(National Natural Science Foundation of China (NSFC)); Humanities and Social Sciences Project of Education Ministry; Social Science Fund Project in Shaanxi Province; Theoretical and Practical Research Projects in Shaanxi Province; Basic Scientific Research Funds of Central Universities; Freight Mobility Research Institute (FMRI), a Tier 1 Transportation Centers</t>
  </si>
  <si>
    <t>This work was supported in part by the National Natural Science Foundation of China under Grant 61806021, in part by the Humanities and Social Sciences Project of Education Ministry under Grant 15YJCZH093, in part by the Social Science Fund Project in Shaanxi Province under Grant 2014P08, in part by the Theoretical and Practical Research Projects in Shaanxi Province under Grant 2020Z358, in part by the Basic Scientific Research Funds of Central Universities under Grant 300102239632 and Grant 310823160645, and in part by the Freight Mobility Research Institute (FMRI), which is a Tier 1 Transportation Centers that were selected by the Office of the Assistant Secretary for Research and Technology (OST-R), U.S. Department of Transportation (U.S. DOT).</t>
  </si>
  <si>
    <t>10.1109/ACCESS.2020.3001753</t>
  </si>
  <si>
    <t>MM0MD</t>
  </si>
  <si>
    <t>WOS:000549853500001</t>
  </si>
  <si>
    <t>Chaudhary, V; Kulshrestha, R; Routroy, S</t>
  </si>
  <si>
    <t>Chaudhary, Vaibhav; Kulshrestha, Rakhee; Routroy, Srikanta</t>
  </si>
  <si>
    <t>State-of-the-art literature review on inventory models for perishable products</t>
  </si>
  <si>
    <t>Shelf life; Inventory control; EOQ model; Multi-echelon inventory modeling; Perishable inventory model; Production model</t>
  </si>
  <si>
    <t>TIME-VARYING DEMAND; STOCK-DEPENDENT DEMAND; RAMP-TYPE DEMAND; WEIBULL DISTRIBUTION DETERIORATION; OPTIMAL REPLENISHMENT POLICY; ORDER QUANTITY MODEL; SUPPLY CHAIN MODEL; PRESERVATION TECHNOLOGY INVESTMENT; BLOOD-PLATELET PRODUCTION; PRICE-SETTING NEWSVENDOR</t>
  </si>
  <si>
    <t>Purpose The purpose of this paper is to review and analyze the perishable inventory models along various dimensions such as its evolution, scope, demand, shelf life, replenishment policy, modeling techniques and research gaps. Design/methodology/approach In total, 418 relevant and scholarly articles of various researchers and practitioners during 1990-2016 were reviewed. They were critically analyzed along author profile, nature of perishability, research contributions of different countries, publication along time, research methodologies adopted, etc. to draw fruitful conclusions. The future research for perishable inventory modeling was also discussed and suggested. Findings There are plethora of perishable inventory studies with divergent objectives and scope. Besides demand and perishable rate in perishable inventory models, other factors such as price discount, allow shortage or not, inflation, time value of money and so on were found to be combined to make it more realistic. The modeling of inventory systems with two or more perishable items is limited. The multi-echelon inventory with centralized decision and information sharing is acquiring lot of importance because of supply chain integration in the competitive market. Research limitations/implications Only peer-reviewed journals and conference papers were analyzed, whereas the manuals, reports, white papers and blood-related articles were excluded. Clustering of literature revealed that future studies should focus on stochastic modeling. Practical implications Stress had been laid to identify future research gaps that will help in developing realistic models. The present work will form a guideline to choose the appropriate methodology(s) and mathematical technique(s) in different situations with perishable inventory. Originality/value The current review analyzed 419 research papers available in the literature on perishable inventory modeling to summarize its current status and identify its potential future directions. Also the future research gaps were uncovered. This systemic review is strongly felt to fill the gap in the perishable inventory literature and help in formulating effective strategies to design of an effective and efficient inventory management system for perishable items.</t>
  </si>
  <si>
    <t>[Chaudhary, Vaibhav; Routroy, Srikanta] BITS Pilani, Mech Engn, Pilani, Rajasthan, India; [Kulshrestha, Rakhee] BITS Pilani, Math, Pilani, Rajasthan, India</t>
  </si>
  <si>
    <t>Birla Institute of Technology &amp; Science Pilani (BITS Pilani); Birla Institute of Technology &amp; Science Pilani (BITS Pilani)</t>
  </si>
  <si>
    <t>Routroy, S (corresponding author), BITS Pilani, Mech Engn, Pilani, Rajasthan, India.</t>
  </si>
  <si>
    <t>srikantaroutroy@gmail.com</t>
  </si>
  <si>
    <t>, Rakhee/0000-0002-5278-0390</t>
  </si>
  <si>
    <t>10.1108/JAMR-09-2017-0091</t>
  </si>
  <si>
    <t>GO1GD</t>
  </si>
  <si>
    <t>WOS:000439696800005</t>
  </si>
  <si>
    <t>Sommarberg, M; Mäkinen, SJ</t>
  </si>
  <si>
    <t>Sommarberg, Matti; Makinen, Saku J.</t>
  </si>
  <si>
    <t>A method for anticipating the disruptive nature of digitalization in the machine-building industry</t>
  </si>
  <si>
    <t>Portland International Conference on Management of Engineering and Technology (PIMCET)</t>
  </si>
  <si>
    <t>Portland, OR</t>
  </si>
  <si>
    <t>Technology foresight; Visual analogue scale; Disruptive technologies; Industry transformation; Strategy formation</t>
  </si>
  <si>
    <t>DYNAMIC CAPABILITIES; CONNECTED PRODUCTS; DOMINANT LOGIC; TECHNOLOGIES; INNOVATION; IDENTIFICATION; COMPETITION; DESIGN; SMART</t>
  </si>
  <si>
    <t>The purpose of this paper is to create a technology foresight method in which the visual analogue scale is used to harness the wisdom of expert crowds, namely, industry experts, in anticipating potential disruptions in an industry. In an empirical demonstration, we investigate experts' views and perceptions of possible future disruption caused by digitalization in an established machine-building industry. We demonstrate the usability of the proposed method in detecting future worldviews of experts grouped by their position in the value chain. The results show polarized responses, with considerable clustering among groups. For example, respondents who were inclined to view digital technologies as disruptive (i.e., as changing the paradigm of value creation in machine-building) also viewed them as related more to service and business models than to products and operation. We discuss the theoretical and practical contributions of the proposed method and suggest fruitful avenues for future research.</t>
  </si>
  <si>
    <t>[Sommarberg, Matti; Makinen, Saku J.] Tampere Univ Technol, POB 541, FI-33101 Tampere, Finland</t>
  </si>
  <si>
    <t>Tampere University</t>
  </si>
  <si>
    <t>Sommarberg, M (corresponding author), Tampere Univ Technol, POB 541, FI-33101 Tampere, Finland.</t>
  </si>
  <si>
    <t>matti.sommarberg@tut.fi; saku.makinen@tut.fi</t>
  </si>
  <si>
    <t>makinen, saku j/G-4352-2014</t>
  </si>
  <si>
    <t>Makinen, Saku Juhani/0000-0001-5163-4757; Sommarberg, Matti/0000-0003-1276-3518</t>
  </si>
  <si>
    <t>10.1016/j.techfore.2018.07.044</t>
  </si>
  <si>
    <t>JR9FS</t>
  </si>
  <si>
    <t>WOS:000499922800064</t>
  </si>
  <si>
    <t>Almeida, P; de Abreu, JF; Oliveira, R; Gomes, D</t>
  </si>
  <si>
    <t>Almeida, Pedro; de Abreu, Jorge Ferraz; Oliveira, Rita; Gomes, Diogo</t>
  </si>
  <si>
    <t>A video engine supported by social buzz to automatically create TV summaries</t>
  </si>
  <si>
    <t>TV summary; Highlights; Twitter activity; Evaluation</t>
  </si>
  <si>
    <t>Viewers post a lot of TV program-related information on social networks while they are watching TV, especially during its key moments. Therefore, this social buzz has the potential to be used as an automatic editorial criterion. Having this premise in consideration, this paper reports on the nowUP solution, a service developed with the main goal of automatically creating TV summaries of popular television programs (like football matches, talent or reality shows) based on the Twitter activity and integrating a part of that activity in the TV show summary. A data-mining engine continuously processes the activity of this social network looking for tweets associated with the TV shows. Based on the program metadata it indexes the twitter activity; correlates tweets; and creates clusters of peaks, being the relevant clusters associated with the highlights of the TV show. With this, the video engine automatically creates a full video summary (an edited sequence of TV highlights) and publishes it in an online platform and on a Catch-up TV service. The paper reports on the nowUP development and on the results of its evaluation, namely comparing its outputs with official editorial/ professional video summaries. The results show that the solution was very successful in achieving the project main goal and users want to have access to this type of social buzz based video summaries. The nowUP solution also promises potential gains in the value chain of TV producers and broadcasters.</t>
  </si>
  <si>
    <t>[Almeida, Pedro; de Abreu, Jorge Ferraz; Oliveira, Rita] Univ Aveiro, Dept Commun &amp; Art, Digimedia, Aveiro, Portugal; [Gomes, Diogo] Univ Aveiro, Dept Elect Telecommun &amp; Informat, Inst Telecommun, Aveiro, Portugal</t>
  </si>
  <si>
    <t>Universidade de Aveiro; Universidade de Aveiro; Instituto de Telecomunicacoes</t>
  </si>
  <si>
    <t>Almeida, P (corresponding author), Univ Aveiro, Dept Commun &amp; Art, Digimedia, Aveiro, Portugal.</t>
  </si>
  <si>
    <t>almeida@ua.pt; jfa@ua.pt; ritaoliveira@ua.pt; dgomes@ua.pt</t>
  </si>
  <si>
    <t>Oliveira, Rita/IZQ-6191-2023; Aguiar, Rui L/B-5452-2009; Almeida, Pedro/AAA-5104-2020; Oliveira, Rita/I-8394-2014; Abreu, Jorge/G-9141-2014; Gomes, Diogo/E-9376-2010; Almeida, Pedro/GVU-5277-2022; Gomes, Diogo/AAB-8850-2020; Oliveira, Rita/IWD-5185-2023</t>
  </si>
  <si>
    <t>Oliveira, Rita/0000-0003-3835-1183; Aguiar, Rui L/0000-0003-0107-6253; Almeida, Pedro/0000-0001-5878-3317; Oliveira, Rita/0000-0001-6041-9469; Abreu, Jorge/0000-0002-0492-2307; Gomes, Diogo/0000-0002-5848-2802; Almeida, Pedro/0000-0001-5878-3317; Gomes, Diogo/0000-0002-5848-2802;</t>
  </si>
  <si>
    <t>10.1007/s11042-018-5723-0</t>
  </si>
  <si>
    <t>GQ5VH</t>
  </si>
  <si>
    <t>WOS:000441760900054</t>
  </si>
  <si>
    <t>Hu, X; Han, YM; Yu, B; Geng, ZQ; Fan, JZ</t>
  </si>
  <si>
    <t>Hu, Xuan; Han, Yongming; Yu, Bin; Geng, Zhiqiang; Fan, Jinzhen</t>
  </si>
  <si>
    <t>Novel leakage detection and water loss management of urban water supply network using multiscale neural networks</t>
  </si>
  <si>
    <t>Leakage detection; Water loss management; DBSCAN; Fully convolutional neural network; MFCN; Water distribution system</t>
  </si>
  <si>
    <t>DISTRIBUTION-SYSTEMS; PIPE BREAKS; MODEL; LOCATION</t>
  </si>
  <si>
    <t>Due to the acceleration of urbanization, water supply pipe networks often lack the planning. Using the series number of the pipes as category label will result in too many classification categories, and requires many training data to achieve detected accuracy. Therefore, this paper proposes novel leakage detection model based on density based spatial clustering of applications with noise (DBSCAN) and multiscale fully convolutional networks (MFCN) (DBSCAN-MFCN) to manage the water loss. In order to reduce the number of categories, a large water network is divided into a number of zones by the DBSCAN. The zones are used as the learning labels, which reduces the size of the output matrix of the MFCN. Then the leakage detection model is built based on the proposed method to detect the leakage area. Compared with support vector machine (SVM), Naive Bayes Classifier (NBC) and k-Nearest Neighbor (KNN), the accuracy of the proposed method is improved by 78%, 72% and 28%, respectively. Meanwhile, the proposed method can solve the problem of leakage area detection, improve leakage detection efficiency and reduce water loss. (C) 2020 Elsevier Ltd. All rights reserved.</t>
  </si>
  <si>
    <t>[Hu, Xuan; Han, Yongming; Geng, Zhiqiang] Beijing Univ Chem Technol, Coll Informat Sci &amp; Technol, Beijing 100029, Peoples R China; [Hu, Xuan; Han, Yongming; Geng, Zhiqiang] Minist Educ China, Engn Res Ctr Intelligent PSE, Beijing 100029, Peoples R China; [Yu, Bin] Hengli Petrochem Co LTD, Dalian 116000, Liaoning, Peoples R China; [Fan, Jinzhen] Genentech Inc, Dept Stat Programming &amp; Anal, Prod Dev, San Francisco, CA USA</t>
  </si>
  <si>
    <t>Beijing University of Chemical Technology; Ministry of Education, China; Roche Holding; Genentech</t>
  </si>
  <si>
    <t>Han, YM; Geng, ZQ (corresponding author), Beijing Univ Chem Technol, Coll Informat Sci &amp; Technol, Beijing 100029, Peoples R China.</t>
  </si>
  <si>
    <t>hanym@mail.buct.edu.cn; gengzhiqiang@mail.buct.edu.cn</t>
  </si>
  <si>
    <t>National Natural Science Foundation of China [61673046, 21978013]; Fundamental Research Funds for the Central Universities [XK1802-4]; Industrial Internet innovation and development project [TC19084DY]; Science and Technology Major Project of Guizhou Province (Guizhou Branch) [[2018]3002]</t>
  </si>
  <si>
    <t>National Natural Science Foundation of China(National Natural Science Foundation of China (NSFC)); Fundamental Research Funds for the Central Universities(Fundamental Research Funds for the Central Universities); Industrial Internet innovation and development project; Science and Technology Major Project of Guizhou Province (Guizhou Branch)</t>
  </si>
  <si>
    <t>This work is partly funded by the National Natural Science Foundation of China (61673046 and 21978013), the Fundamental Research Funds for the Central Universities (XK1802-4), Industrial Internet innovation and development project (TC19084DY) and Science and Technology Major Project of Guizhou Province (Guizhou Branch [2018]3002).</t>
  </si>
  <si>
    <t>10.1016/j.jclepro.2020.123611</t>
  </si>
  <si>
    <t>OV7NL</t>
  </si>
  <si>
    <t>WOS:000592391600017</t>
  </si>
  <si>
    <t>Paredes-Belmar, G; Montero, E; Leonardini, O</t>
  </si>
  <si>
    <t>Paredes-Belmar, German; Montero, Elizabeth; Leonardini, Omar</t>
  </si>
  <si>
    <t>A milk transportation problem with milk collection centers and vehicle routing</t>
  </si>
  <si>
    <t>ISA TRANSACTIONS</t>
  </si>
  <si>
    <t>Milk collection problem; Milk collection centers; Vehicle routing; Mixed integer linear programming; Iterated local search</t>
  </si>
  <si>
    <t>LOCAL SEARCH ALGORITHM; SUPPLY CHAIN; DELIVERY; METHODOLOGY</t>
  </si>
  <si>
    <t>In this work, we study, model, and propose two approaches to solve a raw milk transportation problem inspired by a real case of a milk company in Chile. The milk is produced by a set of farms scattered in a large rural area. The company must collect all the production daily using a truck fleet. We address the location of milk collection centers to reduce transportation costs. Each center has a limited capacity and a reduced truck fleet, composed of small trucks, to collect a substantial proportion of the produced milk. Once the milk is accumulated in the collection centers, a fleet of big trucks, traveling from a processing plant, collects the milk of each collection center and some large farms. We propose a mixed-integer linear programming model, a three-stage approach based on mathematical models, and an iterated local search approach to face this problem. We evaluate these approaches' performance using a small case and several real-world examples, including a clustering approach to divide the instance into small sub-instances. The results obtained for the real-world instance show improvements of up to 10% percent when milk collection centers are allowed. (c) 2021 ISA. Published by Elsevier Ltd. All rights reserved.</t>
  </si>
  <si>
    <t>[Paredes-Belmar, German] Pontificia Univ Catolica Valparaiso, Sch Ind Engn, Valparaiso, Chile; [Montero, Elizabeth] Univ Andres Bello, Fac Engn, Santiago, Chile; [Leonardini, Omar] Univ Andres Bello, Ind Engn Program, Santiago, Chile</t>
  </si>
  <si>
    <t>Pontificia Universidad Catolica de Valparaiso; Universidad Andres Bello; Universidad Andres Bello</t>
  </si>
  <si>
    <t>Montero, E (corresponding author), Univ Andres Bello, Fac Engn, Santiago, Chile.</t>
  </si>
  <si>
    <t>german.paredes@pucv.cl; elizabeth.montero@unab.cl; o.leonardinicavero@uandresbello.edu</t>
  </si>
  <si>
    <t>Montero, Elizabeth/G-8298-2015; Paredes-Belmar, Germán/M-4185-2016</t>
  </si>
  <si>
    <t>Montero, Elizabeth/0000-0002-1690-3875; Paredes-Belmar, Germán/0000-0002-5881-124X</t>
  </si>
  <si>
    <t>Fondecyt [11170102]</t>
  </si>
  <si>
    <t>Fondecyt(Comision Nacional de Investigacion Cientifica y Tecnologica (CONICYT)CONICYT FONDECYT)</t>
  </si>
  <si>
    <t>Acknowledgments The authors thank the review of this paper by three reviewers and Area Editor and their constructive comments.This research was supported by the Fondecyt grant number 11170102.</t>
  </si>
  <si>
    <t>0019-0578</t>
  </si>
  <si>
    <t>1879-2022</t>
  </si>
  <si>
    <t>ISA T</t>
  </si>
  <si>
    <t>ISA Trans.</t>
  </si>
  <si>
    <t>10.1016/j.isatra.2021.04.020</t>
  </si>
  <si>
    <t>Automation &amp; Control Systems; Engineering, Multidisciplinary; Instruments &amp; Instrumentation</t>
  </si>
  <si>
    <t>Automation &amp; Control Systems; Engineering; Instruments &amp; Instrumentation</t>
  </si>
  <si>
    <t>0P7ZR</t>
  </si>
  <si>
    <t>WOS:000784448600012</t>
  </si>
  <si>
    <t>Jin, T; Li, L</t>
  </si>
  <si>
    <t>Jin, Ting; Li, Lei</t>
  </si>
  <si>
    <t>An empirical analysis of pork price fluctuations in China with the autoregressive conditional heteroscedasticity model</t>
  </si>
  <si>
    <t>CIENCIA RURAL</t>
  </si>
  <si>
    <t>pork price; price fluctuation; ARCH model; asymmetry</t>
  </si>
  <si>
    <t>VARYING RISK PREMIA; RATIONAL-EXPECTATIONS; TRANSMISSION; COMMODITIES</t>
  </si>
  <si>
    <t>Pork price fluctuations are closely related to the national economy and people's livelihoods in China. Based on the monthly pork price fluctuations in China from January 2011 to August 2022, this study uses ARCH family models to assess the characteristics and laws of these fluctuations in China. The pork price fluctuations show obvious clustering, with external shock information from the previous month affecting the pork price in the following period; the pork market price is characterized by risk compensation, with the high risk of pork supply driving the pork price up. In addition, the pork price fluctuations are characterized by asymmetry, with a greater impact of good than of bad news on the pork price. Due to the pork industry' low entry threshold and the existence of sunk costs, positive information on the pork market has a stronger impact on price fluctuations than negative information. To guide pork supply, we recommend improving monitoring and early-warning mechanisms in the pork market to identify the pork price volatility threshold and measure the price volatility. In addition, price index insurance products should be constantly strengthened, with different types of insurance products being offered to meeting the insurance demand of various sectors in the pig meat supply chain.</t>
  </si>
  <si>
    <t>[Jin, Ting] Beijing Technol &amp; Business Univ, Capital Circulat Res Base, Beijing 100048, Peoples R China; [Jin, Ting] China Agr Univ, Coll Econ &amp; Management, Beijing, Peoples R China; [Li, Lei] Zhejiang A&amp;F Univ, Coll Econ &amp; Management, Hangzhou, Peoples R China</t>
  </si>
  <si>
    <t>Beijing Technology &amp; Business University; China Agricultural University; Zhejiang A&amp;F University</t>
  </si>
  <si>
    <t>Li, L (corresponding author), Zhejiang A&amp;F Univ, Coll Econ &amp; Management, Hangzhou, Peoples R China.</t>
  </si>
  <si>
    <t>lileicem@outlook.com</t>
  </si>
  <si>
    <t>Capital Circulation Research Base in China [JD-KFKT-2021-004]; Zhejiang A amp; F University [W20220182]; Tsinghua Rural Studies PhD Scholarship [202116]</t>
  </si>
  <si>
    <t>Capital Circulation Research Base in China; Zhejiang A amp; F University; Tsinghua Rural Studies PhD Scholarship</t>
  </si>
  <si>
    <t>The authors would like to acknowledge the Funds by Capital Circulation Research Base in China (Grant No. JD-KFKT-2021-004) , Zhejiang A &amp; F University (Grant No.W20220182) , and Tsinghua Rural Studies PhD Scholarship (Grant No.202116) .</t>
  </si>
  <si>
    <t>UNIV FEDERAL SANTA MARIA</t>
  </si>
  <si>
    <t>SANTA MARIA</t>
  </si>
  <si>
    <t>CIDADE UNIV, BAIRRO CAMOBI, SANTA MARIA, RS 97105-900, BRAZIL</t>
  </si>
  <si>
    <t>0103-8478</t>
  </si>
  <si>
    <t>1678-4596</t>
  </si>
  <si>
    <t>CIENC RURAL</t>
  </si>
  <si>
    <t>Cienc. Rural</t>
  </si>
  <si>
    <t>e20220197</t>
  </si>
  <si>
    <t>10.1590/0103-8478cr20220197</t>
  </si>
  <si>
    <t>O8NC4</t>
  </si>
  <si>
    <t>WOS:001046314200001</t>
  </si>
  <si>
    <t>Gan, GY; Su, JY</t>
  </si>
  <si>
    <t>Gan, Guo-Ya; Su, Jui-Yuan</t>
  </si>
  <si>
    <t>A New Reclassification in International Container Transport Market Based on the Impact of One Belt And One Road Initiative</t>
  </si>
  <si>
    <t>JOURNAL OF MARINE SCIENCE AND TECHNOLOGY-TAIWAN</t>
  </si>
  <si>
    <t>International container ports; Peer-appraisal; Cross-efficiency; Data envelopment analysis (DEA); One Belt And One Road  initiative</t>
  </si>
  <si>
    <t>DATA ENVELOPMENT ANALYSIS; PERFORMANCE EVALUATION; SUPPLY CHAIN; INVERSE DEA; PORT; EFFICIENCY; MODEL; LOGISTICS; FRONTIER; CHINA</t>
  </si>
  <si>
    <t>Research about the efficiency of the world's major container ports has always being one of the hot issues in container port market. Especially when the One Belt And One Road initiative proposed in 2013, the pattern of the world container market is constantly changing. This study aims at examining the changes in world's top 20 international container ports in the new era of the shipping competition market. In current study, we obtained the input data from the Containerization International Yearbook and the journal of commerce annual top world container ports. The concept of 'self-appraisal' and 'peer-appraisal' is proposed to construct a new reclassification for clustering world's top container ports into three different types. This study exposes that the world's international container market is showing a good development momentum by the impact of the One Belt And One Road initiative. However, the situations of inputs surplus or waste resources also exist in some top international container ports. According to characteristics and demands of each port, we put forward some corresponding recommendations with which the operators can adjust their operations and marketing strategies.</t>
  </si>
  <si>
    <t>[Gan, Guo-Ya] Nanjing Audit Univ, Coll Auditing &amp; Evaluat, Nanjing, Peoples R China; [Su, Jui-Yuan] Ming Chuan Univ, Dept New Media &amp; Commun Adm, Taipei, Taiwan</t>
  </si>
  <si>
    <t>Nanjing Audit University; Ming Chuan University</t>
  </si>
  <si>
    <t>Su, JY (corresponding author), Ming Chuan Univ, Dept New Media &amp; Commun Adm, Taipei, Taiwan.</t>
  </si>
  <si>
    <t>rysu@mail.mcu.edu.tw</t>
  </si>
  <si>
    <t>natural science research project of university in Jiangsu [19KJB120009]; National Natural Science Foundation of China [71801133]</t>
  </si>
  <si>
    <t>natural science research project of university in Jiangsu; National Natural Science Foundation of China(National Natural Science Foundation of China (NSFC))</t>
  </si>
  <si>
    <t>This research is partially supported by the natural science research project of university in Jiangsu (19KJB120009), and National Natural Science Foundation of China (No. 71801133). The author is also grateful to the comments and suggestions provided by anonymous reviewers.</t>
  </si>
  <si>
    <t>NATL TAIWAN OCEAN UNIV</t>
  </si>
  <si>
    <t>KEELUNG</t>
  </si>
  <si>
    <t>NO 2 PEI-NING RD, KEELUNG, 202, TAIWAN</t>
  </si>
  <si>
    <t>1023-2796</t>
  </si>
  <si>
    <t>2709-6998</t>
  </si>
  <si>
    <t>J MAR SCI TECH-TAIW</t>
  </si>
  <si>
    <t>J. Mar. Sci. Technol.-Taiwan</t>
  </si>
  <si>
    <t>10.51400/2709-6998.1001</t>
  </si>
  <si>
    <t>Engineering, Multidisciplinary; Oceanography</t>
  </si>
  <si>
    <t>RL5FL</t>
  </si>
  <si>
    <t>WOS:000638998800002</t>
  </si>
  <si>
    <t>Kania, A; Afsar, B; Miettinen, K; Sipilä, J</t>
  </si>
  <si>
    <t>Kania, Adhe; Afsar, Bekir; Miettinen, Kaisa; Sipila, Juha</t>
  </si>
  <si>
    <t>DESMILS: a decision support approach for multi-item lot sizing using interactive multiobjective optimization</t>
  </si>
  <si>
    <t>Lot sizes; Inventory management; Interactive method; Multiple criteria optimization; NIMBUS</t>
  </si>
  <si>
    <t>We propose a decision support approach, called DESMILS, to solve multi-item lot sizing problems with a large number of items by using single-item multiobjective lot sizing models. This approach for making lot sizing decisions considers multiple conflicting objective functions and incorporates a decision maker's preferences to find the most preferred Pareto optimal solutions. DESMILS applies clustering, and items in one cluster are treated utilizing preferences that the decision maker has provided for a representative item of the cluster. Thus, the decision maker provides preferences to solve the single-item lot sizing problem for few items only and not for every item. The lot sizes are obtained by solving a multiobjective optimization problem with an interactive method, which iteratively incorporates preference information and supports the decision maker in learning about the trade-offs involved. As a proof of concept to demonstrate the behavior of DESMILS, we solve a multi-item lot sizing problem of a manufacturing company utilizing their real data. We describe how the supply chain manager as the decision maker found Pareto optimal lot sizes for 94 items by solving the single-item multiobjective lot sizing problem for only ten representative items. He found the solutions acceptable and the solution process convenient saving a significant amount of his time.</t>
  </si>
  <si>
    <t>[Kania, Adhe; Afsar, Bekir; Miettinen, Kaisa] Univ Jyvaskyla, Fac Informat Technol, POB 35 Agora, FI-40014 Jyvaskyla, Finland; [Sipila, Juha] JAMK Univ Appl Sci, Sch Technol, Jyvaskyla, Finland; [Kania, Adhe] Inst Teknol Bandung, Fac Math &amp; Nat Sci, Jl Ganesha 10, Bandung 40132, Indonesia</t>
  </si>
  <si>
    <t>University of Jyvaskyla; Jyvaskyla University of Applied Sciences; Institute Technology of Bandung</t>
  </si>
  <si>
    <t>Kania, A (corresponding author), Univ Jyvaskyla, Fac Informat Technol, POB 35 Agora, FI-40014 Jyvaskyla, Finland.;Kania, A (corresponding author), Inst Teknol Bandung, Fac Math &amp; Nat Sci, Jl Ganesha 10, Bandung 40132, Indonesia.</t>
  </si>
  <si>
    <t>adhe.a.kania@student.jyu.fi</t>
  </si>
  <si>
    <t>Kania, Adhe/0000-0001-9586-6226; Sipila, Juha/0000-0003-3146-9656; Afsar, Bekir/0000-0003-3643-2342; Miettinen, Kaisa/0000-0003-1013-4689</t>
  </si>
  <si>
    <t>University of Jyvaskyla(JYU)</t>
  </si>
  <si>
    <t>Open Access funding provided by University of Jyvaskyla(JYU).</t>
  </si>
  <si>
    <t>2023 APR 10</t>
  </si>
  <si>
    <t>10.1007/s10845-023-02112-5</t>
  </si>
  <si>
    <t>D2CL4</t>
  </si>
  <si>
    <t>WOS:000966850700001</t>
  </si>
  <si>
    <t>Chen, ZY; Kuo, RJ</t>
  </si>
  <si>
    <t>Chen, Zhen-Yao; Kuo, R. J.</t>
  </si>
  <si>
    <t>Combining SOM and evolutionary computation algorithms for RBF neural network training</t>
  </si>
  <si>
    <t>Hybrid algorithm; Radial basis function neural network; Self-organizing map neural network; Particle swarm optimization; Genetic algorithm</t>
  </si>
  <si>
    <t>PARTICLE SWARM OPTIMIZATION; SELF-ORGANIZING MAP; GENETIC ALGORITHM; TIME-SERIES; LEARNING ALGORITHM; HYBRID ALGORITHM; TAGUCHI METHOD; MODEL; DEMAND; DESIGN</t>
  </si>
  <si>
    <t>This paper intends to enhance the learning performance of radial basis function neural network (RBFnn) using self-organizing map (SOM) neural network (SOMnn). In addition, the particle swarm optimization (PSO) and genetic algorithm (GA) based (PG) algorithm is employed to train RBFnn for function approximation. The proposed mix of SOMnn with PG (MSPG) algorithm combines the automatically clustering ability of SOMnn and the PG algorithm. The simulation results revealed that SOMnn, PSO and GA approaches can be combined ingeniously and redeveloped into a hybrid algorithm which aims for obtaining a more accurate learning performance among relevant algorithms. On the other hand, method evaluation results for four continuous test function experiments and the demand estimation case showed that the MSPG algorithm outperforms other algorithms and the Box-Jenkins models in accuracy. Additionally, the proposed MSPG algorithm is allowed to be embedded into business' enterprise resource planning system in different industries to provide suppliers, resellers or retailers in the supply chain more accurate demand information for evaluation and so to lower the inventory cost. Next, it can be further applied to the intelligent manufacturing system to cope with real situation in the industry to meet the need of customization.</t>
  </si>
  <si>
    <t>[Chen, Zhen-Yao] DE LIN Inst Technol, Dept Business Adm, New Taipei, Taiwan; [Kuo, R. J.] Natl Taiwan Univ Sci &amp; Technol, Dept Ind Management, Taipei, Taiwan</t>
  </si>
  <si>
    <t>Hungkuo Delin University of Technology; National Taiwan University of Science &amp; Technology</t>
  </si>
  <si>
    <t>Chen, ZY (corresponding author), DE LIN Inst Technol, Dept Business Adm, New Taipei, Taiwan.</t>
  </si>
  <si>
    <t>keyzyc@gmail.com; rjkuo@mail.ntust.edu.tw</t>
  </si>
  <si>
    <t>10.1007/s10845-017-1313-7</t>
  </si>
  <si>
    <t>HM4DK</t>
  </si>
  <si>
    <t>WOS:000459423700012</t>
  </si>
  <si>
    <t>Mishra, A; Verma, P; Tiwari, MK</t>
  </si>
  <si>
    <t>Mishra, Ashutosh; Verma, Priyanka; Tiwari, Manoj Kunnar</t>
  </si>
  <si>
    <t>A circularity-based quality assessment tool to classify the core for recovery businesses</t>
  </si>
  <si>
    <t>Quality indicator; circularity; core classification; sustainability; remanufacturing</t>
  </si>
  <si>
    <t>OPTIMAL ACQUISITION; SUPPLY CHAIN; SORTING POLICIES; PRIORITY VECTOR; ECONOMY; INDICATORS; DESIGN; MAXIMIZATION; DECISIONS; PRODUCTS</t>
  </si>
  <si>
    <t>To realise circularity in the management of used materials and associated recovery practices for value creation, a circularity-based quality assessment tool (CQAT) is proposed in this study. The issue is addressed with core classification based on quality factors assessing circularity at the product level. A circularity-based quality indicator (QI) is developed that classifies the core into reusable, remanufacturable, and recyclable (3R) at the acquisition phases of the core retrieval system. For the validation of CQAT, four real cases of small-medium-sized dismantling firms dealing with engines, motor gearboxes, motor pumps, and refrigerators involved in remanufacturing activities are analysed. The study employs an integrative coefficient correlation maximisation approach (CCMA) and whitenization weight functions (WWF) clustering model that estimates the priorities of regenerative and restorative actions. The result reveals that the severe damage with high disassembly processing time due to destructive disassembly in the post-acquisition phase is highly critical to the circularity of the retrieval system. It exhibits that damage, processing time, value retention classify core into lowest grade at acquisition phases. Since possibilities of value recovery are lost, firms are least concerned with social and environmental considerations. Additionally, the design and functionality dimensions in the inspection majorly classify cores into remanufacturable.</t>
  </si>
  <si>
    <t>[Mishra, Ashutosh; Verma, Priyanka; Tiwari, Manoj Kunnar] Natl Inst Ind Engn NITIE, Operat &amp; Supply Chain Management, Mumbai, Maharashtra, India; [Tiwari, Manoj Kunnar] Indian Inst Technol Kharagpur, Dept Ind &amp; Syst Engn, Kharagpur, W Bengal, India</t>
  </si>
  <si>
    <t>Mishra, A (corresponding author), Natl Inst Ind Engn NITIE, Operat &amp; Supply Chain Management, Mumbai, Maharashtra, India.</t>
  </si>
  <si>
    <t>ashutosh.mishra.2015@nitie.ac.in</t>
  </si>
  <si>
    <t>Tiwari, Manoj Kumar/B-3592-2012; MISHRA, ASHUTOSH/Q-5707-2016</t>
  </si>
  <si>
    <t>Tiwari, Manoj Kumar/0000-0001-8564-1402; MISHRA, ASHUTOSH/0000-0002-3061-8616; Verma, Priyanka/0000-0002-1266-8281</t>
  </si>
  <si>
    <t>10.1080/00207543.2021.1973135</t>
  </si>
  <si>
    <t>5B2PE</t>
  </si>
  <si>
    <t>WOS:000695893100001</t>
  </si>
  <si>
    <t>Sindhu, S; Sharma, S; Manickavasagan, A</t>
  </si>
  <si>
    <t>Sindhu, Sindhu; Sharma, Sonu; Manickavasagan, Annamalai</t>
  </si>
  <si>
    <t>Evaluating chemometric techniques for non-destructive detection of glyphosate residues in single pulse grains by using FTIR spectroscopy</t>
  </si>
  <si>
    <t>JOURNAL OF CONSUMER PROTECTION AND FOOD SAFETY</t>
  </si>
  <si>
    <t>FTIR spectroscopy; Chemometrics; Pulses; Non-destructive detection; Glyphosate residues</t>
  </si>
  <si>
    <t>RAPID-DETERMINATION; PESTICIDE-RESIDUES; SEPARATION</t>
  </si>
  <si>
    <t>The measurement of pesticide content in pulses at various stages of the supply chain is important in order to manage the maximum residue level (MRL) set by different government agencies. The objective of this study was to develop a non-destructive detection system to determine the glyphosate content in 6 pulses (chickpea, yellow pea, red lentil, large green lentil, French green lentil, and black beluga lentil) based on Fourier transform infrared spectroscopy (FTIR). Organically grown pulses were artificially spiked with glyphosate at 5 concentrations (0 mg/kg, 5 mg/kg, 10 mg/kg, 15 mg/kg and 20 mg/kg) and used for the development and testing of FTIR spectroscopy and associated chemometric models. Principal component analysis (PCA) led to the discrimination and clustering in the pulse samples based on the applied glyphosate levels. Various preprocessing and variable selection techniques were applied on the spectral dataset and partial least squares (PLS) regression was used to predict the glyphosate levels in pulses. The correlation coefficient for prediction (Rp(2)) of glyphosate was 0.93, 0.92, 0.96, 0.91, 0.96, and 0.92 for yellow pea, chickpea, large green lentil, red lentil, black beluga, and French green lentil, respectively with optimized preprocessing and variable selection techniques.</t>
  </si>
  <si>
    <t>[Sindhu, Sindhu; Sharma, Sonu; Manickavasagan, Annamalai] Univ Guelph, Sch Engn, Guelph, ON N1G 2W1, Canada</t>
  </si>
  <si>
    <t>University of Guelph</t>
  </si>
  <si>
    <t>Manickavasagan, A (corresponding author), Univ Guelph, Sch Engn, Guelph, ON N1G 2W1, Canada.</t>
  </si>
  <si>
    <t>mannamal@uoguelph.ca</t>
  </si>
  <si>
    <t>Manickavasagan, Annamalai/0000-0003-2562-9772</t>
  </si>
  <si>
    <t>Natural Sciences and Engineering Research Council of Canada (NSERC) [401501]; Barrett Sustainable Food Engineering Grant, University of Guelph</t>
  </si>
  <si>
    <t>Natural Sciences and Engineering Research Council of Canada (NSERC)(Natural Sciences and Engineering Research Council of Canada (NSERC)); Barrett Sustainable Food Engineering Grant, University of Guelph</t>
  </si>
  <si>
    <t>This research was supported by &amp; nbsp;the Natural Sciences and Engineering Research Council of Canada (NSERC) (401501) and Barrett Sustainable Food Engineering Grant, University of Guelph.</t>
  </si>
  <si>
    <t>SPRINGER INT PUBL AG</t>
  </si>
  <si>
    <t>1661-5751</t>
  </si>
  <si>
    <t>1661-5867</t>
  </si>
  <si>
    <t>J CONSUM PROT FOOD S</t>
  </si>
  <si>
    <t>J. Consum. Prot. Food Saf.</t>
  </si>
  <si>
    <t>10.1007/s00003-023-01447-8</t>
  </si>
  <si>
    <t>Q0MB7</t>
  </si>
  <si>
    <t>WOS:001028378300001</t>
  </si>
  <si>
    <t>Prabhakaran, T; Lathabai, HH; Changat, M</t>
  </si>
  <si>
    <t>Prabhakaran, Thara; Lathabai, Hiran H.; Changat, Manoj</t>
  </si>
  <si>
    <t>Detection of paradigm shifts and emerging fields using scientific network: A case study of Information Technology for Engineering</t>
  </si>
  <si>
    <t>Paradigms; Innovations; Information technology; Citation networks; Engineering industry; Clustering; Centrality measures; Path analysis; Flow vergence model</t>
  </si>
  <si>
    <t>CITATION NETWORK; INNOVATION; KNOWLEDGE; PATTERNS; SCIENCE; MODELS; IMPACT</t>
  </si>
  <si>
    <t>Detection of emerging fields in any industry is of great importance to the industrialists, engineers and policy makers of business as well as state administration. Exact awareness of the paradigm which governs current research activities and chances of likely paradigm shifts which could redefine the research approaches, is very crucial for the actors of scientific community and policy makers. Excellent technologies in IT, even accelerated the scientific and applied ontological pursuit in both academia as well as industry. In this work, network approach is advocated for the identification of innovations, new paradigms and emerging fields in the IT industry in the research area 'engineering'. The network is a scientific network of research publications which reflects the volume and flow of scientific activities. Centrality analysis, path analysis, cluster analysis, etc. are used to identify the key papers of paradigm shifts, emerging fields, relatively important clusters and works respectively. A new metric, flow vergence index is devised for cluster analysis, The paradigm shift identified from this network is REID technology, related with the supply chain management. With proper economic and policy supports, there are some good reasons to look forward for more wonders from the industry. (C) 2014 Elsevier Inc. All rights reserved.</t>
  </si>
  <si>
    <t>[Prabhakaran, Thara; Lathabai, Hiran H.; Changat, Manoj] Univ Kerala, Dept Futures Studies, Thiruvananthapuram 695034, Kerala, India</t>
  </si>
  <si>
    <t>University of Kerala</t>
  </si>
  <si>
    <t>Changat, M (corresponding author), Univ Kerala, Dept Futures Studies, Thiruvananthapuram 695034, Kerala, India.</t>
  </si>
  <si>
    <t>mchangat@gmail.com</t>
  </si>
  <si>
    <t>Lathabai, Hiran H/AAF-4552-2019</t>
  </si>
  <si>
    <t>Prabhakaran, Thara/0000-0002-3494-6801; lathabai, hiran/0000-0002-5633-9842; Changat, Manoj/0000-0001-7257-6031</t>
  </si>
  <si>
    <t>10.1016/j.techfore.2014.02.003</t>
  </si>
  <si>
    <t>CA5OY</t>
  </si>
  <si>
    <t>WOS:000348958900009</t>
  </si>
  <si>
    <t>Kawser, AQMR; Foysal, MJ; Chua, EG; Ali, MH; Mannan, A; Siddik, MAB; Paul, SI; Rahman, MM; Tay, A</t>
  </si>
  <si>
    <t>Kawser, A. Q. M. Robiul; Foysal, Md Javed; Chua, Eng Guan; Ali, Md Hazrat; Mannan, Adnan; Siddik, Muhammad A. B.; Paul, Sulav Indra; Rahman, Md Mahbubur; Tay, Alfred</t>
  </si>
  <si>
    <t>Microbiome data reveal significant differences in the bacterial diversity in freshwater rohu (Labeo rohita) across the supply chain in Dhaka, Bangladesh</t>
  </si>
  <si>
    <t>LETTERS IN APPLIED MICROBIOLOGY</t>
  </si>
  <si>
    <t>bioinformatics; fish; metagenomics; microbial contamination; post-harvest</t>
  </si>
  <si>
    <t>FISH; ACCUMULATION; MARKETS</t>
  </si>
  <si>
    <t>The present study aimed to characterize and compare the skin and gut microbial communities of rohu at various post-harvest stages of consumption using quantitative real-time polymerase chain reaction and 16S rRNA-based amplicon sequencing. Real-time PCR amplification detected higher copy numbers for coliform bacteria-Escherichia coli, Salmonella enterica and Shigella spp. in the marketed fish-compared to fresh and frozen samples. The 16S rRNA data revealed higher alpha diversity measurements in the skin of fish from different retail markets of Dhaka city. Beta ordination revealed distinct clustering of bacterial OTUs for the skin and gut samples from three different groups. At the phylum level, Proteobacteria was most abundant in all groups except the Fusobacteria in the control fish gut. Although Aeromonas was found ubiquitous in all types of samples, diverse bacterial genera were identified in the marketed fish samples. Nonetheless, low species richness was observed for the frozen fish. Most of the differentially abundant bacteria in the skin samples of marketed fish are opportunistic human pathogens enriched at different stages of postharvest handling and processing. Therefore, considering the microbial contamination in the aquatic environment in Bangladesh, post-harvest handling should be performed with proper methods and care to minimize bacterial transmission into fish.</t>
  </si>
  <si>
    <t>[Kawser, A. Q. M. Robiul] Bangabandhu Sheikh Mujibur Rahman Agr Univ, Dept Aquaculture, Gazipur, Bangladesh; [Kawser, A. Q. M. Robiul] Univ Nottingham, Sch Vet Med &amp; Sci, Nottingham, England; [Foysal, Md Javed; Ali, Md Hazrat] Shahjalal Univ Sci &amp; Technol, Dept Genet Engn &amp; Biotechnol, Sylhet, Bangladesh; [Foysal, Md Javed] Curtin Univ, Sch Mol &amp; Life Sci, Perth, WA, Australia; [Chua, Eng Guan; Tay, Alfred] Univ Western Australia, Sch Biomed Sci, Perth, WA, Australia; [Mannan, Adnan] Univ Chittagong, Fac Biol Sci, Dept Genet Engn &amp; Biotechnol, Chattogram, Bangladesh; [Siddik, Muhammad A. B.] Patuakhali Sci &amp; Technol Univ, Dept Fisheries Biol &amp; Genet, Patuakhali, Bangladesh; [Paul, Sulav Indra; Rahman, Md Mahbubur] Bangabandhu Sheikh Mujibur Rahman Agr Univ, Inst Biotechnol &amp; Genet Engn, Gazipur, Bangladesh</t>
  </si>
  <si>
    <t>Bangabandhu Sheikh Mujibur Rahman Agricultural University (BSMRAU); University of Nottingham; Shahjalal University of Science &amp; Technology (SUST); Curtin University; University of Western Australia; University of Chittagong; Bangabandhu Sheikh Mujibur Rahman Agricultural University (BSMRAU)</t>
  </si>
  <si>
    <t>Foysal, MJ (corresponding author), Curtin Univ, Sch Mol &amp; Life Sci, Perth, WA, Australia.</t>
  </si>
  <si>
    <t>mdjaved.foysal@curtin.edu.au</t>
  </si>
  <si>
    <t>Tay, Chin Yen/AAZ-8785-2021; Paul, Sulav Indra/ABH-5145-2020; Chua, Eng Guan/W-3023-2019; Siddik, Shoaib M/ABB-1947-2021; Foysal, Javed/S-9971-2019</t>
  </si>
  <si>
    <t>Tay, Chin Yen/0000-0001-9705-4010; Paul, Sulav Indra/0000-0001-8331-8011; Chua, Eng Guan/0000-0002-1508-5284; Siddik, Shoaib M/0000-0002-3636-1639; Foysal, Javed/0000-0002-2064-8897; Kawser, A.Q.M. Robiul/0000-0001-5882-9573</t>
  </si>
  <si>
    <t>0266-8254</t>
  </si>
  <si>
    <t>1472-765X</t>
  </si>
  <si>
    <t>LETT APPL MICROBIOL</t>
  </si>
  <si>
    <t>Lett. Appl. Microbiol.</t>
  </si>
  <si>
    <t>10.1111/lam.13739</t>
  </si>
  <si>
    <t>Biotechnology &amp; Applied Microbiology; Microbiology</t>
  </si>
  <si>
    <t>4P8QN</t>
  </si>
  <si>
    <t>WOS:000810159700001</t>
  </si>
  <si>
    <t>Cheng, YS; Pan, XW</t>
  </si>
  <si>
    <t>Cheng, Yusi; Pan, Xinwei</t>
  </si>
  <si>
    <t>Design of a Support System for Complicated Logistics Location Integrating Big Data</t>
  </si>
  <si>
    <t>ADVANCES IN CIVIL ENGINEERING</t>
  </si>
  <si>
    <t>SUPPLY CHAIN MANAGEMENT; GREEDY ALGORITHM; DATA ANALYTICS; TRANSPORT; OPTIMIZATION; INTERNET; SERVICE; THINGS; MODEL</t>
  </si>
  <si>
    <t>Logistics location is an important component of logistics planning that affects traffic pressure and vehicle emissions. To date, there has not been an adequate study of the integration of big data into the location for a complicated logistics system. This study developed a decision support system that can address location problems for complicated logistics systems, e.g., a multilevel urban underground logistics system (ULS), using logistics big data. First, information needed in the logistics location, such as the traffic performance index (TPI) and the origin/destination (OD) matrix, was collected and calculated using a big data platform, and this information was digitized and represented based on a geographic information system (GIS) tool. Second, a two-stage location model for a ULS was designed to balance the construction costs and traffic congestion. The first stage is establishing a set-covering model to identify optimum locations for secondary hubs based on the ant colony optimization algorithm, and the second stage is clustering of the secondary hubs to determine locations for primary hubs using the iterative self-organizing data analysis technique algorithm (ISODATA). Finally, the Xianlin district of Nanjing, China, was chosen as a case study to validate the effectiveness of the proposed system. The system can be used to facilitate logistics network planning and to promote the application of big data in logistics.</t>
  </si>
  <si>
    <t>[Cheng, Yusi] Southeast Univ, Sch Civil Engn, 2 Sipailou, Nanjing 210096, Jiangsu, Peoples R China; [Pan, Xinwei] PLA Univ Army Engn, Sch Def Engn, 88 Houbiaoying Rd, Nanjing 210014, Jiangsu, Peoples R China</t>
  </si>
  <si>
    <t>Southeast University - China</t>
  </si>
  <si>
    <t>Cheng, YS (corresponding author), Southeast Univ, Sch Civil Engn, 2 Sipailou, Nanjing 210096, Jiangsu, Peoples R China.</t>
  </si>
  <si>
    <t>101012017@seu.edu.cn; lindapan106@163.com</t>
  </si>
  <si>
    <t>National Natural Science Foundation of China [71601047, 71601095, 71631007]</t>
  </si>
  <si>
    <t>This research was funded by the National Natural Science Foundation of China (grant nos. 71601047, 71601095, and 71631007).</t>
  </si>
  <si>
    <t>1687-8086</t>
  </si>
  <si>
    <t>1687-8094</t>
  </si>
  <si>
    <t>ADV CIV ENG</t>
  </si>
  <si>
    <t>Adv. Civ. Eng.</t>
  </si>
  <si>
    <t>JAN 15</t>
  </si>
  <si>
    <t>10.1155/2021/6697755</t>
  </si>
  <si>
    <t>PZ9MP</t>
  </si>
  <si>
    <t>WOS:000613071600008</t>
  </si>
  <si>
    <t>Lei, X; Rau, PLP; Huang, HJ</t>
  </si>
  <si>
    <t>Lei, Xin; Rau, Pei-Luen Patrick; Huang, Hanjing</t>
  </si>
  <si>
    <t>Regional differences in the effect of interpersonal relationship on trust and trustworthiness in China</t>
  </si>
  <si>
    <t>PSYCH JOURNAL</t>
  </si>
  <si>
    <t>China; guanxi; interpersonal relationship; trust; trustworthiness</t>
  </si>
  <si>
    <t>SOCIAL DISTANCE; GUANXI; SELF; IDENTITY; CULTURE; RECIPROCITY; COGNITION; AMERICAN; SCALE</t>
  </si>
  <si>
    <t>Guanxi, which literally means interpersonal relationship or social connections, plays an important role in achieving business success in China. This study investigates the effect of interpersonal relationship on trust and trustworthiness in four regions in China. Eighty pairs of close friends participated in the experiment: 20 pairs from Beijing, 20 pairs from Guangdong, 20 pairs from Shanghai, and 20 pairs from Chongqing. A cooperation experiment based on a two-tier simulated supply chain was conducted, in which the participant who played as a supplier solicited demand forecast information from the participant who played as a retailer to plan production. Participants were instructed to perform two tasks: one with a friend counterpart and one with a stranger counterpart. The results demonstrated regional differences in the effects of interpersonal relationship on trust and trustworthiness: the effect of interpersonal relationship was greater in Guangdong than in the other regions. Additionally, a quantified classification of trustworthiness-trust was proposed by clustering analysis. The type of self-protective trustworthiness and altruistic trust occupied an overwhelming majority in each region, followed by the type of altruistic trustworthiness and self-protective trust, the type of altruistic trustworthiness and altruistic trust, and the type of self-protective trustworthiness and self-protective trust. Regional differences in the distribution proportions in the four types were discovered.</t>
  </si>
  <si>
    <t>[Lei, Xin; Rau, Pei-Luen Patrick; Huang, Hanjing] Tsinghua Univ, Dept Ind Engn, 30 Shuangqing Rd, Beijing 100084, Peoples R China</t>
  </si>
  <si>
    <t>Tsinghua University</t>
  </si>
  <si>
    <t>Rau, PLP (corresponding author), Tsinghua Univ, Dept Ind Engn, 30 Shuangqing Rd, Beijing 100084, Peoples R China.</t>
  </si>
  <si>
    <t>lei-x16@mails.tsinghua.edu.cn; rpl@mail.tsinghua.edu.cn; huanghj15@mails.tsinghua.edu.cn</t>
  </si>
  <si>
    <t>Rau, Pei-Luen Patrick/0000-0002-5713-8612</t>
  </si>
  <si>
    <t>National Natural Science Foundation of China [71942005]</t>
  </si>
  <si>
    <t>This work was supported by National Natural Science Foundation of China 71942005.</t>
  </si>
  <si>
    <t>2046-0252</t>
  </si>
  <si>
    <t>2046-0260</t>
  </si>
  <si>
    <t>PSYCH J</t>
  </si>
  <si>
    <t>PsyCh J.</t>
  </si>
  <si>
    <t>10.1002/pchj.486</t>
  </si>
  <si>
    <t>Psychology, Multidisciplinary</t>
  </si>
  <si>
    <t>Psychology</t>
  </si>
  <si>
    <t>XG0JG</t>
  </si>
  <si>
    <t>WOS:000704116900001</t>
  </si>
  <si>
    <t>Gao, ZH; Li, YS; Qu, S; Xu, M</t>
  </si>
  <si>
    <t>Gao, Zhihao; Li, Yashuai; Qu, Shen; Xu, Ming</t>
  </si>
  <si>
    <t>Supply chain-wide sectoral water use characteristics based on multi-perspective measurements</t>
  </si>
  <si>
    <t>Input-output analysis; Water use; Income-based method; Betweenness-based method; Cluster analysis</t>
  </si>
  <si>
    <t>CRITICAL TRANSMISSION SECTORS; INPUT-OUTPUT MODEL; INTERNATIONAL-TRADE; SOCIAL NETWORKS; FOOTPRINT; CONSUMPTION; CHINA; CENTRALITY; EMISSIONS; SHORTAGE</t>
  </si>
  <si>
    <t>To identify the water-use characteristics of sectors, previous studies primarily focused on measuring water use from the production side and the consumption side. In addition to sectors causing pressure on water resources as producers and drivers, there are also other important water-using sectors as primary suppliers and intermediate good suppliers. Income-based and betweenness-based methods are introduced here to measure the water use from these viewpoints. Using China as a case study, the results reveal critical differences between different perspectives, and sectors with novel water use characteristics have been identified. The K-means clustering method is used to cluster 139 sectors into five categories with distinctive features, of which the intermediate production drivers (category 2) are the critical virtual water transmission sectors which are rarely focused on before. New water-saving strategies can be revealed from the income perspective and the betweenness perspective, such as levying an income tax or improving the use efficiency of upstream input. The novelty of this study lies in the application of an unsupervised statistical learning technique to synthesize the different roles played by economic sectors for water-saving. (C) 2020 Elsevier Ltd. All rights reserved.</t>
  </si>
  <si>
    <t>[Gao, Zhihao; Li, Yashuai] Beihang Univ, Sch Econ &amp; Management, Beijing 100191, Peoples R China; [Qu, Shen; Xu, Ming] Univ Michigan, Sch Environm &amp; Sustainabil, Ann Arbor, MI 48109 USA; [Xu, Ming] Univ Michigan, Dept Civil &amp; Environm Engn, Ann Arbor, MI 48109 USA</t>
  </si>
  <si>
    <t>Beihang University; University of Michigan System; University of Michigan; University of Michigan System; University of Michigan</t>
  </si>
  <si>
    <t>Qu, S (corresponding author), Univ Michigan, Sch Environm &amp; Sustainabil, Ann Arbor, MI 48109 USA.</t>
  </si>
  <si>
    <t>shenquin@umich.edu</t>
  </si>
  <si>
    <t>Xu, Ming/F-3653-2010; Xu, Ming/IWM-0504-2023</t>
  </si>
  <si>
    <t>Xu, Ming/0000-0002-7106-8390;</t>
  </si>
  <si>
    <t>National Natural Science Foundation of China [51478025]</t>
  </si>
  <si>
    <t>The authors thank the Reviewers and the Editor for their constructive and helpful comments on the paper. The research was supported by the National Natural Science Foundation of China (No. 51478025).</t>
  </si>
  <si>
    <t>10.1016/j.jclepro.2020.122345</t>
  </si>
  <si>
    <t>ND0JN</t>
  </si>
  <si>
    <t>WOS:000561594800113</t>
  </si>
  <si>
    <t>Ibanez-Sanchez, G; Fernandez-Llatas, C; Martinez-Millana, A; Celda, A; Mandingorra, J; Aparici-Tortajada, L; Valero-Ramon, Z; Munoz-Gama, J; Sepúlveda, M; Rojas, E; Gálvez, V; Capurro, D; Traver, V</t>
  </si>
  <si>
    <t>Ibanez-Sanchez, Gema; Fernandez-Llatas, Carlos; Martinez-Millana, Antonio; Celda, Angeles; Mandingorra, Jesus; Aparici-Tortajada, Lucia; Valero-Ramon, Zoe; Munoz-Gama, Jorge; Sepulveda, Marcos; Rojas, Eric; Galvez, Victor; Capurro, Daniel; Traver, Vicente</t>
  </si>
  <si>
    <t>Toward Value-Based Healthcare through Interactive Process Mining in Emergency Rooms: The Stroke Case</t>
  </si>
  <si>
    <t>process mining; stroke; emergency; value-based healthcare; interactive</t>
  </si>
  <si>
    <t>BIG DATA; MEDICINE; BURDEN; COST; RISK</t>
  </si>
  <si>
    <t>The application of Value-based Healthcare requires not only the identification of key processes in the clinical domain but also an adequate analysis of the value chain delivered to the patient. Data Science and Big Data approaches are technologies that enable the creation of accurate systems that model reality. However, classical Data Mining techniques are presented by professionals as black boxes. This evokes a lack of trust in those techniques in the medical domain. Process Mining technologies are human-understandable Data Science tools that can fill this gap to support the application of Value-Based Healthcare in real domains. The aim of this paper is to perform an analysis of the ways in which Process Mining techniques can support health professionals in the application of Value-Based Technologies. For this purpose, we explored these techniques by analyzing emergency processes and applying the critical timing of Stroke treatment and a Question-Driven methodology. To demonstrate the possibilities of Process Mining in the characterization of the emergency process, we used a real log with 9046 emergency episodes from 2145 stroke patients that occurred from January 2010 to June 2017. Our results demonstrate how Process Mining technology can highlight the differences between the flow of stroke patients compared with that of other patients in an emergency. Further, we show that support for health professionals can be provided by improving their understanding of these techniques and enhancing the quality of care.</t>
  </si>
  <si>
    <t>[Ibanez-Sanchez, Gema; Fernandez-Llatas, Carlos; Martinez-Millana, Antonio; Aparici-Tortajada, Lucia; Valero-Ramon, Zoe; Traver, Vicente] Univ Politecn Valencia, SABIEN ITACA, E-46022 Valencia, Spain; [Fernandez-Llatas, Carlos; Traver, Vicente] Hosp Univ &amp; Politecn La Fe, Inst Invest Sanitaria, Unidad Mixta Reingenieria Proc Sociosanitario eRP, Bulevar Sur S-N, Valencia 46026, Spain; [Celda, Angeles; Mandingorra, Jesus] Hosp Gen Valencia, Av Tres Creus 2, Valencia 46014, Spain; [Mandingorra, Jesus] Univ Catolica Valencia, Sch Nursing, Valencia 46022, Spain; [Munoz-Gama, Jorge; Sepulveda, Marcos; Galvez, Victor] Pontificia Univ Catolica Chile, Sch Engn, Santiago 8320000, Chile; [Rojas, Eric; Capurro, Daniel] Pontificia Univ Catolica Chile, Sch Med, Santiago 8320000, Chile</t>
  </si>
  <si>
    <t>Universitat Politecnica de Valencia; Hospital Universitari i Politecnic La Fe; Universidad Catolica de Valencia San Vicente Martir; Pontificia Universidad Catolica de Chile; Pontificia Universidad Catolica de Chile</t>
  </si>
  <si>
    <t>Fernandez-Llatas, C (corresponding author), Univ Politecn Valencia, SABIEN ITACA, E-46022 Valencia, Spain.;Fernandez-Llatas, C (corresponding author), Hosp Univ &amp; Politecn La Fe, Inst Invest Sanitaria, Unidad Mixta Reingenieria Proc Sociosanitario eRP, Bulevar Sur S-N, Valencia 46026, Spain.</t>
  </si>
  <si>
    <t>geibsan@itaca.upv.es; cfllatas@itaca.upv.es; anmarmil@itaca.upv.es; angelescelda@gmail.com; mandingorra_jes@gva.es; luaptor@itaca.upv.es; zoevara@itaca.upv.es; jmun@ing.puc.cl; marcos@ing.puc.cl; eric.rojas@uc.cl; vagalvez@uc.cl; dcapurro@med.puc.cl; vtraver@itaca.upv.es</t>
  </si>
  <si>
    <t>Capurro, Daniel/AAP-3643-2020; Munoz-Gama, Jorge/E-7135-2013; Martinez-Millana, Antonio/O-8012-2015; Capurro, Daniel/G-2200-2011; Sepulveda, Marcos/C-4007-2011; Mandingorra, Jesús/AAL-1934-2021; Valero-Ramon, Zoe/AAZ-8958-2020; Traver, Vicente/B-8139-2015; Fernandez-Llatas, Carlos/B-2957-2013</t>
  </si>
  <si>
    <t>Munoz-Gama, Jorge/0000-0002-6908-3911; Martinez-Millana, Antonio/0000-0003-1056-5067; Capurro, Daniel/0000-0002-9256-1256; Sepulveda, Marcos/0000-0002-9467-7666; Mandingorra, Jesús/0000-0002-2622-1018; Valero-Ramon, Zoe/0000-0002-4903-3896; Galvez, Victor/0000-0003-1789-703X; Rojas, Eric/0000-0002-2570-1861; Traver, Vicente/0000-0003-1806-8575; Fernandez-Llatas, Carlos/0000-0002-2819-5597</t>
  </si>
  <si>
    <t>Hospital General de Valencia; CONICYT [REDI 170136]; [APE/2019/007 (D.O.G.V.8355/06.08.2018 Annex XIII)]</t>
  </si>
  <si>
    <t>Hospital General de Valencia; CONICYT(Comision Nacional de Investigacion Cientifica y Tecnologica (CONICYT));</t>
  </si>
  <si>
    <t>This research was funded by Hospital General de Valencia thanks to the LOPEZ TRIGO 2017 AWARD and by the CONICYT grant REDI 170136 Project. The APC was funded by the APE/2019/007 (D.O.G.V. 8355/06.08.2018 Annex XIII).</t>
  </si>
  <si>
    <t>10.3390/ijerph16101783</t>
  </si>
  <si>
    <t>IC4WF</t>
  </si>
  <si>
    <t>WOS:000470967500117</t>
  </si>
  <si>
    <t>Shapira, P; Gök, A; Salehi, F</t>
  </si>
  <si>
    <t>Shapira, Philip; Gok, Abdullah; Salehi, Fatemeh</t>
  </si>
  <si>
    <t>Graphene enterprise: mapping innovation and business development in a strategic emerging technology</t>
  </si>
  <si>
    <t>JOURNAL OF NANOPARTICLE RESEARCH</t>
  </si>
  <si>
    <t>Graphene; Web content mining; Enterprise development; Commercialization</t>
  </si>
  <si>
    <t>This paper explores enterprise development and commercialization in the field of graphene. Firm characteristics and relationships, value chain positioning, and factors associated with product entry are examined for a set of 65 graphene-oriented small and medium-sized enterprises located in 16 different countries. As well as secondary sources and bibliometric methods to profile developments in graphene, we use computerized data mining and analytical techniques, including cluster and regression modeling, to identify patterns from publicly available online information on enterprise web sites. We identify groups of graphene small and medium-sized enterprises differentiated by how they are involved with graphene, the materials they target, whether they make equipment, and their orientation toward science and intellectual property. In general, access to finance and the firms' location are significant factors that are associated with graphene product introductions. We also find that patents and scientific publications are not statistically significant predictors of product development in our sample of graphene enterprises. We further identify a cohort of graphene-oriented firms that are signaling plans to develop intermediate graphene products that should have higher value in the marketplace. Our findings suggest that policy needs to ensure attention to the introduction and scale-up of downstream intermediate and final graphene products and associated financial, intermediary, and market identification support. The paper demonstrates novel data methods that can be combined with existing information for real-time intelligence to understand and map enterprise development and commercialization in a rapidly emerging and growing new technology.</t>
  </si>
  <si>
    <t>[Shapira, Philip; Gok, Abdullah; Salehi, Fatemeh] Univ Manchester, Alliance Manchester Business Sch, Manchester Inst Innovat Res, Oxford Rd, Manchester M13 9PL, Lancs, England; [Shapira, Philip] Georgia Inst Technol, Sch Publ Policy, Atlanta, GA 30332 USA</t>
  </si>
  <si>
    <t>University of Manchester; Alliance Manchester Business School; University System of Georgia; Georgia Institute of Technology</t>
  </si>
  <si>
    <t>Shapira, P (corresponding author), Univ Manchester, Alliance Manchester Business Sch, Manchester Inst Innovat Res, Oxford Rd, Manchester M13 9PL, Lancs, England.</t>
  </si>
  <si>
    <t>pshapira@manchester.ac.uk</t>
  </si>
  <si>
    <t>Gok, Abdullah/J-3616-2012; Shapira, Philip/E-4638-2011</t>
  </si>
  <si>
    <t>Gok, Abdullah/0000-0002-9378-3336; Shapira, Philip/0000-0003-2488-5985; Salehi, Fatemeh/0000-0003-4751-049X</t>
  </si>
  <si>
    <t>Nesta; Economic and Social Research Council [ES/J012785/1]; ESRC [ES/J012785/1] Funding Source: UKRI</t>
  </si>
  <si>
    <t>Nesta; Economic and Social Research Council(UK Research &amp; Innovation (UKRI)Economic &amp; Social Research Council (ESRC)); ESRC(UK Research &amp; Innovation (UKRI)Economic &amp; Social Research Council (ESRC))</t>
  </si>
  <si>
    <t>This work was supported by Nesta (Project on Mapping Innovation and Business Growth in a Strategic Emerging Technology: new data sources and methods for real-time intelligence on graphene enterprise development and commercialization); and by the Economic and Social Research Council [Grant Number ES/J012785/1] as part of the project on Emerging Technologies, Trajectories and Implications of Next Generation Innovation Systems Development in China and Russia. We appreciate comments received from James Baker, Liam Collins, and Jan Youtie, and thank Seokbeom Kwon and Chao Li for their assistance.</t>
  </si>
  <si>
    <t>1388-0764</t>
  </si>
  <si>
    <t>1572-896X</t>
  </si>
  <si>
    <t>J NANOPART RES</t>
  </si>
  <si>
    <t>J. Nanopart. Res.</t>
  </si>
  <si>
    <t>SEP 6</t>
  </si>
  <si>
    <t>10.1007/s11051-016-3572-1</t>
  </si>
  <si>
    <t>Chemistry, Multidisciplinary; Nanoscience &amp; Nanotechnology; Materials Science, Multidisciplinary</t>
  </si>
  <si>
    <t>Chemistry; Science &amp; Technology - Other Topics; Materials Science</t>
  </si>
  <si>
    <t>DY6AK</t>
  </si>
  <si>
    <t>Green Published, Green Accepted, hybrid</t>
  </si>
  <si>
    <t>WOS:000385187700001</t>
  </si>
  <si>
    <t>Stienmetz, JL; Fesenmaier, DR</t>
  </si>
  <si>
    <t>Stienmetz, Jason L.; Fesenmaier, Daniel R.</t>
  </si>
  <si>
    <t>Destination Value Systems: Modeling Visitor Flow Structure and Economic Impact</t>
  </si>
  <si>
    <t>JOURNAL OF TRAVEL RESEARCH</t>
  </si>
  <si>
    <t>destination value system; volunteered geographic information; network analysis; value network; visitor flows</t>
  </si>
  <si>
    <t>KNOWLEDGE TRANSFER; NETWORK DIVERSITY; TOURISM; MANAGEMENT; SATISFACTION; FRAMEWORK; LOYALTY; SERVICE; TRAVEL; MACRO</t>
  </si>
  <si>
    <t>This study proposes that the structure of visitor flows within a destination significantly influences the overall economic value generated by visitors. In particular, destination network metrics (i.e., density, in-degree centralization, out-degree centralization, betweenness centralization, and global clustering coefficient) for 29 Florida counties were derived from 4.3 million geotagged photos found on the photo sharing service Flickr and then correlated with visitor-related spending reported by the Florida Department of Revenue. The results of regression analyses indicate that density, out-degree centralization, and in-degree centralization are negatively correlated with total visitor-related spending within a destination, while betweenness centralization is found to have a positive relationship. Based on these findings, it is concluded that the economic value generated by tourism is constrained by the destination network structure of supply-side and demand-side interactions. Further, it is argued that a network orchestrator approach to management can be used to better manage economic impacts within a destination.</t>
  </si>
  <si>
    <t>[Stienmetz, Jason L.] Univ Surrey, Sch Hospitality &amp; Tourism Management, Guildford GU2 7XH, Surrey, England; [Fesenmaier, Daniel R.] Natl Lab Tourism &amp; eCommerce, Gainesville, FL USA</t>
  </si>
  <si>
    <t>University of Surrey</t>
  </si>
  <si>
    <t>Stienmetz, JL (corresponding author), Univ Surrey, Sch Hospitality &amp; Tourism Management, Guildford GU2 7XH, Surrey, England.</t>
  </si>
  <si>
    <t>j.stienmetz@surrey.ac.uk</t>
  </si>
  <si>
    <t>Fesenmaier, Daniel R./HDM-0912-2022; Fesenmaier, Daniel/AAO-9250-2020</t>
  </si>
  <si>
    <t>Fesenmaier, Daniel R./0000-0003-4829-8056;</t>
  </si>
  <si>
    <t>0047-2875</t>
  </si>
  <si>
    <t>1552-6763</t>
  </si>
  <si>
    <t>J TRAVEL RES</t>
  </si>
  <si>
    <t>J. Travel Res.</t>
  </si>
  <si>
    <t>10.1177/0047287518815985</t>
  </si>
  <si>
    <t>Hospitality, Leisure, Sport &amp; Tourism</t>
  </si>
  <si>
    <t>IZ4JN</t>
  </si>
  <si>
    <t>Green Submitted, Green Published</t>
  </si>
  <si>
    <t>WOS:000487050200002</t>
  </si>
  <si>
    <t>Flores, M; Villarreal, A; Flores, S</t>
  </si>
  <si>
    <t>Flores, Miguel; Villarreal, Amado; Flores, Saidi</t>
  </si>
  <si>
    <t>Spatial Co-location Patterns of Aerospace Industry Firms in Mexico</t>
  </si>
  <si>
    <t>APPLIED SPATIAL ANALYSIS AND POLICY</t>
  </si>
  <si>
    <t>Co-location; Aerospace industry; CLQ; Spatial statistics</t>
  </si>
  <si>
    <t>FOREIGN DIRECT-INVESTMENT; GLOBAL VALUE CHAINS; GEOGRAPHIC CONCENTRATION; COMPETITIVE ADVANTAGE; TECHNOLOGY-TRANSFER; ASSOCIATION; ECONOMICS; CLUSTERS; SERVICE</t>
  </si>
  <si>
    <t>The Aerospace Industry (AI) is considered strategic in Mexico due to the opportunities it offers Mexican business communities to insert themselves into a global value chain of high competitive standards. Due to its production specificities, it needs to develop a chain of suppliers that may lead to externalities or intentional knowledge transfer and the creation of networks with local economies and business co-locations. This paper aims to investigate patterns of co-location of firms and establishments around the AI across Mexico. The analysis applies spatial statistical techniques to detect spatial agglomerations of different industrial sectors related to the AI. The findings include a detailed description of the spatial distribution of AI co-location patterns in terms of industrial branch and firm size. Results indicate that the AI industry is mainly spatially co-located by itself and by industries in the electronics, machinery and equipment sectors. Our findings could potentially provide input to policy makers in terms of clustering and public policies according to regionally productive vocations.</t>
  </si>
  <si>
    <t>[Flores, Miguel; Villarreal, Amado; Flores, Saidi] Tecnol Monterrey, Escuela Gobierno &amp; Transformac Publ, Ave Eugenio Garza Laguera &amp; Rufino Tamayo, San Pedro Garza Garcia 66269, Nuevo Leon, Mexico</t>
  </si>
  <si>
    <t>Tecnologico de Monterrey</t>
  </si>
  <si>
    <t>Flores, M (corresponding author), Tecnol Monterrey, Escuela Gobierno &amp; Transformac Publ, Ave Eugenio Garza Laguera &amp; Rufino Tamayo, San Pedro Garza Garcia 66269, Nuevo Leon, Mexico.</t>
  </si>
  <si>
    <t>miguelflores@itesm.mx; amado.villarreal@itesm.mx; saidimagaly@hotmail.com</t>
  </si>
  <si>
    <t>1874-463X</t>
  </si>
  <si>
    <t>1874-4621</t>
  </si>
  <si>
    <t>APPL SPAT ANAL POLIC</t>
  </si>
  <si>
    <t>Appl. Spat. Anal. Policy</t>
  </si>
  <si>
    <t>10.1007/s12061-015-9180-0</t>
  </si>
  <si>
    <t>Environmental Studies; Geography; Regional &amp; Urban Planning</t>
  </si>
  <si>
    <t>Environmental Sciences &amp; Ecology; Geography; Public Administration</t>
  </si>
  <si>
    <t>EV2YI</t>
  </si>
  <si>
    <t>WOS:000401622700004</t>
  </si>
  <si>
    <t>Guan, J; Xu, XY; Xing, LZ</t>
  </si>
  <si>
    <t>Guan, Jun; Xu, Xiaoyu; Xing, Lizhi</t>
  </si>
  <si>
    <t>Analysis of inter-country input-output table based on bibliographic coupling network: How industrial sectors on the GVC compete for production resources</t>
  </si>
  <si>
    <t>INTERNATIONAL JOURNAL OF MODERN PHYSICS B</t>
  </si>
  <si>
    <t>Complex network; bibliographic coupling; inter-country input output table; production resources; competitive status</t>
  </si>
  <si>
    <t>TRADE</t>
  </si>
  <si>
    <t>The input output table is comprehensive and detailed in describing national economic systems with abundance of economic relationships depicting information of supply and demand among industrial sectors. This paper focuses on how to quantify the degree of competition on the global value chain (GVC) from the perspective of econophysics. Global Industrial Strongest Relevant Network models are established by extracting the strongest and most immediate industrial relevance in the global economic system with inter-country input output (ICIO) tables and then have them transformed into Global Industrial Resource Competition Network models to analyze the competitive relationships based on bibliographic coupling approach. Three indicators well suited for the weighted and undirected networks with self-loops are introduced here, including unit weight for competitive power, disparity in the weight for competitive amplitude and weighted clustering coefficient for competitive intensity. Finally, these models and indicators were further applied empirically to analyze the function of industrial sectors on the basis of the latest World Input Output Database (WIOD) in order to reveal inter-sector competitive status during the economic globalization.</t>
  </si>
  <si>
    <t>[Guan, Jun; Xu, Xiaoyu; Xing, Lizhi] Beijing Univ Technol, Sch Econ &amp; Management, Beijing 100124, Peoples R China</t>
  </si>
  <si>
    <t>Xing, LZ (corresponding author), Beijing Univ Technol, Sch Econ &amp; Management, Beijing 100124, Peoples R China.</t>
  </si>
  <si>
    <t>guanjun@bjut.edu.cn; xxy940831@163.com; itwasa@163.com</t>
  </si>
  <si>
    <t>Beijing Municipal Social Science Foundation [17ZGC010]</t>
  </si>
  <si>
    <t>Beijing Municipal Social Science Foundation</t>
  </si>
  <si>
    <t>The authors acknowledge support from Beijing Municipal Social Science Foundation (Grant No. 17ZGC010).</t>
  </si>
  <si>
    <t>0217-9792</t>
  </si>
  <si>
    <t>1793-6578</t>
  </si>
  <si>
    <t>INT J MOD PHYS B</t>
  </si>
  <si>
    <t>Int. J. Mod. Phys. B</t>
  </si>
  <si>
    <t>10.1142/S0217979218500637</t>
  </si>
  <si>
    <t>Physics, Applied; Physics, Condensed Matter; Physics, Mathematical</t>
  </si>
  <si>
    <t>FX7GC</t>
  </si>
  <si>
    <t>WOS:000426254600008</t>
  </si>
  <si>
    <t>Chen, S; Kurita, K; Wakiyama, T; Kagawa, S; Managi, S</t>
  </si>
  <si>
    <t>Chen, Shuning; Kurita, Kenichi; Wakiyama, Takako; Kagawa, Shigemi; Managi, Shunsuke</t>
  </si>
  <si>
    <t>Inclusive wealth footprint for cities in Japan: regional clusters for sustainable development</t>
  </si>
  <si>
    <t>SUSTAINABILITY SCIENCE</t>
  </si>
  <si>
    <t>Footprint assessment; Inclusive wealth; Multiregional input-output model; Hieratical value chains; Regional sustainability</t>
  </si>
  <si>
    <t>BIODIVERSITY</t>
  </si>
  <si>
    <t>Cities play a crucial role in regional sustainable development through trade linkages with surrounding economies. This study extends the inclusive wealth (IW) conceptual framework for footprint analysis, offering a comprehensive production-consumption perspective to measure regional sustainability. We empirically analyse the IW footprint for 1880 municipal-level economies in Japan by using their territorial IW accounting. We measure sustainability in the hierarchical value chains across cities and prefectures. Our findings suggest the unsustainability of production and consumption across cities in Japan, as the biased wealth clustering in cross-prefecture value chains led to wealth inequality. Additionally, we observe the distorted natural and human capital utilization characterized as the general depreciation of natural capital and shortage of human capital, which arise by the value chain participation. Our results underscore the importance of capital management and regulation in value chains. Sustainable development policy interventions must focus on optimizing inclusive capital asset management to maintain a non-declining level of wealth. This research unveils the intricate relationship between cities and their surroundings, providing valuable insights for policymakers aiming to enhance regional sustainability.</t>
  </si>
  <si>
    <t>[Chen, Shuning; Kurita, Kenichi; Managi, Shunsuke] Kyushu Univ, Urban Inst, 744 Motooka,Nishi Ku, Fukuoka 8190395, Japan; [Wakiyama, Takako] Univ Sydney, Sch Phys A28, ISA, Camperdown, NSW 2006, Australia; [Kagawa, Shigemi] Kyushu Univ, Fac Econ, 6-19-1 Hakozaki,Higashi Ku, Fukuoka 8128581, Japan</t>
  </si>
  <si>
    <t>Kyushu University; University of Sydney; Kyushu University</t>
  </si>
  <si>
    <t>Managi, S (corresponding author), Kyushu Univ, Urban Inst, 744 Motooka,Nishi Ku, Fukuoka 8190395, Japan.</t>
  </si>
  <si>
    <t>managi@doc.kyushu-u.ac.jp</t>
  </si>
  <si>
    <t>Kurita, Kenichi/0000-0002-8510-2756</t>
  </si>
  <si>
    <t>Environment Research and Technology Development Fund of the Environment al Restoration and Conservation Agency of Japan [JPMEERF20201001]; JSPS KAKENHI [JP20H00648]</t>
  </si>
  <si>
    <t>Environment Research and Technology Development Fund of the Environment al Restoration and Conservation Agency of Japan; JSPS KAKENHI(Ministry of Education, Culture, Sports, Science and Technology, Japan (MEXT)Japan Society for the Promotion of ScienceGrants-in-Aid for Scientific Research (KAKENHI))</t>
  </si>
  <si>
    <t>&amp; nbsp;This research was supported by the Environment Research and Technology Development Fund (JPMEERF20201001) of the Environment al Restoration and Conservation Agency of Japan and JSPS KAKENHI Grant number JP20H00648.</t>
  </si>
  <si>
    <t>SPRINGER JAPAN KK</t>
  </si>
  <si>
    <t>SHIROYAMA TRUST TOWER 5F, 4-3-1 TORANOMON, MINATO-KU, TOKYO, 105-6005, JAPAN</t>
  </si>
  <si>
    <t>1862-4065</t>
  </si>
  <si>
    <t>1862-4057</t>
  </si>
  <si>
    <t>SUSTAIN SCI</t>
  </si>
  <si>
    <t>Sustain. Sci.</t>
  </si>
  <si>
    <t>10.1007/s11625-023-01367-4</t>
  </si>
  <si>
    <t>Q4GD6</t>
  </si>
  <si>
    <t>WOS:001023395000001</t>
  </si>
  <si>
    <t>Ray, AE; Williams, CL; Hoover, AN; Li, CL; Sale, KL; Emerson, RM; Klinger, J; Oksen, E; Narani, A; Yan, JP; Beavers, CM; Tanjore, D; Yunes, M; Bose, E; Leal, JH; Bowen, JL; Wolfrum, EJ; Resch, MG; Semelsberger, TA; Donohoe, BS</t>
  </si>
  <si>
    <t>Ray, Allison E.; Williams, C. Luke; Hoover, Amber N.; Li, Chenlin; Sale, Kenneth L.; Emerson, Rachel M.; Klinger, Jordan; Oksen, Ethan; Narani, Akash; Yan, Jipeng; Beavers, Christine M.; Tanjore, Deepti; Yunes, Manal; Bose, Elizabeth; Leal, Juan H.; Bowen, Julie L.; Wolfrum, Edward J.; Resch, Michael G.; Semelsberger, Troy A.; Donohoe, Bryon S.</t>
  </si>
  <si>
    <t>Multiscale Characterization of Lignocellulosic Biomass Variability and Its Implications to Preprocessing and Conversion: a Case Study for Corn Stover</t>
  </si>
  <si>
    <t>Biomass variability; Multiscale characterization; Corn stover; k-means clustering; Inorganic speciation; Material attributes; Emergent properties</t>
  </si>
  <si>
    <t>FEEDSTOCK; QUALITY; IMPACT; ENERGY; YIELDS; COST; ASH</t>
  </si>
  <si>
    <t>Feedstock variability that originates from biomass production and field conditions propagates through the value chain, posing a significant challenge to the emerging biorefinery industry. Variability in feedstock properties impacts feeding, handling, equipment operations, and conversion performance. Feedstock quality attributes, and their variations, are often overlooked in assessing feedstock value and utilization for conversion to fuels, chemicals, and products. This study developed and employed a multiscale analytical characterization approach coupled with data analytic methods to better understand the sources and distribution of feedstock quality variability through evaluation of 24 corn stover bales collected in 4 counties of Iowa. In total, 216 core samples were generated by sampling nine positions on each bale using a reliable bale coring process. The samples were characterized for a broad suite of physicochemical properties ranging across field and bale, macro, micro, and molecular scales. Results demonstrated that feedstock quality attributes can vary at all spatial scales and that multiple sources of variability must be considered in order to establish and manage biomass quality for conversion processes.</t>
  </si>
  <si>
    <t>[Ray, Allison E.; Williams, C. Luke; Hoover, Amber N.; Li, Chenlin; Emerson, Rachel M.; Klinger, Jordan; Bowen, Julie L.] Idaho Natl Lab, Energy &amp; Environm Sci &amp; Technol, Idaho Falls, ID 83415 USA; [Yunes, Manal; Bose, Elizabeth; Wolfrum, Edward J.; Donohoe, Bryon S.] Natl Renewable Energy Lab, Biosci Ctr, Golden, CO 80403 USA; [Sale, Kenneth L.] Sandia Natl Labs, Computat Biol &amp; Biophys, Livermore, CA 94500 USA; [Oksen, Ethan; Narani, Akash; Yan, Jipeng; Tanjore, Deepti] Lawrence Berkeley Natl Lab, Adv Biofuels &amp; Bioprod Proc Dev Unit, Berkeley, CA 94720 USA; [Beavers, Christine M.] Lawrence Berkeley Natl Lab, Adv Light Source, Berkeley, CA 94720 USA; [Beavers, Christine M.] Univ Calif Santa Cruz, Dept Earth &amp; Planetary Sci, Santa Cruz, CA 95064 USA; [Leal, Juan H.; Semelsberger, Troy A.] Los Alamos Natl Lab, Mat Phys &amp; Applicat Div, Los Alamos, NM 87545 USA; [Resch, Michael G.] Natl Renewable Energy Lab, Natl Bioenergy Ctr, Golden, CO 80403 USA</t>
  </si>
  <si>
    <t>United States Department of Energy (DOE); Idaho National Laboratory; United States Department of Energy (DOE); National Renewable Energy Laboratory - USA; United States Department of Energy (DOE); Sandia National Laboratories; United States Department of Energy (DOE); Lawrence Berkeley National Laboratory; United States Department of Energy (DOE); Lawrence Berkeley National Laboratory; University of California System; University of California Santa Cruz; United States Department of Energy (DOE); Los Alamos National Laboratory; United States Department of Energy (DOE); National Renewable Energy Laboratory - USA</t>
  </si>
  <si>
    <t>Ray, AE (corresponding author), Idaho Natl Lab, Energy &amp; Environm Sci &amp; Technol, Idaho Falls, ID 83415 USA.;Donohoe, BS (corresponding author), Natl Renewable Energy Lab, Biosci Ctr, Golden, CO 80403 USA.</t>
  </si>
  <si>
    <t>allison.ray@inl.gov; bryon.donohoe@nrel.gov</t>
  </si>
  <si>
    <t>Ray, Allison E/B-9685-2017; Yan, Jipeng/X-1501-2019; Williams, Luke/IQT-6264-2023; Hoover, Amber/B-8373-2017; Klinger, Jordan/C-4030-2017; Williams, C. Luke/S-2498-2016</t>
  </si>
  <si>
    <t>Ray, Allison E/0000-0002-5191-1029; Hoover, Amber/0000-0001-8584-3995; Klinger, Jordan/0000-0003-4004-9864; Williams, C. Luke/0000-0002-1935-0110; Bowen, Julie/0000-0001-8578-6126; Wolfrum, Edward/0000-0002-7361-8931; Resch, Michael/0000-0002-8071-5764</t>
  </si>
  <si>
    <t>U.S. Department of Energy, Office of Energy Efficiency and Renewable Energy, Bioenergy Technologies Office, under DOE Idaho Operations Office [DE-AC07-0SID14517]; DOE Office of Science User Facility [DE-ACO2-05CH11231]; U.S. Department of Energy (DOE) [DE-AC36-08GO28308]; U.S. Department of Energy's National Nuclear Security Administration [DE-NA0003525]; U.S. Government</t>
  </si>
  <si>
    <t>U.S. Department of Energy, Office of Energy Efficiency and Renewable Energy, Bioenergy Technologies Office, under DOE Idaho Operations Office(United States Department of Energy (DOE)); DOE Office of Science User Facility(United States Department of Energy (DOE)); U.S. Department of Energy (DOE)(United States Department of Energy (DOE)); U.S. Department of Energy's National Nuclear Security Administration(National Nuclear Security Administration); U.S. Government</t>
  </si>
  <si>
    <t>This research was supported by the U.S. Department of Energy, Office of Energy Efficiency and Renewable Energy, Bioenergy Technologies Office, under DOE Idaho Operations Office Contract DE-AC07-0SID14517. This research used resources of the Advanced Light Source (beamline 12.2.2), which is a DOE Office of Science User Facility under contract no. DE-ACO2-05CH11231. Further, this research leveraged resources of the Biomass Feedstock National User Facility (BFNUF), which is a DOE Office of Energy Efficiency and Renewable Energy User Facility located at Idaho National Laboratory (Idaho Falls, ID). This work was authored in part by Alliance for Sustainable Energy, LLC, the manager and operator of the National Renewable Energy Laboratory for the U.S. Department of Energy (DOE) under Contract No. DE-AC36-08GO28308. Sandia National Laboratories is a multimission laboratory managed and operated by National Technology and Engineering Solutions of Sandia, LLC, a wholly owned subsidiary of Honeywell International, Inc., for the U.S. Department of Energy's National Nuclear Security Administration under contract DE-NA0003525. This information was prepared as an account of work sponsored by an agency of the U.S. Government. Neither the U.S.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References herein to any specific commercial product, process, or service by trade name, trademark, manufacturer, or otherwise, does not necessarily constitute or imply its endorsement, recommendation, or favoring by the U.S. Government or any agency thereof. The views and opinions of authors expressed herein do not necessarily state or reflect those of the US Government or any agency thereof. The authors would like to thank Mark Elless, Art Wiselogel, Alison Goss Eng, Beau Hoffman, Liz Moore, and Steve Thomas of the Bioenergy Technologies Office for their support on Feedstock-Conversion Interface Consortium R&amp;D. We are grateful to numerous colleagues for their technical support: William Smith, Brad Thomas, Eric Fillerup, Rachel Colby, Kastli Schaller, Austin Murphy, Sergio Hernandez, Matt Dee, Devin Lively, Cody Scheer, Dana Scouten, Marnie Cortez, Robert Kinoshita, Pat Bonebright, Corey Landon, Craig Conner, Ning Sun, Courtney Payne, Neal Yancey, Vicki Thompson, and Daniel Campbell. AER is grateful to AAE for technical assistance.</t>
  </si>
  <si>
    <t>10.1021/acssuschemeng.9b06763</t>
  </si>
  <si>
    <t>KS1SA</t>
  </si>
  <si>
    <t>WOS:000518088700019</t>
  </si>
  <si>
    <t>Liu, CY; Xin, L; Li, JY; Sun, HP</t>
  </si>
  <si>
    <t>Liu, Chanyuan; Xin, Long; Li, Jinye; Sun, Huaping</t>
  </si>
  <si>
    <t>The Impact of Renewable Energy Technology Innovation on Industrial Green Transformation and Upgrading: Beggar Thy Neighbor or Benefiting Thy Neighbor</t>
  </si>
  <si>
    <t>renewable energy technology innovation; industrial green transformation and upgrading; spatial spillover effect; regional boundary; spatial Durbin model</t>
  </si>
  <si>
    <t>ENVIRONMENTAL-REGULATIONS; CARBON EMISSIONS; SUPPLY CHAIN; CHINA; GROWTH; CONSUMPTION; HYPOTHESIS; INTENSITY; PROGRESS</t>
  </si>
  <si>
    <t>Renewable energy technology innovation (RETI) is a crucial way to improve energy poverty and combat climate change. However, few studies have examined the impact of RETI on industrial green transformation and upgrading (IGTU) from the perspective of spatial spillover and its regional boundary. Based on the theory of green growth and sustainable development, this paper expands the connotation boundary of IGTU and measures the IGTU levels of 30 provinces in China from 2006 to 2020 using an improved entropy weight method. Kernel density estimation and Moran's I index are adopted to portray temporal and spatial patterns, the spatial Durbin model is employed to examine the influencing mechanism and spatial spillover effects of RETI on IGTU and its regional boundaries, and the differential impact of its spatial effects on time, region, resource endowment, and environmental regulation are explored further. The results show that (1) RETI and IGTU in China are steadily increasing, indicating a decreasing spatial differentiation pattern of east-west; (2) RETI significantly promotes local IGTU but inhibits neighboring IGTU, forming a beggar-thy-neighbor situation; (3) the spatial spillover effect of RETI on IGTU has significant regional boundaries-the spatial spillover effect significantly negative and persists up to 800 km, but it is significantly positive from 800 to 1400 km and shows a trend of increasing and then decreasing; and (4) the promoting effect of RETI on IGTU gradually increases over time, presenting spatial differences of promotion in the east and inhibition in the west. Furthermore, RETI has a more substantial promoting effect on IGTU in non-resource-based regions and strong environmental regulation regions. The findings for China provide concrete evidence for formulating targeted policies and seeking a path for IGTU for other developing countries.</t>
  </si>
  <si>
    <t>[Liu, Chanyuan; Xin, Long; Li, Jinye; Sun, Huaping] Xinjiang Univ, Sch Econ &amp; Management, Urumqi 830046, Peoples R China; [Liu, Chanyuan; Li, Jinye] Xinjiang Univ, Inst Macroecon High Qual Dev Xinjiang, Urumqi 830046, Peoples R China; [Xin, Long] Xinjiang Univ, Ctr Innovat Management Res, Urumqi 830046, Peoples R China; [Sun, Huaping] Jiangsu Univ, Sch Finance &amp; Econ, Zhenjiang 212013, Jiangsu, Peoples R China</t>
  </si>
  <si>
    <t>Xinjiang University; Xinjiang University; Xinjiang University; Jiangsu University</t>
  </si>
  <si>
    <t>Li, JY; Sun, HP (corresponding author), Xinjiang Univ, Sch Econ &amp; Management, Urumqi 830046, Peoples R China.;Li, JY (corresponding author), Xinjiang Univ, Inst Macroecon High Qual Dev Xinjiang, Urumqi 830046, Peoples R China.;Sun, HP (corresponding author), Jiangsu Univ, Sch Finance &amp; Econ, Zhenjiang 212013, Jiangsu, Peoples R China.</t>
  </si>
  <si>
    <t>001703@xju.edu.cn; shp@ujs.edu.cn</t>
  </si>
  <si>
    <t>Xin, Long/HCH-0486-2022</t>
  </si>
  <si>
    <t>Xin, Long/0000-0002-8239-7536; huaping, sun/0000-0002-9328-7850</t>
  </si>
  <si>
    <t>National Natural Science Foundation of China [71964032, 71774071]; Xinjiang Social Science Foundation of China [19BJL028]; Xinjiang Natural Science Foundation of China [2018D01C052]; National Security Research Collaborative Innovation Center Project [22GAZXC03]; 2022 Silk Road Scientific Research and Innovation Project for Postgraduates of the School of Economics and Management of Xinjiang University [SL2022006]</t>
  </si>
  <si>
    <t>National Natural Science Foundation of China(National Natural Science Foundation of China (NSFC)); Xinjiang Social Science Foundation of China; Xinjiang Natural Science Foundation of China; National Security Research Collaborative Innovation Center Project; 2022 Silk Road Scientific Research and Innovation Project for Postgraduates of the School of Economics and Management of Xinjiang University</t>
  </si>
  <si>
    <t>This work was supported by the National Natural Science Foundation of China (grant number: 71964032, 71774071), the Xinjiang Social Science Foundation of China (grant number: 19BJL028), the Xinjiang Natural Science Foundation of China (grant number: 2018D01C052), the National Security Research Collaborative Innovation Center Project (grant number: 22GAZXC03), and the 2022 Silk Road Scientific Research and Innovation Project for Postgraduates of the School of Economics and Management of Xinjiang University (grant number: SL2022006).</t>
  </si>
  <si>
    <t>10.3390/su141811198</t>
  </si>
  <si>
    <t>4R9BQ</t>
  </si>
  <si>
    <t>WOS:000857050400001</t>
  </si>
  <si>
    <t>Suriyankietkaew, S; Petison, P</t>
  </si>
  <si>
    <t>Suriyankietkaew, Suparak; Petison, Phallapa</t>
  </si>
  <si>
    <t>A Retrospective and Foresight: Bibliometric Review of International Research on Strategic Management for Sustainability, 1991-2019</t>
  </si>
  <si>
    <t>strategic management; sustainability; sustainability strategy; sustainability management; sustainable strategic management; environmental strategic management; ecological strategic management; green strategic management; social strategic management; sustainable development; corporate sustainability; bibliometric review; science mapping; knowledge production</t>
  </si>
  <si>
    <t>SUPPLY CHAIN MANAGEMENT; CORPORATE SUSTAINABILITY; COCITATION ANALYSIS; ENVIRONMENTAL ASSESSMENT; INTELLECTUAL STRUCTURE; TRANSITION MANAGEMENT; CONCEPTUAL-FRAMEWORK; DEA; CITATION; SCIENCE</t>
  </si>
  <si>
    <t>Over the past 30 years, scholars have been calling for modern management theory and research to consider how strategic management tools could be applied to enhance corporate sustainability. While strategic management for sustainability has emerged as a multidisciplinary field, the existing knowledge base has yet to be systematic reviewed. This paper responded to the literature gap by conducting a bibliometric review of strategic management for sustainability. The paper aimed to document the landscape and composition of this literature through the analysis of 988 relevant Scopus-indexed documents. Data analyses found that the strategic management for sustainability knowledge base remained an emergent field with increasing interests from diverse groups of international scholars in various fields, particularly in environmental science, engineering, and strategic business management. Over the past three decades, the literatures have been continuously grown from a few publications in the early 1990s to almost 1000 documents to date. The review found that the most influential journals and authors of this knowledge base were international in scope but predominately from Western developed countries. Five Schools of Thought from author co-citation analysis revealed the intellectual clustering composition of the knowledge base on strategic management for sustainability: corporate sustainability strategy, sustainable waste management, strategic sustainability systems, strategic sustainability management and entrepreneurship, and sustainability assessment strategy. Key topics addressed in this research include the distribution of documents across the most highly cited journals, reflecting the breadth, quality and influential scholars in the strategic management for sustainability knowledge domain, naming of the influential scholars in the field and identification of contemporary foci and research front in the existing literature through the keyword co-occurrence analysis and co-word map. The strategic management for sustainability field has evolved from the key topics related to the green movement at the policy-driven macro level (i.e., ecological or environmental protection/impact, water/waste management and natural resource conservation) to the practicality in organizations with the topics related to social strategic responsibility and business management issues (i.e., corporate strategy, project management, supply chain management, information management, adaptive management, corporate sustainability). In addition to a retrospective, insightful prospective interpretation, practical implication, limitations and future research direction are discussed.</t>
  </si>
  <si>
    <t>[Suriyankietkaew, Suparak; Petison, Phallapa] Mahidol Univ, Coll Management, Ctr Res Sustainable Leadership, 69 Vipavadee Rangsit Rd, Bangkok 10400, Thailand</t>
  </si>
  <si>
    <t>Mahidol University</t>
  </si>
  <si>
    <t>Petison, P (corresponding author), Mahidol Univ, Coll Management, Ctr Res Sustainable Leadership, 69 Vipavadee Rangsit Rd, Bangkok 10400, Thailand.</t>
  </si>
  <si>
    <t>suparak.sur@mahidol.ac.th; phallapa.pet@mahidol.ac.th</t>
  </si>
  <si>
    <t>Suriyankietkaew, Suparak/F-9328-2018</t>
  </si>
  <si>
    <t>Suriyankietkaew, Suparak/0000-0003-0365-4686</t>
  </si>
  <si>
    <t>Thailand Sustainable Development Foundation, Bangkok, Thailand</t>
  </si>
  <si>
    <t>Thailand Sustainable Development Foundation, Bangkok, Thailand provided a grant to fund this research.</t>
  </si>
  <si>
    <t>10.3390/su12010091</t>
  </si>
  <si>
    <t>KX5YC</t>
  </si>
  <si>
    <t>WOS:000521955600091</t>
  </si>
  <si>
    <t>Afreen, H; Bajwa, IS</t>
  </si>
  <si>
    <t>Afreen, Hina; Bajwa, Imran Sarwar</t>
  </si>
  <si>
    <t>An IoT-Based Real-Time Intelligent Monitoring and Notification System of Cold Storage</t>
  </si>
  <si>
    <t>Monitoring; Temperature sensors; Supply chains; Real-time systems; Temperature measurement; Personnel; Humidity; ANN; cold storage; IoT; FVs</t>
  </si>
  <si>
    <t>ARTIFICIAL NEURAL-NETWORKS; SUPPLY CHAIN; INTERNET; THINGS; TEMPERATURE; MANAGEMENT; QUALITY; LOGISTICS; INDUSTRY; FROZEN</t>
  </si>
  <si>
    <t>The intake of the perishable fruits and vegetables (FVs) in the human diet can contribute to reduce the risk of some chronic diseases. But unfortunately, FVs loss rate is high among all the food produced annually and occurs at storage stage of post-harvest life cycle. One of the key factors contributing to this high loss rate is inability to gauge vital ambient environmental parameters in cold storage. The existing monitoring solutions about cold storage are limited to only gauge temperature, relative humidity and ignore other vital ambient environmental parameters such as luminosity and concentration of gases. This is a critical issue that needs to be addressed to overcome the loss rate of FVs. This paper presents a real-time intelligent monitoring and notification system (RT-IMNS) banked on an Internet of Things (IoT)-enabled approach for real-time monitoring of temperature, relative humidity, luminosity and concentration of gas in cold storage and notifies the personnel on exceeding of dangerous limits of these parameters. Moreover, decision support is implemented in the RT-IMNS using Artificial Neural Network (ANN) with forward propagation to classify the status of commodity into one of three classes i.e. good, unsatisfactory or alarming. The proposed prediction model outperforms Compress Sending (CS), Adaptive Naive Bayes (ANB), Extreme Gradient Boosting (XGBoost) and Data Mining (DM) with respect to forecasting accuracy. We achieved 99% accuracy using forward propagation neural network model while existing models such as CS, ANB, XGBoost, DM achieved 95.60%, 87.50%, 93.59%, 90% accuracy respectively. Moreover, proposed approach achieved 100% precision, 100% recall, 100% F1-score for good class is achieved, for unsatisfactory class precision is 98%, recall is 99%, F1-score is 98% and for alarming class precision is 100%, recall is 98% and F1-score is 99%.</t>
  </si>
  <si>
    <t>[Afreen, Hina] Islamia Univ Bahawalpur, Dept Comp Sci &amp; IT, Bahawalpur 63100, Pakistan; [Bajwa, Imran Sarwar] Islamia Univ Bahawalpur, Dept Comp Sci, Bahawalpur 63100, Pakistan</t>
  </si>
  <si>
    <t>Islamia University of Bahawalpur; Islamia University of Bahawalpur</t>
  </si>
  <si>
    <t>Bajwa, IS (corresponding author), Islamia Univ Bahawalpur, Dept Comp Sci, Bahawalpur 63100, Pakistan.</t>
  </si>
  <si>
    <t>imran.sarwar@iub.edu.pk</t>
  </si>
  <si>
    <t>An, Hongda/GNH-4090-2022; Bajwa, Imran Sarwar/A-1454-2010; Nasarian, Elham/ISB-6863-2023</t>
  </si>
  <si>
    <t>Bajwa, Imran Sarwar/0000-0002-5161-6441;</t>
  </si>
  <si>
    <t>10.1109/ACCESS.2021.3056672</t>
  </si>
  <si>
    <t>QW8KZ</t>
  </si>
  <si>
    <t>WOS:000628898400001</t>
  </si>
  <si>
    <t>Huang, L; Wu, C; Wang, B</t>
  </si>
  <si>
    <t>Huang, Lang; Wu, Chao; Wang, Bing</t>
  </si>
  <si>
    <t>Challenges, opportunities and paradigm of applying big data to production safety management: From a theoretical perspective</t>
  </si>
  <si>
    <t>Big data; Production safety management; Big-data-driven; Challenges; Opportunities</t>
  </si>
  <si>
    <t>PREDICTIVE ANALYTICS; ACCIDENT CAUSATION; RISK-MANAGEMENT; SYSTEM SAFETY; SUPPLY CHAIN; DATA SCIENCE; BEHAVIOR</t>
  </si>
  <si>
    <t>Big data has caused the scientific community to re-examine the scientific research methodologies and has triggered a revolution in scientific thinking. As a branch of scientific research, production safety management is also exploring methods to take advantage of big data. This research aims to provide a theoretical basis for promoting the application of big data in production safety management. First, four different types of production safety management paradigms were identified, namely small-data-based, static-oriented, interpretation-based and causal-oriented paradigm, and the challenges to these paradigms in the presence of big data were introduced. Second, the opportunities of employing big data in production safety management were identified from four aspects, including better predict the future production safety phenomena, promote production safety management highlight relevance, achieve the balance between deductive and inductive approaches and promote the interdisciplinary development of production safety management. Third, the paradigm shifting trend of production safety management was concluded, and the discipline foundation of the new paradigm was considered as the integration of data science, production management and safety science. Fourth, a new big-data-driven production safety management paradigm was developed, which consists of the logical line of production safety management, the macro-meso-micro data spectrum, the key big data analytics, and the four-dimensional morphology. At last, the strengths (e.g., supporting better-informed safety description, safety inquisition, safety prediction) and future research direction (e.g., theory research focuses on safety-related data mining/capturing/cleansing) of the new paradigm were discussed. The research results not only can provide theoretical and practical basis for big-data-driven production safety management, but also can offer advice to managerial consideration and scholarly investigation. (C) 2019 Elsevier Ltd. All rights reserved.</t>
  </si>
  <si>
    <t>[Huang, Lang] Southwest Jiaotong Univ, Sch Transportat &amp; Logist, Chengdu, Sichuan, Peoples R China; [Wu, Chao; Wang, Bing] Cent S Univ, Sch Resources &amp; Safety Engn, Changsha 410083, Hunan, Peoples R China; [Wu, Chao; Wang, Bing] Cent S Univ, Safety &amp; Secur Theory Innovat &amp; Promot Ctr, Changsha 410083, Hunan, Peoples R China</t>
  </si>
  <si>
    <t>Southwest Jiaotong University; Central South University; Central South University</t>
  </si>
  <si>
    <t>Huang, L (corresponding author), Southwest Jiaotong Univ, Sch Transportat &amp; Logist, Chengdu, Sichuan, Peoples R China.;Wang, B (corresponding author), Cent S Univ, Sch Resources &amp; Safety Engn, Changsha 410083, Hunan, Peoples R China.</t>
  </si>
  <si>
    <t>18971185983@189.cn; wangbing187717@163.com</t>
  </si>
  <si>
    <t>Key Project of National Natural Science Foundation of China [51534008]; Major Program of National Social Science Fund of China [18ZDA049]</t>
  </si>
  <si>
    <t>Key Project of National Natural Science Foundation of China(National Natural Science Foundation of China (NSFC)); Major Program of National Social Science Fund of China</t>
  </si>
  <si>
    <t>This work was supported by the Key Project of National Natural Science Foundation of China [grant number 51534008], and the Major Program of National Social Science Fund of China [18ZDA049].</t>
  </si>
  <si>
    <t>10.1016/j.jclepro.2019.05.245</t>
  </si>
  <si>
    <t>IH7JO</t>
  </si>
  <si>
    <t>WOS:000474680100050</t>
  </si>
  <si>
    <t>Rejeb, A; Rejeb, K; Simske, S; Treiblmaier, H; Zailani, S</t>
  </si>
  <si>
    <t>Rejeb, Abderahman; Rejeb, Karim; Simske, Steve; Treiblmaier, Horst; Zailani, Suhaiza</t>
  </si>
  <si>
    <t>The big picture on the internet of things and the smart city: a review of what we know and what we need to know</t>
  </si>
  <si>
    <t>Internet of things; Smart city; Review; Bibliometrics</t>
  </si>
  <si>
    <t>OF-THE-ART; SOFTWARE DEFINED NETWORKING; SUPPLY CHAIN MANAGEMENT; DATA ANALYTICS; INTELLECTUAL STRUCTURE; MOBILE EDGE; IOT; CITIES; SYSTEM; BLOCKCHAIN</t>
  </si>
  <si>
    <t>This study examines how the application of the IoT in smart cities is discussed in the current academic literature. Based on bibliometric techniques, 1,802 articles were retrieved from the Scopus database and analyzed to identify the temporal nature of IoT research, the most relevant journals, authors, countries, keywords, and studies. The software tool VOSviewer was used to build the keyword co-occurrence network and to cluster the pertinent literature. Results show the significant growth of IoT research in recent years. The most productive authors, journals, and countries were also identified. The main findings from the keyword co-occurrence clustering and an in-depth qualitative analysis indicate that the IoT is used alongside other technologies including cloud computing, big data analytics, blockchain, artificial intelligence, and wireless telecommunication networks. The major applications of the IoT for smart cities include smart buildings, transportation, healthcare, smart parking, and smart grids. This review is one of the first attempts to map global IoT research in a smart city context and uses a comprehensive set of articles and bibliometric techniques to provide scholars and practitioners with an overview of what has been studied so far and to identify research gaps at the intersection of the IoT and the smart city.</t>
  </si>
  <si>
    <t>[Rejeb, Abderahman] Univ Roma Tor Vergata, Fac Econ, Dept Management &amp; Law, Via Columbia 2, I-00133 Rome, Italy; [Rejeb, Karim] Univ Carthage, Fac Sci Bizerte, Zarzouna 7021, Bizerte, Tunisia; [Simske, Steve] Colorado State Univ, Syst Engn Dept, Ft Collins, CO 80523 USA; [Treiblmaier, Horst] Modul Univ Vienna, Kahlenberg 1, A-1190 Vienna, Austria; [Zailani, Suhaiza] Univ Malaya, Fac Business &amp; Econ, Dept Management, Kuala Lumpur 50203, Malaysia</t>
  </si>
  <si>
    <t>University of Rome Tor Vergata; Universite de Carthage; Colorado State University; Universiti Malaya</t>
  </si>
  <si>
    <t>Treiblmaier, H (corresponding author), Modul Univ Vienna, Kahlenberg 1, A-1190 Vienna, Austria.</t>
  </si>
  <si>
    <t>rjbbrh01@uniroma2.it; karim.rejeb@fsb.ucar.tn; Steve.Simske@colostate.edu; horst.treiblmaier@modul.ac.at; shmz@um.edu.my</t>
  </si>
  <si>
    <t>Treiblmaier, Horst/X-1282-2019; Nasarian, Elham/ISB-6863-2023; Zailani, Suhaiza/ABB-3206-2021; Zailani, Suhaiza/A-2968-2013</t>
  </si>
  <si>
    <t>Zailani, Suhaiza/0000-0002-8484-1821; Zailani, Suhaiza/0000-0002-8484-1821; Simske, Steven/0000-0002-6937-1956</t>
  </si>
  <si>
    <t>10.1016/j.iot.2022.100565</t>
  </si>
  <si>
    <t>3K4WO</t>
  </si>
  <si>
    <t>WOS:000834078100005</t>
  </si>
  <si>
    <t>Du, ZJ; Yu, SM; Cai, CG</t>
  </si>
  <si>
    <t>Du, Zhijiao; Yu, Sumin; Cai, Chenguang</t>
  </si>
  <si>
    <t>Constrained Community Detection and Multistage Multicost Consensus in Social Network Large-Scale Decision-Making</t>
  </si>
  <si>
    <t>IEEE TRANSACTIONS ON COMPUTATIONAL SOCIAL SYSTEMS</t>
  </si>
  <si>
    <t>Adjustment cost; compatibility loss; constrained community detection (CCD); multistage multicost consensus (MSMulCC); social network large-scale decision-making (SNLSDM)</t>
  </si>
  <si>
    <t>NONCOOPERATIVE BEHAVIORS; SELF-CONFIDENCE; MAXIMUM-RETURN; COST FEEDBACK; MINIMUM-COST; MODEL; INFORMATION; MECHANISM; FRAMEWORK</t>
  </si>
  <si>
    <t>As a widely encountered decision-making scenario in modern society, social network large-scale decision-making (SNLSDM) is becoming a frontier topic in the field of decision science. Decision information usually includes social relationships among decision-makers (DMs) and individual opinions. This makes clustering and consensus building, which are two important processes for solving SNLSDM problems, significantly complex and requires the integration of multiple factors. This study designs a decision support method that consists of a constrained community detection (CCD) method and a multistage multicost consensus (MSMulCC) model. The CCD method takes the similarities among individual opinions as the mandatory constraint to guide the classification of DMs based on social relationships. The consensus-reaching process (CRP) is an effective tool for reducing differences of opinion. We hold that the DM with high compatibility but low consensus can reduce the adjustment amount by actively losing some compatibility. In this way, three types of consensus costs are generated, including individual adjustment cost, group adjustment cost, and compatibility loss cost. In this study, an MSMulCC model is developed, and the impact of different types of consensus costs on CRP. Finally, the feasibility and characteristics of the proposal are revealed through a case study and comparative analysis of the supply chain financing model selection.</t>
  </si>
  <si>
    <t>[Du, Zhijiao] Sun Yat Sen Univ, Business Sch, Shenzhen 518107, Peoples R China; [Yu, Sumin] Shenzhen Univ, Coll Management, Shenzhen 518055, Peoples R China; [Cai, Chenguang] Hunan Univ Finance &amp; Econ, Sch Accounting, Changsha 410205, Peoples R China</t>
  </si>
  <si>
    <t>Sun Yat Sen University; Shenzhen University</t>
  </si>
  <si>
    <t>Yu, SM (corresponding author), Shenzhen Univ, Coll Management, Shenzhen 518055, Peoples R China.</t>
  </si>
  <si>
    <t>duzhj5@mail.sysu.edu.cn; yusumin@szu.edu.cn; ccg169@126.com</t>
  </si>
  <si>
    <t>Du, Zhijiao/0000-0001-9309-8809</t>
  </si>
  <si>
    <t>National Natural Science Foundation of China [71901151]; Natural Science Foundation of Hunan Province [2021JJ41088]; Social Science Foundation of Hunan Province [19YBQ113]; Scientific Research Foundation of Hunan Education Department [19A506]</t>
  </si>
  <si>
    <t>National Natural Science Foundation of China(National Natural Science Foundation of China (NSFC)); Natural Science Foundation of Hunan Province(Natural Science Foundation of Hunan Province); Social Science Foundation of Hunan Province; Scientific Research Foundation of Hunan Education Department</t>
  </si>
  <si>
    <t>This work was supported in part by the National Natural Science Foundation of China under Grant 71901151, in part by the Natural Science Foundation of Hunan Province under Grant 2021JJ41088, in part by the Social Science Foundation of Hunan Province under Grant 19YBQ113, and in part by the Scientific Research Foundation of Hunan Education Department under Grant 19A506.</t>
  </si>
  <si>
    <t>2329-924X</t>
  </si>
  <si>
    <t>IEEE T COMPUT SOC SY</t>
  </si>
  <si>
    <t>IEEE Trans. Comput. Soc. Syst.</t>
  </si>
  <si>
    <t>2023 APR 18</t>
  </si>
  <si>
    <t>10.1109/TCSS.2023.3265701</t>
  </si>
  <si>
    <t>Computer Science, Cybernetics; Computer Science, Information Systems</t>
  </si>
  <si>
    <t>E5QT9</t>
  </si>
  <si>
    <t>WOS:000976093200001</t>
  </si>
  <si>
    <t>Adedeji, KB; Hamam, Y</t>
  </si>
  <si>
    <t>Adedeji, Kazeem B.; Hamam, Yskandar</t>
  </si>
  <si>
    <t>Cyber-Physical Systems for Water Supply Network Management: Basics, Challenges, and Roadmap</t>
  </si>
  <si>
    <t>communication; control; cyber-physical system; sensing; water quality; water supply systems</t>
  </si>
  <si>
    <t>WIRELESS SENSOR NETWORKS; EFFICIENT CLUSTERING PROTOCOL; TIME PRESSURE CONTROL; AGENT-BASED MODEL; LEAK DETECTION; COMMUNICATION TECHNOLOGIES; NEURAL-NETWORKS; ENERGY; LIFETIME; DESIGN</t>
  </si>
  <si>
    <t>Water supply systems are dynamic in nature, owing to the effect of climate change and consumer demand uncertainties. The operation of such a system must be managed effectively to meet up with the uncertainties, thus posing a key challenge. Unfortunately, previous information and communication technology (ICT) solutions could not provide the necessary support for applications to deal with the dynamics of the changing physical environment. Nevertheless, tremendous growth in technology offers better possibilities to enhance water supply systems' operations. As a result, development in technology in sensing and instrumentation, communication and networking, computing and control is now jointly integrated with water supply system infrastructures to enhance the water system operations. One such technological paradigm shift is the cyber-physical system (CPS). In this paper, we present the concept of the CPS in the water system context and investigate the CPS applications to water supply system monitoring. Also, the various applications of CPSs and the application domain requirements are outlined. More importantly, research studies on its application to water system monitoring are scrutinized. As such, key challenges sounding the applications in WSSs are identified. We then outline the areas of improvement for further studies.</t>
  </si>
  <si>
    <t>[Adedeji, Kazeem B.; Hamam, Yskandar] Tshwane Univ Technol, Dept Elect Engn, ZA-0001 Pretoria, South Africa; [Hamam, Yskandar] ESIEE Paris, Cite Descartes,BP 99, F-93162 Paris, France</t>
  </si>
  <si>
    <t>Tshwane University of Technology; Universite Gustave-Eiffel; ESIEE Paris</t>
  </si>
  <si>
    <t>Adedeji, KB (corresponding author), Tshwane Univ Technol, Dept Elect Engn, ZA-0001 Pretoria, South Africa.</t>
  </si>
  <si>
    <t>kezman0474@yahoo.com; hamama@tut.ac.za</t>
  </si>
  <si>
    <t>Tshwane University of Technology, Pretoria, South Africa</t>
  </si>
  <si>
    <t>This research was funded by Tshwane University of Technology, Pretoria, South Africa.</t>
  </si>
  <si>
    <t>10.3390/su12229555</t>
  </si>
  <si>
    <t>OY9FL</t>
  </si>
  <si>
    <t>WOS:000594544500001</t>
  </si>
  <si>
    <t>Kurita, AE; Espuny, M; Campos, TLR; Kazancoglu, Y; Kandsamy, J; de Oliveira, OJ</t>
  </si>
  <si>
    <t>Kurita, Antonio Eiti; Espuny, Maximilian; Campos, Thalita Laua Reis; Kazancoglu, Yigit; Kandsamy, Jayakrishna; de Oliveira, Otavio Jose</t>
  </si>
  <si>
    <t>Drivers for circular economy development: making businesses more environmentally friendly</t>
  </si>
  <si>
    <t>Circular economy; Environmental management; Sustainable development; Green business; Drivers; Content analysis</t>
  </si>
  <si>
    <t>CLIMATE-CHANGE MITIGATION; INDUSTRY; IMPLEMENTATION; PERSPECTIVE; TRANSITION; BARRIERS; FINLAND; PRODUCT; DESIGN; LOOP</t>
  </si>
  <si>
    <t>Stakeholders have been pressuring companies to develop more environmentally friendly strategic and operational solutions. In this sense, companies are seeking alternatives that reduce the negative impacts of organizational activities, Circular Economy (CE) is one of the solutions with the greatest potential for success. Thus, the goal of this paper is to provide drivers for organizations' transition from a linear to a CE. For this reason, content analysis was used as the scientific method, for being appropriate for the interpretation of qualitative data and the identification, clustering, and systematization of themes in a given field of knowledge. In the case of this work, a set of 30 articles with information related to the implementation and development of CE were analyzed, allowing the identification of 19 key elements of CE. These key elements were then grouped and systematized into four drivers: decision-making; capacity and training; sustainable practices; and green supply chain. Scientifically, this work contributes to the improvement and increase of the block of knowledge about the CE, because the drivers can be used to advance the state of the art and as a starting point for the development of new research. In an applied way, the drivers proposed in this article provide a range of actions for managers to make their companies greener and improve their organizational performance, thus contributing environmentally and socially to the planet.</t>
  </si>
  <si>
    <t>[Kurita, Antonio Eiti; Espuny, Maximilian; Campos, Thalita Laua Reis; de Oliveira, Otavio Jose] Sao Paulo State Univ UNESPFEG, Prod Dept, Ave Ariberto Pereira Cunha,333, BR-12516410 Guaratingueta, Brazil; [Kazancoglu, Yigit] Yasar Univ, Fac Business, Dept Logist Management, Univ Cad No 37-39,T-Block,Off No 604, Izmir, Turkiye; [Kandsamy, Jayakrishna] Vellore Inst Technol, Sch Mech Engn, Vellore 632014, Tamil Nadu, India</t>
  </si>
  <si>
    <t>Yasar University; Vellore Institute of Technology (VIT); VIT Vellore</t>
  </si>
  <si>
    <t>de Oliveira, OJ (corresponding author), Sao Paulo State Univ UNESPFEG, Prod Dept, Ave Ariberto Pereira Cunha,333, BR-12516410 Guaratingueta, Brazil.</t>
  </si>
  <si>
    <t>otaviodeoliveira@uol.com.br</t>
  </si>
  <si>
    <t>Oliveira, Otavio/B-8153-2012</t>
  </si>
  <si>
    <t>Oliveira, Otavio/0000-0002-5192-3644</t>
  </si>
  <si>
    <t>CNPq (Conselho Nacional de Desenvolvimento Cientifico e Tecnologico) [312538/20200]; FAPESP (Fundacao de Amparo a Pesquisa do Estado de Sao Paulo) [2019/087505]; CAPES (Coordenacao de Aperfeicoamento de Pessoal de Nivel Superior)</t>
  </si>
  <si>
    <t>CNPq (Conselho Nacional de Desenvolvimento Cientifico e Tecnologico)(Conselho Nacional de Desenvolvimento Cientifico e Tecnologico (CNPQ)); FAPESP (Fundacao de Amparo a Pesquisa do Estado de Sao Paulo)(Fundacao de Amparo a Pesquisa do Estado de Sao Paulo (FAPESP)); CAPES (Coordenacao de Aperfeicoamento de Pessoal de Nivel Superior)(Coordenacao de Aperfeicoamento de Pessoal de Nivel Superior (CAPES))</t>
  </si>
  <si>
    <t>This work was supported by CNPq (Conselho Nacional de Desenvolvimento Cientifico e Tecnologico) [312538/2020-0], FAPESP (Fundacao de Amparo a Pesquisa do Estado de Sao Paulo) [2019/08750-5], and CAPES (Coordenacao de Aperfeicoamento de Pessoal de Nivel Superior).</t>
  </si>
  <si>
    <t>10.1007/s11356-023-28048-0</t>
  </si>
  <si>
    <t>L5XE7</t>
  </si>
  <si>
    <t>WOS:001010486800007</t>
  </si>
  <si>
    <t>Zavali, M; Lacka, E; de Smedt, J</t>
  </si>
  <si>
    <t>Zavali, Melina; Lacka, Ewelina; de Smedt, Johannes</t>
  </si>
  <si>
    <t>Shopping Hard or Hardly Shopping: Revealing Consumer Segments Using Clickstream Data</t>
  </si>
  <si>
    <t>Business; Machine learning; Big Data; Navigation; Market research; Industries; Tools; Apparel retailing; big data; clickstream data; consumer segmentation; online purchase</t>
  </si>
  <si>
    <t>BIG DATA ANALYTICS; BUSINESS INTELLIGENCE; E-COMMERCE; CLUSTERING ALGORITHMS; K-MEANS; BEHAVIOR; SEARCH; INTERNET; SYSTEMS; WEB</t>
  </si>
  <si>
    <t>The recent rise of big data analytics is transforming the apparel retailing industry. E-retailers, for example, effectively use large volumes of data generated as a result of their day-to-day business operations data to aid operations and supply chain management. Although logs of how consumers navigate through an e-commerce website are readily available in a form of clickstream data, clickstream analysis is rarely used to derive insights that can support marketing decisions, leaving it an under-researched area of study. Adding to this research stream by exploring the case of a U.K.-based fast-fashion retailer, this article reveals unique consumer segments and links them to the revenue they are capable of generating. Applying the partitioning around medoids algorithm to three random samples of 10 000 unique consumer visits to the e-commerce site of a fast-fashion retailer, six consumer segments are identified. This article shows that although the mobile window shoppers segment consists of the largest consumer segment, it attracts the lowest revenue. In contrast, visitors with a purpose, although one of the smallest segments, generates the highest revenue. The findings of this article contribute to marketing research and inform practice, which can use these insights to target customer segments in a more tailored fashion.</t>
  </si>
  <si>
    <t>[Zavali, Melina; Lacka, Ewelina] Univ Edinburgh, Business Sch, Edinburgh EH8 9JS, Midlothian, Scotland; [de Smedt, Johannes] Katholieke Univ Leuven, Fac Econ &amp; Business, B-3000 Leuven, Belgium</t>
  </si>
  <si>
    <t>University of Edinburgh; KU Leuven</t>
  </si>
  <si>
    <t>Lacka, E (corresponding author), Univ Edinburgh, Business Sch, Edinburgh EH8 9JS, Midlothian, Scotland.</t>
  </si>
  <si>
    <t>s1409968@sms.ed.ac.uk; eweina.lacka@ed.ac.uk; johannes.desmedt@ed.ac.uk</t>
  </si>
  <si>
    <t>De Smedt, Johannes/0000-0003-0389-0275</t>
  </si>
  <si>
    <t>10.1109/TEM.2021.3070069</t>
  </si>
  <si>
    <t>Q9EW7</t>
  </si>
  <si>
    <t>WOS:000732662400001</t>
  </si>
  <si>
    <t>de Oliveira, ALR; Marsola, KB; Milanez, AP; Fatoretto, SLR</t>
  </si>
  <si>
    <t>de Oliveira, Andrea Leda Ramos; Marsola, Karina Braga; Milanez, Ana Paula; Fatoretto, Sandra Liege Renner</t>
  </si>
  <si>
    <t>Performance evaluation of agricultural commodity logistics from a sustainability perspective</t>
  </si>
  <si>
    <t>CASE STUDIES ON TRANSPORT POLICY</t>
  </si>
  <si>
    <t>Agribusiness; Competitiveness; Data envelopment analysis; Grains; Performance; Logistic index; Soybean; Sustainability transportation</t>
  </si>
  <si>
    <t>DATA ENVELOPMENT ANALYSIS; FREIGHT TRANSPORT; SUPPLY CHAIN; EFFICIENCY; DEA; COST; MODEL; OUTPUTS; IMPACT; SAFETY</t>
  </si>
  <si>
    <t>Brazil is an important player in the international agricultural market and productivity and production indexes have been growing significantly. However, logistics costs cut into these gains, specially transportation and storage costs, affecting exportation. The lack of investments in logistics infrastructure has limited its growth potential. Assuming that the use of transportation costs to measure efficiency does not fully explain the ad-vantages of exportation routes, this study aims to evaluate the performance of Mato Grosso soybean flow routes intended for exportation. The performance assessment considers the economic, social, and environmental di-mensions supported by the concept of sustainability for unimodal and multimodal routes. Causal loops were created for the three dimensions evaluated resulting in the inputs used for the data envelopment analysis (DEA). Multiple criteria related to economic, environmental, and social performance were considered simultaneously. In addition, the logistics routes were analyzed statistically through principal component analysis (PCA) and grouped with the support of clustering analysis. The results showed that the use of intermodality affects gains in the three analyzed dimensions, and that the routes directed to the new Brazilian ports were promising but projects in transshipment terminals are necessary. These findings can support strategic decision-making regarding the choice of routes, improving the exportation process, as well as directing public investment in logistics infrastructure.</t>
  </si>
  <si>
    <t>[de Oliveira, Andrea Leda Ramos; Marsola, Karina Braga; Fatoretto, Sandra Liege Renner] Univ Estadual Campinas, Sch Agr Engn, Agroind Logist &amp; Commercializat Lab, BR-13083875 Campinas, Brazil; [Milanez, Ana Paula] Univ Tecnol Fed Parana, Ave Monteiro Lobato,km 4, BR-84016210 Ponta Grossa, Brazil</t>
  </si>
  <si>
    <t>Universidade Estadual de Campinas; Universidade Tecnologica Federal do Parana</t>
  </si>
  <si>
    <t>de Oliveira, ALR (corresponding author), Univ Estadual Campinas, Sch Agr Engn, Agroind Logist &amp; Commercializat Lab, BR-13083875 Campinas, Brazil.</t>
  </si>
  <si>
    <t>aleda@unicamp.br</t>
  </si>
  <si>
    <t>de Oliveira, Andréa Leda Ramos/D-8088-2014</t>
  </si>
  <si>
    <t>Oliveira, Andrea Leda Ramos de/0000-0003-2074-0076; Braga Marsola, Karina/0000-0002-9397-5004</t>
  </si>
  <si>
    <t>S ~ao Paulo Research Foundation (FAPESP) [2015/11631-7]</t>
  </si>
  <si>
    <t>S ~ao Paulo Research Foundation (FAPESP)(Fundacao de Amparo a Pesquisa do Estado de Sao Paulo (FAPESP))</t>
  </si>
  <si>
    <t>The research was financed by grant #2015/11631-7, S ~ao Paulo Research Foundation (FAPESP).</t>
  </si>
  <si>
    <t>2213-624X</t>
  </si>
  <si>
    <t>2213-6258</t>
  </si>
  <si>
    <t>CASE STUD TRANSP POL</t>
  </si>
  <si>
    <t>Case Stud. Transp. Policy</t>
  </si>
  <si>
    <t>10.1016/j.cstp.2022.01.029</t>
  </si>
  <si>
    <t>0P5YI</t>
  </si>
  <si>
    <t>WOS:000784303300006</t>
  </si>
  <si>
    <t>Scarpel, RA</t>
  </si>
  <si>
    <t>Scarpel, Rodrigo Arnaldo</t>
  </si>
  <si>
    <t>An integrated mixture of local experts model for demand forecasting</t>
  </si>
  <si>
    <t>Short-tem fluctuations; Simple exponential smoothing; Economic activity growth; Kernel-density-based clustering</t>
  </si>
  <si>
    <t>AGGREGATE DEMAND; TOP-DOWN; COMBINATION</t>
  </si>
  <si>
    <t>Demand forecasting is an important issue in the supply chain planning process due to its usage for efficiently managing different planning tasks. The common techniques adopted to perform such task are easy to use forecasting methods performed in computerised systems with minimum human intervention such as the simple exponential smoothing. Concerning the drawbacks of these modelling approaches, past evidence suggests that they have been less successful in predicting short-term fluctuations on demand. In this work, the simple exponential smoothing method is employed to build an integrated mixture of local experts model (IMLEM) for demand forecasting using as independent variable a lagged gross domestic product (GDP) indicator. The IMLEM is usually employed to deal with rapidly changing situations and it is used in this work to improve the performance of the forecasts by providing a way to take into account short-term fluctuations on demand, due to changes on economic activity growth, within an easy to use forecasting method. The proposed method was applied on one-step ahead demand forecasting for a Brazilian beverage manufacturer for 130 non-seasonal stock keeping units (SKUs) and the accuracy of the generated forecasts allowed to reduce the forecasting errors. The obtained results also supported the decision making process by aiding demand planners concerning how to react to short-term fluctuations on demand. (C) 2015 Elsevier B.V. All rights reserved.</t>
  </si>
  <si>
    <t>[Scarpel, Rodrigo Arnaldo] Inst Tecnol Aeronaut, Sao Jose Dos Campos, Brazil</t>
  </si>
  <si>
    <t>Comando-Geral de Tecnologia Aeroespacial (CTA); Instituto Tecnologico de Aeronautica (ITA)</t>
  </si>
  <si>
    <t>Scarpel, RA (corresponding author), Praca Marechal Eduardo Gomes,50-ITA-IEM,Sala 2311, Sao Jose Dos Campos, SP, Brazil.</t>
  </si>
  <si>
    <t>Scarpel, Rodrigo A/O-3171-2013; Scarpel, Rodrigo Arnaldo/X-5718-2019</t>
  </si>
  <si>
    <t>Scarpel, Rodrigo A/0000-0002-1669-7872; Scarpel, Rodrigo Arnaldo/0000-0002-1669-7872</t>
  </si>
  <si>
    <t>10.1016/j.ijpe.2015.03.002</t>
  </si>
  <si>
    <t>CH6IZ</t>
  </si>
  <si>
    <t>WOS:000354141600004</t>
  </si>
  <si>
    <t>Beckeman, M; Skjöldebrand, C</t>
  </si>
  <si>
    <t>Beckeman, Marit; Skjoldebrand, Christina</t>
  </si>
  <si>
    <t>Clusters/networks promote food innovations</t>
  </si>
  <si>
    <t>frozen food; self-service; chilled food; radical-new-incremental innovation</t>
  </si>
  <si>
    <t>CLUSTERS; AGGLOMERATION; INDUSTRIES</t>
  </si>
  <si>
    <t>Innovations are necessary for growth and competitiveness, but few are taking place in the food industry. Clusters and networks in regions/countries are seen as one way of increasing the chances to compete, based on Porter's theories in 1990. Before that some articles existed about agglomeration, clustering of industries etc. but not many examples in the food industry seem to have been studied. This paper describes the major innovations and changes since 1945 in the food sector, based on open-ended interviews with experts in the field, and the society is analysed in line with the factors proposed by Porter in his diamond. Frozen food was seen as the really new innovation on the Swedish market and the paper describes how this new technology was introduced and gained acceptance. A network of individuals and organisations assembled around the Frozen Food Institute, backed by the government, and worked on creating and getting the information across to everyone in the supply chain. A cluster of food producers and supporting industries formed spontaneously in the south of Sweden and existed until the technology became a commodity. In the terms of current literature the cluster was a bottom-up initiative, with several entrepreneurs involved. The chances for radical or new food innovations are discussed, but they are going to require other actors and to overcome the generally negative attitude today towards industry and the food industry in particular. (c) 2006 Elsevier Ltd. All rights reserved.</t>
  </si>
  <si>
    <t>Lund Univ, Dept Design Sci, Div Packaging Logist, SE-22100 Lund, Sweden</t>
  </si>
  <si>
    <t>Lund University</t>
  </si>
  <si>
    <t>Beckeman, M (corresponding author), Lund Univ, Dept Design Sci, Div Packaging Logist, POB 118, SE-22100 Lund, Sweden.</t>
  </si>
  <si>
    <t>marit.beckeman@plog.lth.se; christina.skjoldebrand@plog.lth.se</t>
  </si>
  <si>
    <t>Skjöldebrand, Christina/GNH-3124-2022</t>
  </si>
  <si>
    <t>10.1016/j.jfoodeng.2006.04.024</t>
  </si>
  <si>
    <t>114EK</t>
  </si>
  <si>
    <t>WOS:000242649300041</t>
  </si>
  <si>
    <t>Niu, ZY; Hasegawa, K; Deng, YF; Zhang, ZJ; Rafailovich, M; Simon, M; Zhang, P</t>
  </si>
  <si>
    <t>Niu, Ziyuan; Hasegawa, Karin; Deng, Yuefan; Zhang, Ziji; Rafailovich, Miriam; Simon, Marcia; Zhang, Peng</t>
  </si>
  <si>
    <t>Modeling of the thermal properties of SARS-CoV-2 S-protein</t>
  </si>
  <si>
    <t>FRONTIERS IN MOLECULAR BIOSCIENCES</t>
  </si>
  <si>
    <t>SARS-CoV-2; S-protein; molecular dynamics; thermodynamics; conformational state</t>
  </si>
  <si>
    <t>RESPIRATORY SYNDROME; CORONAVIRUS; INACTIVATION; SIMULATIONS; PREDICTION; REVEAL</t>
  </si>
  <si>
    <t>We calculate the thermal and conformational states of the spike glycoprotein (S-protein) of SARS-CoV-2 at seven temperatures ranging from 3 degrees C to 95 degrees C by all-atom molecular dynamics (MD) mu s-scale simulations with the objectives to understand the structural variations on the temperatures and to determine the potential phase transition while trying to correlate such findings of the S-protein with the observed properties of the SARS-CoV2. Our simulations revealed the following thermal properties of the S- protein: 1) It is structurally stable at 3 degrees C, agreeing with observations that the virus stays active for more than two weeks in the cold supply chain; 2) Its structure varies more significantly at temperature values of 60 degrees C-80 degrees C; 3) The sharpest structural variations occur near 60 degrees C, signaling a plausible critical temperature nearby; 4) The maximum deviation of the receptor-binding domain at 37 degrees C, corroborating the anecdotal observations that the virus is most infective at 37 degrees C; 5) The in silico data agree with reported experiments of the SARS-CoV-2 survival times from weeks to seconds by our clustering approach analysis. Our MD simulations at mu s scales demonstrated the S-protein's thermodynamics of the critical states at around 60 degrees C, and the stable and denatured states for temperatures below and above this value, respectively.</t>
  </si>
  <si>
    <t>[Niu, Ziyuan; Hasegawa, Karin; Deng, Yuefan; Zhang, Ziji; Zhang, Peng] SUNY Stony Brook, Dept Appl Math &amp; Stat, Stony Brook, NY 11794 USA; [Deng, Yuefan] NYU, Div Sci, Math, Abu Dhabi, U Arab Emirates; [Rafailovich, Miriam] SUNY Stony Brook, Dept Mat Sci &amp; Chem Engn, Stony Brook, NY USA; [Simon, Marcia] SUNY Stony Brook, Dept Oral Biol &amp; Pathol, Stony Brook, NY USA</t>
  </si>
  <si>
    <t>State University of New York (SUNY) System; State University of New York (SUNY) Stony Brook; State University of New York (SUNY) System; State University of New York (SUNY) Stony Brook; State University of New York (SUNY) System; State University of New York (SUNY) Stony Brook</t>
  </si>
  <si>
    <t>Zhang, P (corresponding author), SUNY Stony Brook, Dept Appl Math &amp; Stat, Stony Brook, NY 11794 USA.</t>
  </si>
  <si>
    <t>peng.zhang@stonybrook.edu</t>
  </si>
  <si>
    <t>Zhang, Ziji/IQX-1476-2023</t>
  </si>
  <si>
    <t>Zhang, Ziji/0000-0003-3923-6267</t>
  </si>
  <si>
    <t>Stony Brook University; SUNY-IBM Consortium Award; WSC Cluster at the IBM T. J. Watson Research Center; [FP0002468]</t>
  </si>
  <si>
    <t>Stony Brook University; SUNY-IBM Consortium Award; WSC Cluster at the IBM T. J. Watson Research Center;</t>
  </si>
  <si>
    <t>The project is sponsored by Stony Brook University's OVPR &amp; IEDM COVID-19 Seed Grant (PI: PZ). The project is supported by the SUNY-IBM Consortium Award, PI: YD All simulations were conducted on the AiMOS supercomputer at Rensselaer Polytechnic Institute and the WSC Cluster at the IBM T. J. Watson Research Center through an IBM Faculty Award FP0002468 (PI: YD).</t>
  </si>
  <si>
    <t>2296-889X</t>
  </si>
  <si>
    <t>FRONT MOL BIOSCI</t>
  </si>
  <si>
    <t>Front. Mol. Biosci.</t>
  </si>
  <si>
    <t>SEP 27</t>
  </si>
  <si>
    <t>10.3389/fmolb.2022.953064</t>
  </si>
  <si>
    <t>Biochemistry &amp; Molecular Biology</t>
  </si>
  <si>
    <t>6R3IC</t>
  </si>
  <si>
    <t>WOS:000892200200001</t>
  </si>
  <si>
    <t>Razminiene, K; Tvaronaviciene, M</t>
  </si>
  <si>
    <t>Razminiene, Kristina; Tvaronaviciene, Manuela</t>
  </si>
  <si>
    <t>DETECTING THE LINKAGES BETWEEN CLUSTERS AND CIRCULAR ECONOMY</t>
  </si>
  <si>
    <t>TERRA ECONOMICUS</t>
  </si>
  <si>
    <t>clusters; circular economy; resource efficiency; knowledge transfer; competitiveness; system of indicators</t>
  </si>
  <si>
    <t>SUPPLY CHAIN MANAGEMENT; LIFE-CYCLE ASSESSMENT; INDUSTRIAL SYMBIOSIS; ENVIRONMENTAL BENEFITS; KNOWLEDGE MANAGEMENT; CREATIVE INDUSTRIES; CHINA; EFFICIENCY; INNOVATION; NETWORKS</t>
  </si>
  <si>
    <t>Clusters are more often viewed not only as one of the means for small and medium enterprises (SMEs) to achieve competitive advantage through clustering but also as link that enables to focus on resource efficiency challenges and setting up circular value chains. Climate change is at the top of the agenda recently which makes resource efficiency to come under discussion. This paper aims at analyzing circular economy and looking for possibilities to connect business and science so that innovative technologies and products are developed to increase SMEs' resource efficiency through clusters and cluster organizations. Bibliometric literature analysis technique was chosen to qualify circular economy, resource efficiency and clusters, as well as to detect the evidence that clusters can be enablers of resource efficiency and circular economy between SMEs; indicators are introduced to detect these linkages. The findings suggest that the principles of circular economy can be detected between companies within a cluster and resource efficient actions may arise from close cooperation, knowledge transfer, innovative solutions and competitive advantages which are imparted by the cluster. This study needs to be continued to implicate these indicators to test how close cooperation and other advantages that companies can obtain from belonging to a cluster can affect their engagement in circular economy and resource efficiency. These benefits can be used in further development of circular value chains within a cluster.</t>
  </si>
  <si>
    <t>[Razminiene, Kristina; Tvaronaviciene, Manuela] Vilnius Gediminas Tech Univ, Dept Business Technol &amp; Entrepreneurship, Vilnius, Lithuania</t>
  </si>
  <si>
    <t>Razminiene, K (corresponding author), Vilnius Gediminas Tech Univ, Dept Business Technol &amp; Entrepreneurship, Vilnius, Lithuania.</t>
  </si>
  <si>
    <t>kristina.razminiene@vgtu.lt; manuela.tvaronaviciene@vgtu.lt</t>
  </si>
  <si>
    <t>Tvaronaviciene, Manuela/GVT-4155-2022; /I-3713-2019</t>
  </si>
  <si>
    <t>Tvaronaviciene, Manuela/0000-0002-9667-3730; /0000-0002-9667-3730</t>
  </si>
  <si>
    <t>European Union [H2020-MSCA-RISE-2014 CLUSDEVMED (2015-2019), 645730730]</t>
  </si>
  <si>
    <t>European Union(European Union (EU))</t>
  </si>
  <si>
    <t>This research paper has received funding from the European Union's Horizon 2020 project H2020-MSCA-RISE-2014 CLUSDEVMED (2015-2019) Grant Agreement Number 645730730</t>
  </si>
  <si>
    <t>SOUTHERN FEDERAL UNIV</t>
  </si>
  <si>
    <t>ROSTOV-ON-DON</t>
  </si>
  <si>
    <t>OF 211, GORGOKO ST, 88, ROSTOV-ON-DON, 344002, RUSSIA</t>
  </si>
  <si>
    <t>2073-6606</t>
  </si>
  <si>
    <t>TERRA ECON</t>
  </si>
  <si>
    <t>Terra Econ.</t>
  </si>
  <si>
    <t>10.23683/2073-6606-2018-16-4-50-65</t>
  </si>
  <si>
    <t>HF5KW</t>
  </si>
  <si>
    <t>WOS:000454272200005</t>
  </si>
  <si>
    <t>Giuffrida, N; Fajardo-Calderin, J; Masegosa, AD; Werner, F; Steudter, M; Pilla, F</t>
  </si>
  <si>
    <t>Giuffrida, Nadia; Fajardo-Calderin, Jenny; Masegosa, Antonio D.; Werner, Frank; Steudter, Margarete; Pilla, Francesco</t>
  </si>
  <si>
    <t>Optimization and Machine Learning Applied to Last-Mile Logistics: A Review</t>
  </si>
  <si>
    <t>city logistics; freight transport; vehicle routing problem</t>
  </si>
  <si>
    <t>VEHICLE-ROUTING PROBLEM; VARIABLE NEIGHBORHOOD SEARCH; TIME WINDOWS; SIMULTANEOUS PICKUP; ANOMALY DETECTION; META-HEURISTICS; ALGORITHM; DELIVERY; VRP</t>
  </si>
  <si>
    <t>The growth in e-commerce that our society has faced in recent years is changing the view companies have on last-mile logistics, due to its increasing impact on the whole supply chain. New technologies are raising users' expectations with the need to develop customized delivery experiences; moreover, increasing pressure on supply chains has also created additional challenges for suppliers. At the same time, this phenomenon generates an increase in the impact on the liveability of our cities, due to traffic congestion, the occupation of public spaces, and the environmental and acoustic pollution linked to urban logistics. In this context, the optimization of last-mile deliveries is an imperative not only for companies with parcels that need to be delivered in the urban areas, but also for public administrations that want to guarantee a good quality of life for citizens. In recent years, many scholars have focused on the study of logistics optimization techniques and, in particular, the last mile. In addition to traditional optimization techniques, linked to the disciplines of operations research, the recent advances in the use of sensors and IoT, and the consequent large amount of data that derives from it, are pushing towards a greater use of big data and analytics techniques-such as machine learning and artificial intelligence-which are also in this sector. Based on this premise, the aim of this work is to provide an overview of the most recent literature advances related to last-mile delivery optimization techniques; this is to be used as a baseline for scholars who intend to explore new approaches and techniques in the study of last-mile logistics optimization. A bibliometric analysis and a critical review were conducted in order to highlight the main studied problems, the algorithms used, and the case studies. The results from the analysis allow the studies to be clustered into traditional optimization models, machine learning approaches, and mixed methods. The main research gaps and limitations of the current literature are assessed in order to identify unaddressed challenges and provide research suggestions for future approaches.</t>
  </si>
  <si>
    <t>[Giuffrida, Nadia; Pilla, Francesco] Univ Coll Dublin, Sch Architecture Planning &amp; Environm Policy, Richview Campus, Dublin D04 V1W8, Ireland; [Fajardo-Calderin, Jenny; Masegosa, Antonio D.] Univ Deusto, Fac Engn, DeustoTech, Av Univ 24, Bilbao 48007, Spain; [Werner, Frank; Steudter, Margarete] Software AG, Altenkesseler Str 17, D-66115 Saarbrucken, Germany</t>
  </si>
  <si>
    <t>University College Dublin; University of Deusto</t>
  </si>
  <si>
    <t>Giuffrida, N (corresponding author), Univ Coll Dublin, Sch Architecture Planning &amp; Environm Policy, Richview Campus, Dublin D04 V1W8, Ireland.</t>
  </si>
  <si>
    <t>nadia.giuffrida@ucd.ie; fajardo.jenny@deusto.es; ad.masegosa@deusto.es; frank.werner@softwareag.com; margarete.steudter@softwareag.com; francesco.pilla@ucd.ie</t>
  </si>
  <si>
    <t>; Masegosa, Antonio D./E-3302-2012; Giuffrida, Nadia/V-6875-2018</t>
  </si>
  <si>
    <t>Pilla, Francesco/0000-0002-1535-1239; Fajardo Calderin, Jenny/0000-0002-9355-3610; Masegosa, Antonio D./0000-0001-7759-9072; Giuffrida, Nadia/0000-0002-4446-8292</t>
  </si>
  <si>
    <t>European Commission [861,540]</t>
  </si>
  <si>
    <t>This article was partially funded by the European Commission through the SENATOR project (H2020MG-2018-2020, RIA, project n. 861,540).</t>
  </si>
  <si>
    <t>10.3390/su14095329</t>
  </si>
  <si>
    <t>1E4LZ</t>
  </si>
  <si>
    <t>WOS:000794463500001</t>
  </si>
  <si>
    <t>Osman, KM; Kappell, AD; Elhadidy, M; ElMougy, F; Abd El-Ghany, WA; Orabi, A; Mubarak, AS; Dawoud, TM; Hemeg, HA; Moussa, IMI; Hessain, AM; Yousef, HMY</t>
  </si>
  <si>
    <t>Osman, Kamelia M.; Kappell, Anthony D.; Elhadidy, Mohamed; ElMougy, Fatma; Abd El-Ghany, Wafaa A.; Orabi, Ahmed; Mubarak, Aymen S.; Dawoud, Turki M.; Hemeg, Hassan A.; Moussa, Ihab M. I.; Hessain, Ashgan M.; Yousef, Hend M. Y.</t>
  </si>
  <si>
    <t>Poultry hatcheries as potential reservoirs for antimicrobial-resistant Escherichia coli: A risk to public health and food safety</t>
  </si>
  <si>
    <t>SPECTRUM BETA-LACTAMASES; BIOFILM FORMATION; VIRULENCE FACTORS; STRAINS; INFECTIONS; CHICKEN; GENES; ASSAY; PCR</t>
  </si>
  <si>
    <t>Hatcheries have the power to spread antimicrobial resistant (AMR) pathogens through the poultry value chain because of their central position in the poultry production chain. Currently, no information is available about the presence of AMR Escherichia coli strains and the antibiotic resistance genes (ARGs) they harbor within hatchezries. Therefore, this study aimed to investigate the possible involvement of hatcheries in harboring hemolytic AMR E. coli. Serotyping of the 65 isolated hemolytic E. coli revealed 15 serotypes with the ability to produce moderate biofilms, and shared susceptibility to cephradine and fosfomycin and resistance to spectinomycin. The most common beta-lactam resistance gene was blaTEM, followed by bla(OXA-1), bla(MOX)-like, bla(CIT)-like, bla(SHV) and bla(FOX). Hierarchical clustering of E. coli isolates based on their phenotypic and genotypic profiles revealed separation of the majority of isolates from hatchlings and the hatchery environments, suggesting that hatchling and environmental isolates may have different origins. The high frequency of beta-lactam resistance genes in AMR E. coli from chick hatchlings indicates that hatcheries may be a reservoir of AMR E. coli and can be a major contributor to the increased environmental burden of ARGs posing an eminent threat to poultry and human health.</t>
  </si>
  <si>
    <t>[Osman, Kamelia M.; Orabi, Ahmed] Cairo Univ, Dept Microbiol, Fac Vet Med, Giza, Egypt; [Kappell, Anthony D.] Marquette Univ, Dept Civil Construct &amp; Environm Engn, Milwaukee, WI 53233 USA; [Elhadidy, Mohamed] Mansoura Univ, Fac Vet Med, Dept Bacteriol Mycol &amp; Immunol, Mansoura, Egypt; [Elhadidy, Mohamed] Univ Sci &amp; Technol, Zewail City Sci &amp; Technol, Giza, Egypt; [ElMougy, Fatma] Cairo Univ, Fac Med Kasr AlAini, Dept Clin &amp; Chem Pathol, Giza, Egypt; [Abd El-Ghany, Wafaa A.] Cairo Univ, Dept Poultry Dis, Fac Vet Med, Giza, Egypt; [Mubarak, Aymen S.; Dawoud, Turki M.; Moussa, Ihab M. I.] King Saud Univ, Dept Bot &amp; Microbiol, Coll Sci, Riyadh, Saudi Arabia; [Hemeg, Hassan A.] Taibah Univ, Dept Clin Lab Sci, Coll Appl Med Sci, Medina, Saudi Arabia; [Hessain, Ashgan M.] King Saud Univ, Dept Hlth Sci, Coll Appl Studies &amp; Community Serv, Riyadh, Saudi Arabia; [Yousef, Hend M. Y.] Gen Org Vet Serv, Cent Adm Prevent Med, Giza, Egypt</t>
  </si>
  <si>
    <t>Egyptian Knowledge Bank (EKB); Cairo University; Marquette University; Egyptian Knowledge Bank (EKB); Mansoura University; Egyptian Knowledge Bank (EKB); Misr University for Science &amp; Technology; Zewail City of Science &amp; Technology; Egyptian Knowledge Bank (EKB); Cairo University; Egyptian Knowledge Bank (EKB); Cairo University; King Saud University; Taibah University; King Saud University</t>
  </si>
  <si>
    <t>Osman, KM (corresponding author), Cairo Univ, Dept Microbiol, Fac Vet Med, Giza, Egypt.</t>
  </si>
  <si>
    <t>kamelia-osman@hotmail.com</t>
  </si>
  <si>
    <t>Moussa, Ihab Mohamed/IYT-3571-2023; Mubarak, Ayman/GYQ-9153-2022</t>
  </si>
  <si>
    <t>Mubarak, Ayman/0000-0003-4948-5574</t>
  </si>
  <si>
    <t>Deanship of Scientific Research at King Saud University [RGP-162]</t>
  </si>
  <si>
    <t>Deanship of Scientific Research at King Saud University(King Saud University)</t>
  </si>
  <si>
    <t>The authors extend their appreciation to the Deanship of Scientific Research at King Saud University for funding the work through the research group project No.: RGP-162.</t>
  </si>
  <si>
    <t>NATURE PORTFOLIO</t>
  </si>
  <si>
    <t>HEIDELBERGER PLATZ 3, BERLIN, 14197, GERMANY</t>
  </si>
  <si>
    <t>APR 11</t>
  </si>
  <si>
    <t>10.1038/s41598-018-23962-7</t>
  </si>
  <si>
    <t>GC3KY</t>
  </si>
  <si>
    <t>WOS:000429684000068</t>
  </si>
  <si>
    <t>Crowley, E; Stovall, SA; Johnston, N; Weathers, J</t>
  </si>
  <si>
    <t>Crowley, Edward; Stovall, Steven Austin; Johnston, Nick; Weathers, Julie</t>
  </si>
  <si>
    <t>Lifestyle or profit? The complex decision-making criteria for local food entrepreneurs</t>
  </si>
  <si>
    <t>AGRICULTURE AND HUMAN VALUES</t>
  </si>
  <si>
    <t>Farm; Farm economy; Farm food economy; Entrepreneurship; Entrepreneurial barriers; Local food entrepreneur</t>
  </si>
  <si>
    <t>POSITIVE THEORY; GROUNDED THEORY; NETWORKS; SYSTEMS</t>
  </si>
  <si>
    <t>The purpose of this paper is to provide a holistic examination of local food entrepreneurs (LFE) across the local food system (LFS) of a specific U.S. geographic region, including the drivers and barriers to their success. Over the past few decades, there has been a surge in entrepreneurs becoming involved in the LFS which includes the production (farming and manufacturing), distribution, and retail of local ag-related products and services. The LFS is complex and entrepreneurs operating within the system are often met with steep barriers of entry and have trouble maintaining long-term success. Through recorded semi-structured interviews of LFEs (producers, processors, and purveyors) in the Missouri Ozark region, data was gathered and coded according to grounded theory methodologies. From the data collection, 24 emergent themes were identified using thematic clustering. These were further consolidated into eight categorical themes (strategy, skills development, financially sustainable model, differentiation drivers, operational drivers, external drivers, internal constraints, and external constraints) and three over-riding themes (approach, drivers, and barriers). This cross-sectional approach in examining entrepreneurs across the value chain in an LFS provides new insights into the unique entrepreneurial mindset of LFEs.</t>
  </si>
  <si>
    <t>[Crowley, Edward; Stovall, Steven Austin] Southeast Missouri State Univ, Harrison Coll Business &amp; Comp, Entrepreneurship, One Univ Plaza,MS5850, Cape Girardeau, MO 63701 USA; [Johnston, Nick] Univ Arkansas, Sch Human Environm Sci, Hospitality Management, Fayetteville, AR USA; [Weathers, Julie] Southeast Missouri State Univ, Harrison Coll Business &amp; Comp, Dept Agr, Cape Girardeau, MO USA</t>
  </si>
  <si>
    <t>University of Arkansas System; University of Arkansas Fayetteville</t>
  </si>
  <si>
    <t>Crowley, E (corresponding author), Southeast Missouri State Univ, Harrison Coll Business &amp; Comp, Entrepreneurship, One Univ Plaza,MS5850, Cape Girardeau, MO 63701 USA.</t>
  </si>
  <si>
    <t>ecrowley@semo.edu; sstovall@semo.edu; nj034@uark.edu; jweathers@semo.edu</t>
  </si>
  <si>
    <t>Johnston, Nicholas Nick E/JBS-1689-2023</t>
  </si>
  <si>
    <t>Johnston, Nicholas Nick E/0000-0002-6656-3346</t>
  </si>
  <si>
    <t>Southeast Missouri State University</t>
  </si>
  <si>
    <t>This work was supported by an internal grant from Southeast Missouri State University.</t>
  </si>
  <si>
    <t>0889-048X</t>
  </si>
  <si>
    <t>1572-8366</t>
  </si>
  <si>
    <t>AGR HUM VALUES</t>
  </si>
  <si>
    <t>Agric. Human Values</t>
  </si>
  <si>
    <t>2023 JUL 8</t>
  </si>
  <si>
    <t>10.1007/s10460-023-10485-9</t>
  </si>
  <si>
    <t>Agriculture, Multidisciplinary; History &amp; Philosophy Of Science; Sociology</t>
  </si>
  <si>
    <t>Agriculture; History &amp; Philosophy of Science; Sociology</t>
  </si>
  <si>
    <t>L6GT4</t>
  </si>
  <si>
    <t>WOS:001024234800001</t>
  </si>
  <si>
    <t>Guerrero-Prado, JS; Alfonso-Morales, W; Caicedo-Bravo, E; Zayas-Pérez, B; Espinosa-Reza, A</t>
  </si>
  <si>
    <t>Sidney Guerrero-Prado, Jenniffer; Alfonso-Morales, Wilfredo; Caicedo-Bravo, Eduardo; Zayas-Perez, Benjamin; Espinosa-Reza, Alfredo</t>
  </si>
  <si>
    <t>The Power of Big Data and Data Analytics for AMI Data: A Case Study</t>
  </si>
  <si>
    <t>AMI; big data; clustering; data analytics; data-driven decisions; load forecasting; machine learning; smart grids</t>
  </si>
  <si>
    <t>DATA ISSUES; PLATFORM; DESIGN</t>
  </si>
  <si>
    <t>In recent years, there has been a transformation in the value chain of different industrial sectors, like the electricity networks, with the appearance of smart grids. Currently, the underlying knowledge in raw data coming from numerous devices can mark a significant competitive advantage for utilities. It is the case of the Advanced Metering Infrastructure (AMI). Such technology gets user consumption characteristics at levels of detail that were previously not possible. In this context, the terms big data and data analytics become relevant, which are tools that allow using large volumes of information and the generation of valuable knowledge from raw data that can support data-driven decisions for operating on the grid. This paper presents the results of the big data implementation and data analytics techniques in a case study with smart metering data from the city of London. Implemented big data and data analytic techniques to show how to understand user consumption patterns on a broader horizon, the relationships with seasonal variables identify behaviors related to specific events and atypical consumptions. This knowledge helps support decision making about improving demand response programs and, in general, the planning and operation of the Smart Grid.</t>
  </si>
  <si>
    <t>[Sidney Guerrero-Prado, Jenniffer; Alfonso-Morales, Wilfredo; Caicedo-Bravo, Eduardo] Univ Valle, Sch Elect &amp; Elect Engn, Cali 760031, Colombia; [Zayas-Perez, Benjamin; Espinosa-Reza, Alfredo] Inst Nacl Elect &amp; Energias Limpias, Integral Proc Management Dept, Cuernavaca 62490, Morelos, Mexico</t>
  </si>
  <si>
    <t>Universidad del Valle</t>
  </si>
  <si>
    <t>Guerrero-Prado, JS (corresponding author), Univ Valle, Sch Elect &amp; Elect Engn, Cali 760031, Colombia.;Espinosa-Reza, A (corresponding author), Inst Nacl Elect &amp; Energias Limpias, Integral Proc Management Dept, Cuernavaca 62490, Morelos, Mexico.</t>
  </si>
  <si>
    <t>jenniffer.guerrero@correounivalle.edu.co; wilfredo.alfonso@correounivalle.edu.co; eduardo.caicedo@correounivalle.edu.co; zayas@ineel.mx; aer@ineel.mx</t>
  </si>
  <si>
    <t>Alfonso, Wilfredo/AAL-4063-2020</t>
  </si>
  <si>
    <t>Alfonso, Wilfredo/0000-0002-3091-6082; Espinosa-Reza, Alfredo/0000-0001-7982-2645; Guerrero Prado, Jenniffer Sidney/0000-0003-1828-9300</t>
  </si>
  <si>
    <t>Colombian Ministry of Science, Technology, and Education-MINCIENCIAS [727-2015]; Colombia Scientific Program [FP44842-218-2018]</t>
  </si>
  <si>
    <t>Colombian Ministry of Science, Technology, and Education-MINCIENCIAS; Colombia Scientific Program</t>
  </si>
  <si>
    <t>The Colombian Ministry of Science, Technology, and Education-MINCIENCIAS funded this work with the grant number 727-2015. The authors also gratefully acknowledge the financial support provided by the Colombia Scientific Program within the framework of the call Ecosistema Cientifico (contract No. FP44842-218-2018).</t>
  </si>
  <si>
    <t>10.3390/s20113289</t>
  </si>
  <si>
    <t>MQ2OZ</t>
  </si>
  <si>
    <t>WOS:000552737900282</t>
  </si>
  <si>
    <t>Xu, XY</t>
  </si>
  <si>
    <t>Xu, Xiuyan</t>
  </si>
  <si>
    <t>An Intelligent Classification Method of Multisource Enterprise Financial Data Based on SAS Model</t>
  </si>
  <si>
    <t>SUPPLY CHAIN FINANCE; SMES; PERFORMANCE; CREDIT</t>
  </si>
  <si>
    <t>An enterprise is often faced with a large amount of financial information and data information. It is inefficient to rely solely on manual work, and the accuracy is difficult to guarantee. For the multisource data of corporate finance, it is more difficult for financial personnel to accurately analyze the connections between the data. For the multisource financial data of enterprise, this is also a time-consuming and laborious task for financial personnel. At the same time, it is difficult to find the correlation between multiple sources of data and then formulate financial data that guides the development of the enterprise. With the advancement of intelligent algorithms, an intelligent classification algorithm similar to the SAS model has emerged, which can realize the intelligent classification of enterprise financial multisource data and accurately predict the future development trend, which is extremely beneficial to the development and performance of the enterprise. This article mainly combines the financial intelligence classification model SAS with clustering and decision tree methods to classify the financial multisource information and uses the neural network method to carry out the future development trend of corporate finance. The research results show that the maximum error of enterprise financial classification after using the intelligent classification method is only 3.71% and that the forecast error of the future development trend of enterprise finance is only 1.77%. This is an acceptable error range, and this intelligent classification method is also greatly improving the efficiency of corporate financial management.</t>
  </si>
  <si>
    <t>[Xu, Xiuyan] Xijing Univ, Xian 710123, Shaanxi, Peoples R China</t>
  </si>
  <si>
    <t>Xijing University</t>
  </si>
  <si>
    <t>Xu, XY (corresponding author), Xijing Univ, Xian 710123, Shaanxi, Peoples R China.</t>
  </si>
  <si>
    <t>20140034@xijing.edu.cn</t>
  </si>
  <si>
    <t>Shaanxi Provincial Education Department, Research on the Influence of Internal Audit Quality on the Investment Efficiency of Enterprises [21JK0409]</t>
  </si>
  <si>
    <t>Shaanxi Provincial Education Department, Research on the Influence of Internal Audit Quality on the Investment Efficiency of Enterprises</t>
  </si>
  <si>
    <t>THe author thanks the Scientific Research Program Funded by Shaanxi Provincial Education Department, Research on the Influence of Internal Audit Quality on the Investment Efficiency of Enterprises (no. 21JK0409).</t>
  </si>
  <si>
    <t>MAR 24</t>
  </si>
  <si>
    <t>10.1155/2022/8255091</t>
  </si>
  <si>
    <t>1D1HB</t>
  </si>
  <si>
    <t>WOS:000793558000036</t>
  </si>
  <si>
    <t>Assaf, M; Hussein, M; Alsulami, BT; Zayed, T</t>
  </si>
  <si>
    <t>Assaf, Mohamed; Hussein, Mohamed; Alsulami, Badr T.; Zayed, Tarek</t>
  </si>
  <si>
    <t>A Mixed Review of Cash Flow Modeling: Potential of Blockchain for Modular Construction</t>
  </si>
  <si>
    <t>cash flow; blockchain; smart contract; modular construction; scientometric review; systematic review</t>
  </si>
  <si>
    <t>DECISION-SUPPORT-SYSTEM; SUPPLY CHAIN MANAGEMENT; OFF-SITE CONSTRUCTION; MULTIOBJECTIVE OPTIMIZATION; INFRASTRUCTURE PROJECTS; FINANCE; RISK; SIMULATION; BUILDINGS; DURATION</t>
  </si>
  <si>
    <t>Cash is considered the most critical resource in construction projects. However, many contractors fail to obtain adequate liquidity due to a lack of proper cash flow management. Therefore, numerous research studies have been conducted to address cash flow-related issues in the construction industry. However, the literature still lacks a comprehensive review of cash flow management, methods and topics, in the construction industry. This study contributes by providing a holistic, up-to-date, and thorough review of 172 journal articles on construction cash flow. To achieve this primary objective, the study applies a mixed review methodology using scientometric and systematic reviews. The scientometric analysis provides the most contributing scholars, the timeline of cash flow research attention, and keywords clustering. On the other hand, the systematic analysis categorizes the cash flow themes, identifies current literature gaps, and highlights future research areas in the cash flow domain. The results show that cash flow analysis gained more research attention in the last two decades, cash flow-based schedule is the most frequent topic in the literature, and optimization techniques are predominant in the literature. Consequently, the study highlights five potential research frontiers. Further, an automated payment framework for modular construction projects using Blockchain-based smart contracts is developed to address some of the literature limitations. This study provides a guideline for future research efforts and raises researchers' awareness of the latest trends and methods of construction cash flow analysis.</t>
  </si>
  <si>
    <t>[Assaf, Mohamed] Univ Alberta, Dept Civil &amp; Environm Engn, Edmonton, AB T6G 2R3, Canada; [Hussein, Mohamed] Assiut Univ, Fac Engn, Civil Engn Dept, Assiut 71511, Egypt; [Hussein, Mohamed; Zayed, Tarek] Hong Kong Polytech Univ, Dept Bldg &amp; Real Estate, Hong Kong 999077, Peoples R China; [Alsulami, Badr T.] Umm Al Qura Univ, Coll Engn &amp; Islamic Architecture, Dept Civil Engn, Mecca 24382, Saudi Arabia</t>
  </si>
  <si>
    <t>University of Alberta; Egyptian Knowledge Bank (EKB); Assiut University; Hong Kong Polytechnic University; Umm Al Qura University</t>
  </si>
  <si>
    <t>Assaf, M (corresponding author), Univ Alberta, Dept Civil &amp; Environm Engn, Edmonton, AB T6G 2R3, Canada.;Hussein, M (corresponding author), Assiut Univ, Fac Engn, Civil Engn Dept, Assiut 71511, Egypt.;Hussein, M (corresponding author), Hong Kong Polytech Univ, Dept Bldg &amp; Real Estate, Hong Kong 999077, Peoples R China.</t>
  </si>
  <si>
    <t>massaf2@ualberta.ca; mohamed.hussein@connect.polyu.hk</t>
  </si>
  <si>
    <t>Zayed, Tarek/L-6437-2018; Alsulami, Badr/HHS-0980-2022</t>
  </si>
  <si>
    <t>Zayed, Tarek/0000-0003-3249-7712; Hussein, MOHAMED/0000-0002-7153-9308; Assaf, Mohamed/0000-0002-6298-8531</t>
  </si>
  <si>
    <t>Deanship of Scientific Research at Umm Al-Qura University; Department of Building and Real Estate at the Hong Kong Polytechnic University; [22UQU4390001DSR07]</t>
  </si>
  <si>
    <t>Deanship of Scientific Research at Umm Al-Qura University; Department of Building and Real Estate at the Hong Kong Polytechnic University;</t>
  </si>
  <si>
    <t>The authors would like to thank the Deanship of Scientific Research at Umm Al-Qura University for supporting this work by Grant Code: (22UQU4390001DSR07). Also, the authors would like to thank the Department of Building and Real Estate at the Hong Kong Polytechnic University.</t>
  </si>
  <si>
    <t>10.3390/buildings12122054</t>
  </si>
  <si>
    <t>7D5UI</t>
  </si>
  <si>
    <t>WOS:000900554800001</t>
  </si>
  <si>
    <t>Dos Santos, PH; Neves, SM; Sant'Anna, DO; de Oliveira, CH; Carvalho, HD</t>
  </si>
  <si>
    <t>Dos Santos, Paulo Henrique; Neves, Sandra Miranda; Sant'Anna, Daniele Ornaghi; de Oliveira, Carlos Henrique; Carvalho, Henrique Duarte</t>
  </si>
  <si>
    <t>The analytic hierarchy process supporting decision making for sustainable development: An overview of applications</t>
  </si>
  <si>
    <t>Analytic hierarchy process; Sustainable development; Sustainability; Multi-criteria decision-making; Systematic literature review</t>
  </si>
  <si>
    <t>SUPPLY CHAIN MANAGEMENT; OF-THE-ART; REMANUFACTURING INDUSTRY DEVELOPMENT; INFRASTRUCTURE RATING SYSTEM; PERFORMANCE EVALUATION; REVERSE LOGISTICS; WASTE-WATER; FUZZY AHP; LIFE-CYCLE; ENVIRONMENTAL-MANAGEMENT</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</si>
  <si>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</si>
  <si>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[Dos Santos, Paulo Henrique; Neves, Sandra Miranda] Univ Fed Itajuba, Prod Engn &amp; Management Inst, Campus Itajuba 1303 BPS Ave, BR-37500903 Itajuba, MG, Brazil; [Sant'Anna, Daniele Ornaghi] Univ Fed Itajuba, Nat Resources Inst, Campus Itajuba 1303 BPS Ave, BR-37500903 Itajuba, MG, Brazil; [de Oliveira, Carlos Henrique; Carvalho, Henrique Duarte] Univ Fed Itajuba, Prod Engn Dept, Campus Itabira 200 Irma Ivone Drumond St, BR-35903087 Itabira, MG, Brazil; [Dos Santos, Paulo Henrique] 26 Jose Correa Carvalho St, BR-37511000 Sonho Meu, Pirangucu, Brazil</t>
  </si>
  <si>
    <t>Universidade Federal de Itajuba; Universidade Federal de Itajuba; Universidade Federal de Itajuba</t>
  </si>
  <si>
    <t>Dos Santos, PH (corresponding author), Univ Fed Itajuba, Prod Engn &amp; Management Inst IEPG, 1303 BPS Ave, BR-37500903 Itajuba, MG, Brazil.;Dos Santos, PH (corresponding author), 26 Jose Correa Carvalho St, BR-37511000 Sonho Meu, Pirangucu, Brazil.</t>
  </si>
  <si>
    <t>paulo.henrique@unifei.edu.br; sandraneves@unifei.edu.br; ornaghi@unifei.edu.br; carlos.henrique@unifei.edu.br; henrique.carvalho@unifei.edu.br</t>
  </si>
  <si>
    <t>Neves, Sandra Miranda/W-2654-2018; Sant'Anna, Daniele Ornaghi/I-8570-2012; Rodrigues de Oliveira, Carlos Henrique/IAQ-7121-2023</t>
  </si>
  <si>
    <t>Neves, Sandra Miranda/0000-0002-4249-6927; Sant'Anna, Daniele Ornaghi/0000-0003-0271-1693; Rodrigues de Oliveira, Carlos Henrique/0000-0003-4829-8005; de Oliveira, Carlos Henrique/0000-0001-8406-5255</t>
  </si>
  <si>
    <t>10.1016/j.jclepro.2018.11.270</t>
  </si>
  <si>
    <t>HK4SD</t>
  </si>
  <si>
    <t>WOS:000457952500012</t>
  </si>
  <si>
    <t>Mishra, R; Kavita; Rajpal, A; Bhatia, V; Rajpal, S; Agarwal, M; Kumar, N</t>
  </si>
  <si>
    <t>Mishra, Rashmi; Kavita; Rajpal, Ankit; Bhatia, Varnika; Rajpal, Sheetal; Agarwal, Manoj; Kumar, Naveen</t>
  </si>
  <si>
    <t>I-LDD: an interpretable leaf disease detector</t>
  </si>
  <si>
    <t>Leaf disease detection; Extreme Learning Machine; Multi-class classification; Explainable AI; Single hidden layer feed-forward network</t>
  </si>
  <si>
    <t>EXTREME LEARNING-MACHINE; FEATURES</t>
  </si>
  <si>
    <t>A rapid expansion in the world's population needs an enormous supply of food grains to satisfy agricultural needs. Unfortunately, crop diseases adversely impact food production and disrupt the supply chain. To circumvent the limitations of continuous human monitoring, machine learning techniques can automatically diagnose leaf diseases in their early stages based on image data. In this paper, an Interpretable Leaf Disease Detector (I-LDD) framework for image-based leaf disease detection using Extreme Learning Machine (ELM) is proposed. The choice of ELM for this work has been motivated by its quicker convergence, good generalization capability, and shorter learning time compared to the standard gradient-based learning algorithms. Experiments have been carried out using a publicly available PlantVillage dataset comprising healthy and diseased leaf images for 32 categories. In the first phase, the leaf images are preprocessed and segmented using the k-means clustering algorithm. In the second phase, textural and frequency-based features are extracted from the segmented images. In the third phase, several machine learning classifiers are trained using tenfold cross-validation. It is observed that I-LDD achieves an accuracy of 0.9322 +/- 0.0088 at a 95% confidence level, outperforming the state-of-the-art methods. Moreover, a statistical significance test on the classification performance metrics also revealed the superiority of I-LDD over the state-of-the-art classifiers. Further, Local Interpretable Model-agnostic Explanations (LIME) is used to obtain the top 10 superpixels that contributed most to the class predicted by I-LDD.</t>
  </si>
  <si>
    <t>[Mishra, Rashmi; Kavita; Rajpal, Ankit; Kumar, Naveen] Univ Delhi, Fac Math Sci, Dept Comp Sci, Delhi 110007, India; [Bhatia, Varnika] Univ Delhi, Deen Dayal Upadhyaya Coll, Dept Bot, Delhi 110078, India; [Rajpal, Sheetal] Univ Delhi, Dyal Singh Coll, Dept Comp Sci, Delhi 110078, India; [Agarwal, Manoj] Univ Delhi, Hans Raj Coll, Dept Comp Sci, Delhi 110078, India</t>
  </si>
  <si>
    <t>University of Delhi; Deen Dayal Upadhyaya College; University of Delhi; University of Delhi; University of Delhi</t>
  </si>
  <si>
    <t>Rajpal, A (corresponding author), Univ Delhi, Fac Math Sci, Dept Comp Sci, Delhi 110007, India.</t>
  </si>
  <si>
    <t>rashmi.mcs20.du@gmail.com; kavita.mcs20.du@gmail.com; arajpal@cs.du.ac.in; varnikabhatia@ddu.du.ac.in; sheetal.rajpal.09@gmail.com; agar.manoj@gmail.com; nk.cs.du@gmail.com</t>
  </si>
  <si>
    <t>BHATIA, VARNIKA/JAC-0491-2023</t>
  </si>
  <si>
    <t>BHATIA, VARNIKA/0000-0002-7107-503X; Rajpal, Ankit/0000-0002-0033-4380; RAJPAL, SHEETAL/0000-0003-1420-8809</t>
  </si>
  <si>
    <t>Institution of Eminence (IoE), University of Delhi, India [IoE/2021/12/FRP]</t>
  </si>
  <si>
    <t>Institution of Eminence (IoE), University of Delhi, India</t>
  </si>
  <si>
    <t>Dr. Ankit Rajpal (PI) and Dr. Manoj Agarwal (Co-PI) would like to thank the Institution of Eminence (IoE), University of Delhi, India, for providing equipment support under Faculty Research Programme (Ref. No./IoE/2021/12/FRP).</t>
  </si>
  <si>
    <t>2023 MAY 30</t>
  </si>
  <si>
    <t>10.1007/s00500-023-08512-2</t>
  </si>
  <si>
    <t>H8GI3</t>
  </si>
  <si>
    <t>WOS:000998277100002</t>
  </si>
  <si>
    <t>dos Santos, RM; Nääs, ID; Neto, MM; Vendrametto, O</t>
  </si>
  <si>
    <t>dos Santos, Renato Marcio; Naeaes, Irenilza de Alencar; Mollo Neto, Mario; Vendrametto, Oduvaldo</t>
  </si>
  <si>
    <t>AN OVERVIEW ON THE BRAZILIAN ORANGE JUICE PRODUCTION CHAIN</t>
  </si>
  <si>
    <t>REVISTA BRASILEIRA DE FRUTICULTURA</t>
  </si>
  <si>
    <t>network analysis; SNA; production chain; orange production</t>
  </si>
  <si>
    <t>SUPPLY CHAIN; MANAGEMENT; STORAGE; IMPACT; MODELS</t>
  </si>
  <si>
    <t>Brazil is the world's largest producer of oranges and uses more than 70% of the harvested fruits in the production of juices. The amount of processed orange is growing about 10% per year, confirming the trend of the Brazilian citrus for juice production. This research aimed to investigate the Brazilian orange juice production chain from 2005 to 2009. Data from the amount of frozen juice produced and exported, international price of orange juice, and intermediate transactions were assessed in order to make possible selection of all interveners involved in the chain. The study using the Social Network Analysis (SNA) showed that the densest relationships in the network are from exporters to importers and from orange growers to the orange processing industry. No difference was found in the values of the network geodesic distance or the clustering coefficients from 2005 to 2009. The degree of centrality increased steadily throughout the years indicating that the processing industry attempts to minimize the risks by centralizing the actions. A decrease in export of orange juice from 2007 (2.07 10(6) t) to 2008 (2.05 10(6) t) was found, probably due to the world's financial crisis with recovery in 2009. Since 2004, there has been an increase of nearly 10% per year in the market preference of concentrate juice (OFCJ) when compared to the not from concentrated juice (NFC). Nowadays the NFC market represents nearly 50% of all Brazilian export which impacted in the logistic distribution and transportation issues.</t>
  </si>
  <si>
    <t>[dos Santos, Renato Marcio] Univ Paulista, Sao Paulo, Brazil; [Naeaes, Irenilza de Alencar] PPGEP UNIP, Grad Program Prod Engn, BR-04026002 Sao Paulo, Brazil; [Mollo Neto, Mario; Vendrametto, Oduvaldo] PPGEP UNIP, BR-04026002 Sao Paulo, Brazil</t>
  </si>
  <si>
    <t>Universidade Paulista</t>
  </si>
  <si>
    <t>dos Santos, RM (corresponding author), Univ Paulista, Sao Paulo, Brazil.</t>
  </si>
  <si>
    <t>renato10online@yahoo.com.br; irenilza@gmail.com; mariomollo@gmail.com; oduvaldov@uol.com.br</t>
  </si>
  <si>
    <t>Nääs, Irenilza A/D-9507-2012; Neto, Mario Mollo/X-5500-2019; Neto, Mario Mollo/J-9767-2014; Nääs, Irenilza/L-1807-2019</t>
  </si>
  <si>
    <t>Nääs, Irenilza A/0000-0003-0663-9377; Neto, Mario Mollo/0000-0002-8341-4190; Neto, Mario Mollo/0000-0002-8341-4190; Nääs, Irenilza/0000-0003-0663-9377; Santos, Renato/0000-0002-1358-6296; Vendrametto, Oduvaldo/0000-0003-2430-6138</t>
  </si>
  <si>
    <t>SOC BRASILEIRA FRUTICULTURA</t>
  </si>
  <si>
    <t>JABOTICABAL SP</t>
  </si>
  <si>
    <t>VIA ACESSO PROF PAULO DONATO CASTELLANE, S-N, JABOTICABAL SP, 14884-900, BRAZIL</t>
  </si>
  <si>
    <t>0100-2945</t>
  </si>
  <si>
    <t>REV BRAS FRUTIC</t>
  </si>
  <si>
    <t>Rev. Bras. Frutic.</t>
  </si>
  <si>
    <t>10.1590/S0100-29452013000100025</t>
  </si>
  <si>
    <t>Horticulture</t>
  </si>
  <si>
    <t>158XL</t>
  </si>
  <si>
    <t>WOS:000320007200025</t>
  </si>
  <si>
    <t>Yue, T; Liu, HW; Long, RY; Chen, H; Gan, X; Liu, JL</t>
  </si>
  <si>
    <t>Yue, Ting; Liu, Haiwen; Long, Ruyin; Chen, Hong; Gan, Xin; Liu, Junli</t>
  </si>
  <si>
    <t>Research trends and hotspots related to global carbon footprint based on bibliometric analysis: 2007-2018</t>
  </si>
  <si>
    <t>Carbon footprint; Literature mining; Knowledge base; Research hotspot; CiteSpace; Literature review</t>
  </si>
  <si>
    <t>LIFE-CYCLE ASSESSMENT; EMBODIED CARBON; SUPPLY CHAIN; ENVIRONMENTAL-IMPACT; BUILDING-MATERIALS; HOUSEHOLD CARBON; ASSESSMENT LCA; CO2 EMISSIONS; ENERGY; INPUT</t>
  </si>
  <si>
    <t>As an important indicator of greenhouse gas emissions, the carbon footprint (CF) has become increasingly important in recent years under the dual pressures of global warming and international commitments to mitigate its effects. This study collected 3698 papers related to CF from the Web of Science database as research samples (year 2007 to 2018). Based on CiteSpace, the knowledge base, popular topics, and research trends of CF are presented. The results show the following: (1) from 2007 to 2018, the number of articles on CF have steadily increased. (2) After spatial analysis of the literature, we found that among research institutions, the Chinese Academy of Sciences has the largest number of publications on the issue. When it comes to country, three important research forces can be identified: USA, China, and UK. (3) Research on the CF is interdisciplinary; in addition to the traditional fields of environmental, political, economics, and computing, CF research has received attention from the Physics, Materials, Chemistry, Mathematics, and animal sciences. (4) Through keyword clustering, currently popular topics in research can be roughly divided into four aspects: CF calculation methods, research scales, energy, and agriculture. (5) The CF research during the study period is divided into four stages according to the burst time and content of the burst keywords. According to the research status and trend, this paper puts forward the future research direction of carbon footprint.</t>
  </si>
  <si>
    <t>[Yue, Ting; Liu, Haiwen; Long, Ruyin; Chen, Hong; Gan, Xin; Liu, Junli] China Univ Min &amp; Technol, Sch Management, Xuzhou 221000, Jiangsu, Peoples R China</t>
  </si>
  <si>
    <t>Yue, T (corresponding author), China Univ Min &amp; Technol, Sch Management, Xuzhou 221000, Jiangsu, Peoples R China.</t>
  </si>
  <si>
    <t>yueting2729@163.com; ts18070113a31@cumt.edu.cn; longruyin@163.com; hongchenxz@163.com; aifusengan@126.com; ts18070114a31@cumt.edu.cn</t>
  </si>
  <si>
    <t>Chen, Hong/0000-0002-2035-6851</t>
  </si>
  <si>
    <t>National Natural Science Fund of China [71603257, 71874188, 71603255]; China Postdoctoral Science Foundation [2016 M601920]; Fundamental Research Funds for the Central Universities [2015QNA17]; Major project of National Social Science Funding of China [18AZD014, 16ZDA056]; Innovation Team Program of the China University of Mining and Technology [2015ZY003]</t>
  </si>
  <si>
    <t>National Natural Science Fund of China(National Natural Science Foundation of China (NSFC)); China Postdoctoral Science Foundation(China Postdoctoral Science Foundation); Fundamental Research Funds for the Central Universities(Fundamental Research Funds for the Central Universities); Major project of National Social Science Funding of China; Innovation Team Program of the China University of Mining and Technology</t>
  </si>
  <si>
    <t>This work was financially supported by the project of National Natural Science Fund of China (Grant No. 71603257, 71874188, and 71603255), the project of General Financial Grant from the China Postdoctoral Science Foundation (Grant No. 2016 M601920), the Fundamental Research Funds for the Central Universities (Grant No. 2015QNA17), the Major project of National Social Science Funding of China (Grant No. 18AZD014 and 16ZDA056), and the Innovation Team Program of the China University of Mining and Technology (Grant No. 2015ZY003).</t>
  </si>
  <si>
    <t>10.1007/s11356-020-08158-9</t>
  </si>
  <si>
    <t>LP9VG</t>
  </si>
  <si>
    <t>WOS:000521784700004</t>
  </si>
  <si>
    <t>Tanaka, R; Ishigaki, A; Suzuki, T; Hamada, M; Kawai, W</t>
  </si>
  <si>
    <t>Tanaka, Rina; Ishigaki, Aya; Suzuki, Tomomichi; Hamada, Masato; Kawai, Wataru</t>
  </si>
  <si>
    <t>Data Analysis of Shipment for Textiles and Apparel from Logistics Warehouse to Store Considering Disposal Risk</t>
  </si>
  <si>
    <t>apparel products; supply chain management; quick response; clustering; forecasting; sale at fixed price</t>
  </si>
  <si>
    <t>QUICK RESPONSE; SUPPLY CHAINS; INDUSTRY; MODEL; SUSTAINABILITY; MANAGEMENT; PRODUCT; WASTE; COST</t>
  </si>
  <si>
    <t>Given the rapid diversification of products in the textile and apparel industry, manufacturers face significant new challenges in production. The life cycle of apparel products has contracted and is now, generally, a several-week season, during which time a majority of products are supposed to be sold. Products that do not sell well may be sold at a price lower than the fixed price, and products that do not sell at all within the sales period may eventually become forced disposal. This creates long-term management and environmental problems. In practice, shipping personnel determine when to ship products to stores after reviewing product sales information. However, they may not schedule or structure these shipments properly because they cannot effectively monitor sales for a large number of products. In this paper, shipment is considered to reduce the risk of product disposal on the premise of selling at a fixed price. Although shipment quantities are determined by various factors, we only consider the change in inventory at the logistics warehouse, since it is difficult to incorporate all factors into the analysis. From cluster analysis, it is found that shipping personnel should recognize a policy to sell products gradually over time. Furthermore, to reduce the risk of disposal, we forecast the inventory from conditional probability and are able to extract products out of a standard grouping using past data.</t>
  </si>
  <si>
    <t>[Tanaka, Rina; Ishigaki, Aya; Suzuki, Tomomichi] Tokyo Univ Sci, Ind Adm, Noda, Chiba 2788510, Japan; [Hamada, Masato; Kawai, Wataru] Data Chef Co Ltd, Koto Ku, Tokyo 1350004, Japan</t>
  </si>
  <si>
    <t>Tokyo University of Science</t>
  </si>
  <si>
    <t>Ishigaki, A (corresponding author), Tokyo Univ Sci, Ind Adm, Noda, Chiba 2788510, Japan.</t>
  </si>
  <si>
    <t>7418519@ed.tus.ac.jp; ishigaki@rs.noda.tus.ac.jp; szk@rs.tus.ac.jp; m.hamada@data-chef.co.jp; w.kawai@data-chef.co.jp</t>
  </si>
  <si>
    <t>Ishigaki, Aya/0000-0002-1846-2110</t>
  </si>
  <si>
    <t>10.3390/su11010259</t>
  </si>
  <si>
    <t>HJ4ER</t>
  </si>
  <si>
    <t>WOS:000457127300259</t>
  </si>
  <si>
    <t>Huh, S; Cho, S; Choi, J; Shin, S; Lee, H</t>
  </si>
  <si>
    <t>Huh, Siwon; Cho, Seonghwan; Choi, Jinho; Shin, Seungwon; Lee, Hojoon</t>
  </si>
  <si>
    <t>A Comprehensive Analysis of Today's Malware and Its Distribution Network: Common Adversary Strategies and Implications</t>
  </si>
  <si>
    <t>Malware; Metadata; Market research; Distribution networks; Industries; IP networks; Soft sensors; Malware distribution network; cyber security; malware classification; malware features</t>
  </si>
  <si>
    <t>Malware has plagued the internet and computing systems for decades. The war against malware has always been an arms race. Researchers and industry have constantly improved detection and prevention methodologies against increasingly more evasive malware. Keeping up with the constantly changing adversary tactics for evading defensive efforts and maintaining an efficient malware supply chain is imperative to stay ahead in the competition. In this paper, we present a large-scale and comprehensive analysis of the current state of malware distribution. For the analysis, we accumulated a dataset that contains 99,312 malware binary samples from 38,659 malware distribution sites over 287 days. Using our dataset, we perform a comprehensive analysis of the collected malware binaries and URLs to provide up-to-date statistics and insights into the adversary strategies. We analyze both malware distribution sites and malware binaries collected from them. Regarding binary analysis, we perform a multifaceted analysis on the characteristics on the collected binaries, including malware family label classification and file similarity-based clustering. With distribution site analysis, we analyze the IP addresses, domains, AS registration distribution and URL lexical distribution of malware distribution sites. We further discuss the statistical relationship between malware families and their distribution domains. Most importantly, we discuss the current trends in malware distribution today and reveal adversary strategies through our extensive amount of analysis results. Then, we suggest future directions for fight against malware distribution.</t>
  </si>
  <si>
    <t>[Huh, Siwon; Lee, Hojoon] Sungkyunkwan Univ, Dept Comp Sci &amp; Engn, Suwon 16419, South Korea; [Cho, Seonghwan; Choi, Jinho] Korea Adv Inst Sci &amp; Technol KAIST, Sch Comp, Grad Sch Informat Secur, Daejeon 34141, South Korea; [Shin, Seungwon] Korea Adv Inst Sci &amp; Technol KAIST, Sch Elect Engn, Daejeon 34141, South Korea</t>
  </si>
  <si>
    <t>Sungkyunkwan University (SKKU); Korea Advanced Institute of Science &amp; Technology (KAIST); Korea Advanced Institute of Science &amp; Technology (KAIST)</t>
  </si>
  <si>
    <t>Lee, H (corresponding author), Sungkyunkwan Univ, Dept Comp Sci &amp; Engn, Suwon 16419, South Korea.</t>
  </si>
  <si>
    <t>hojoon.lee@skku.edu</t>
  </si>
  <si>
    <t>National Research Foundation of Korea (NRF) Grant by the Korean Government [NRF-2022R1C1C1010494]; Ministry of Science, ICT (MSIT), Korea, under the High-Potential Individuals Global Training Program [IITP-2021-0-02104]</t>
  </si>
  <si>
    <t>National Research Foundation of Korea (NRF) Grant by the Korean Government(National Research Foundation of Korea); Ministry of Science, ICT (MSIT), Korea, under the High-Potential Individuals Global Training Program</t>
  </si>
  <si>
    <t>This work was supported by National Research Foundation of Korea (NRF) Grant by the Korean Government through (NRF-2022R1C1C1010494), and Ministry of Science, ICT (MSIT), Korea, under the High-Potential Individuals Global Training Program (IITP-2021-0-02104).</t>
  </si>
  <si>
    <t>10.1109/ACCESS.2022.3171226</t>
  </si>
  <si>
    <t>1G1PS</t>
  </si>
  <si>
    <t>WOS:000795627600001</t>
  </si>
  <si>
    <t>Sharma, S; Sharma, C; Asenso, E; Sharma, K</t>
  </si>
  <si>
    <t>Sharma, Shamneesh; Sharma, Chetan; Asenso, Evans; Sharma, Komal</t>
  </si>
  <si>
    <t>Research Constituents and Trends in Smart Farming: An Analytical Retrospection from the Lens of Text Mining</t>
  </si>
  <si>
    <t>JOURNAL OF SENSORS</t>
  </si>
  <si>
    <t>SUPPLY CHAIN MANAGEMENT; AGRICULTURE; SYSTEMS; IOT; CHALLENGES; OPERATIONS; INTERNET; SCIENCE; THINGS; MODEL</t>
  </si>
  <si>
    <t>Agriculture research began with the idea that local systems are interconnected. Thus, it was crucial to consider farmers, crops, and livestock. Smart farming arose with the Internet of Things (IoT) as people progressively digitized farming with new information technology. Academic and scientific groups innovate and commercialize IoT-based agricultural products and solutions. Many public and private organizations also explore farming advancements. Therefore, we must stimulate communication and cooperation among the many farming industry actors to build smart agricultural standards and improve system and technology interoperability. The study analyzed 3,229 published articles from smart farming systems in the Scopus database between 2008 and 2022. The collected corpus is preprocessed through various steps, creating a bag of words. Text mining, latent semantic analysis, and network analysis are applied to the collected corpus to provide current research areas based on the key terms. The key terms are taken based on the term frequency-inverse document frequency score. The research was experimented with using KNIME and VOSviewer. Finally, 10 current research areas are provided using K-means clustering for a future researcher for deep insight. This study offered years of analysis, top journals, top authors, and leading countries contributing to smart farming. Research into the myriad issues facing smart farming could begin with these trends. This research helps future researchers understand smart farming and areas that need more attention. It also draws attention to research directions that could use further study.</t>
  </si>
  <si>
    <t>[Sharma, Shamneesh; Sharma, Chetan] upGrad Educ Pvt Ltd, upGrad Campus, Bangalore, India; [Asenso, Evans] Univ Ghana, Sch Engn Sci, Dept Agr Engn, Accra, Ghana; [Sharma, Komal] Punjabi Univ, Multani Mal Modi Coll, Patiala, India</t>
  </si>
  <si>
    <t>University of Ghana; Punjabi University</t>
  </si>
  <si>
    <t>Asenso, E (corresponding author), Univ Ghana, Sch Engn Sci, Dept Agr Engn, Accra, Ghana.</t>
  </si>
  <si>
    <t>shamneesh.sharma@gmail.com; chetanshekhu@gmail.com; easenso@ug.edu.gh; komalsharma00061@gmail.com</t>
  </si>
  <si>
    <t>Asenso, Evans/AAC-1122-2019; Sharma, Shamneesh/D-1300-2013</t>
  </si>
  <si>
    <t>Asenso, Evans/0000-0003-3116-6356; Sharma, Shamneesh/0000-0003-3102-0808</t>
  </si>
  <si>
    <t>1687-725X</t>
  </si>
  <si>
    <t>1687-7268</t>
  </si>
  <si>
    <t>J SENSORS</t>
  </si>
  <si>
    <t>J. Sens.</t>
  </si>
  <si>
    <t>AUG 11</t>
  </si>
  <si>
    <t>10.1155/2023/6916213</t>
  </si>
  <si>
    <t>P5MD8</t>
  </si>
  <si>
    <t>WOS:001051108000002</t>
  </si>
  <si>
    <t>Wei, Z; Liu, H; Tao, XW; Pan, K; Huang, R; Ji, WJ; Wang, JH</t>
  </si>
  <si>
    <t>Wei, Ze; Liu, Hui; Tao, Xuewen; Pan, Kai; Huang, Rui; Ji, Wenjing; Wang, Jianhai</t>
  </si>
  <si>
    <t>Insights into the Application of Machine Learning in Industrial Risk Assessment: A Bibliometric Mapping Analysis</t>
  </si>
  <si>
    <t>machine learning; industry; bibliometrics; knowledge mapping; risk assessment; safety</t>
  </si>
  <si>
    <t>KNOWLEDGE STRUCTURE; HEALTH-CARE; BIG DATA; SYSTEMS; SAFETY; TRENDS; CHALLENGES; TRANSFORM; DIAGNOSIS; INTERNET</t>
  </si>
  <si>
    <t>Risk assessment is of great significance in industrial production and sustainable development. Great potential is attributed to machine learning in industrial risk assessment as a promising technology in the fields of computer science and the internet. To better understand the role of machine learning in this field and to investigate the current research status, we selected 3116 papers from the SCIE and SSCI databases of the WOS retrieval platform between 1991 and 2022 as our data sample. The VOSviewer, Bibliometrix R, and CiteSpace software were used to perform co-occurrence analysis, clustering analysis, and dual-map overlay analysis of keywords. The results indicate that the development trend of machine learning in industrial risk assessment can be divided into three stages: initial exploration, stable development, and high-speed development. Machine learning algorithm design, applications in biomedicine, risk monitoring in construction and machinery, and environmental protection are the knowledge base of this study. There are three research hotspots in the application of machine learning to industrial risk assessment: the study of machine learning algorithms, the risk assessment of machine learning in the Industry 4.0 system, and the application of machine learning in autonomous driving. At present, the basic theories and structural systems related to this research have been established, and there are numerous research directions and extensive frontier branches. Random Forest, Industry 4.0, supply chain risk assessment, and Internet of Things are at the forefront of the research.</t>
  </si>
  <si>
    <t>[Wei, Ze; Liu, Hui; Pan, Kai; Huang, Rui; Ji, Wenjing; Wang, Jianhai] China Jiliang Univ, Coll Qual &amp; Safety Engn, Hangzhou 310018, Peoples R China; [Tao, Xuewen] Zhejiang Acad Emergency Management Sci, Hangzhou 310020, Peoples R China</t>
  </si>
  <si>
    <t>China Jiliang University</t>
  </si>
  <si>
    <t>Liu, H (corresponding author), China Jiliang Univ, Coll Qual &amp; Safety Engn, Hangzhou 310018, Peoples R China.</t>
  </si>
  <si>
    <t>1433381566wz@gmail.com; hui.liu@cjlu.edu.cn; taoxuewen1@gmail.com; pankai9826@gmail.com; huangrui8782@gmail.com; jwenjing2001@gmail.com; jianhai208@gmail.com</t>
  </si>
  <si>
    <t>liu, hui/K-2142-2015; Pan, Kai/IXN-0274-2023</t>
  </si>
  <si>
    <t>liu, hui/0000-0002-4265-7241; Pan, Kai/0000-0002-8742-760X</t>
  </si>
  <si>
    <t>Zhejiang Provincial Natural Science Foundation of China [LY22E040001]; Fundamental Research Funds for the Provincial Universities of Zhejiang [2021YW92, 2022YW92]</t>
  </si>
  <si>
    <t>Zhejiang Provincial Natural Science Foundation of China(Natural Science Foundation of Zhejiang Province); Fundamental Research Funds for the Provincial Universities of Zhejiang</t>
  </si>
  <si>
    <t>This work was supported in part by the Zhejiang Provincial Natural Science Foundation of China (No. LY22E040001) and the Fundamental Research Funds for the Provincial Universities of Zhejiang (Nos. 2021YW92 and 2022YW92).</t>
  </si>
  <si>
    <t>10.3390/su15086965</t>
  </si>
  <si>
    <t>E8IP3</t>
  </si>
  <si>
    <t>WOS:000977917700001</t>
  </si>
  <si>
    <t>Shela, V; Ramayah, T; Hazlina, AN</t>
  </si>
  <si>
    <t>Shela, V; Ramayah, T.; Hazlina, Ahmad Noor</t>
  </si>
  <si>
    <t>Human capital and organisational resilience in the context of manufacturing: a systematic literature review</t>
  </si>
  <si>
    <t>JOURNAL OF INTELLECTUAL CAPITAL</t>
  </si>
  <si>
    <t>Human capital; Organisational resilience; Systematic literature review; Manufacturing</t>
  </si>
  <si>
    <t>SUPPLY CHAIN RESILIENCE; FIRM PERFORMANCE; ECONOMIC-GROWTH; MANAGEMENT; STRATEGY; CREATION; IMPACT; WELL</t>
  </si>
  <si>
    <t>Purpose The manufacturing sector is well known for its significance in upholding the economic prosperity of many nations. However, in today's unprecedented environment, the resilience of this sector has become vulnerable to relentless catastrophic events, thus gaining a serious concern among the economies driven by this sector. Albeit the various determinants, human capital emerges as the widely accepted core factor that holds the key to proliferate organisational resilience. Therefore, the present systematic literature review seeks to intensify the understanding of the link between human capital and organisational resilience in the manufacturing context. Design/methodology/approach This paper systematically reviews the studies converging human capital and organisational resilience in the context of manufacturing from the year 2011 to 2021 based on the PRISMA protocol. A bibliographic coupling analysis was carried out using VOSviewer software to expose the main research themes and trends concerning the relationship. Findings The bibliographic coupling analysis discovered links between publications to produce a framework outlining a holistic state-of-art of the literature intersecting human capital and organisational resilience. The analysis identified main research themes by clustering the prior studies into seven groups, which describe the direction of the literature. Originality/value This study offers a novel framework and in-depth understanding to the research community to delve into the interrelationship between human capital and organisational resilience research. Guided by the gaps in the literature, a set of outstanding avenues for the forthcoming studies are also proposed.</t>
  </si>
  <si>
    <t>[Shela, V; Hazlina, Ahmad Noor] Univ Sains Malaysia, Sch Management, George Town, Malaysia; [Ramayah, T.] Univ Sains Malaysia, Sch Management, Technol Management, George Town, Malaysia</t>
  </si>
  <si>
    <t>Universiti Sains Malaysia; Universiti Sains Malaysia</t>
  </si>
  <si>
    <t>Shela, V (corresponding author), Univ Sains Malaysia, Sch Management, George Town, Malaysia.</t>
  </si>
  <si>
    <t>vshela34@gmail.com</t>
  </si>
  <si>
    <t>T., Ramayah/E-4629-2010</t>
  </si>
  <si>
    <t>T., Ramayah/0000-0002-7580-7058</t>
  </si>
  <si>
    <t>1469-1930</t>
  </si>
  <si>
    <t>1758-7468</t>
  </si>
  <si>
    <t>J INTELLECT CAP</t>
  </si>
  <si>
    <t>J. Intellect. Cap.</t>
  </si>
  <si>
    <t>10.1108/JIC-09-2021-0234</t>
  </si>
  <si>
    <t>A1QN4</t>
  </si>
  <si>
    <t>WOS:000732212200001</t>
  </si>
  <si>
    <t>Alam, MM; Tehranipoor, M; Forte, D</t>
  </si>
  <si>
    <t>Alam, Md Mahbub; Tehranipoor, Mark; Forte, Domenic</t>
  </si>
  <si>
    <t>Recycled FPGA Detection Using Exhaustive LUT Path Delay Characterization and Voltage Scaling</t>
  </si>
  <si>
    <t>Counterfeiting; delay sensitivity; field-programmable gate array (FPGA) aging; lookup table (LUT) structure; ring oscillators (ROs) in FPGA</t>
  </si>
  <si>
    <t>SUPPORT VECTOR</t>
  </si>
  <si>
    <t>Field-programmable gate arrays (FPGAs) have been extensively used because of their lower nonrecurring engineering and design costs, instant availability and reduced visibility of failure, high performance, and power benefits. Reports indicate that previously used or recycled FPGAs are infiltrating the electronics' supply chain and making the security and reliability of the critical systems and networks vulnerable. Current recycled integrated circuit (IC) detection procedures include parametric, functional, and burn-in tests that require golden or reference data. Besides, they are time consuming, require expensive equipment, and do not focus on FPGAs. In this article, we propose two recycled FPGA detection methods based on supervised and unsupervised machine learning algorithms. We develop a sophisticated ring oscillator (RO) design to exploit the degradation of lookup tables (LUTs) and use them in the proposed methods. In the supervised method, a one-class classifier is trained with RO frequencies, kurtosis, and skewness data obtained from unused FPGAs, which differentiates unused and aged FPGAs. The unsupervised method uses k-means clustering and Silhouette value analysis to detect suspect recycled components with very little (if any) golden information. In addition, we introduce a voltage scaling-assisted RO frequency measurement technique that improves the classification. The proposed methods are examined for Spartan-3A and Spartan-6 FPGAs, and the result shows that both methods are effective in detecting recycled FPGAs, which experience accelerated aging for at least 12 h equivalent to 70 days in real-time age.</t>
  </si>
  <si>
    <t>[Alam, Md Mahbub; Tehranipoor, Mark; Forte, Domenic] Univ Florida, Dept Elect &amp; Comp Engn, Gainesville, FL 32603 USA</t>
  </si>
  <si>
    <t>State University System of Florida; University of Florida</t>
  </si>
  <si>
    <t>Alam, MM (corresponding author), Univ Florida, Dept Elect &amp; Comp Engn, Gainesville, FL 32603 USA.</t>
  </si>
  <si>
    <t>mahbub.alam@ufl.edu; tehranipoor@ece.ufl.edu; dforte@ece.ufl.edu</t>
  </si>
  <si>
    <t>Forte, Domenic/0000-0002-2794-7320</t>
  </si>
  <si>
    <t>National Science Foundation [CCF-1423282]; National Institute of Standards and Technology [60NANB16D248]</t>
  </si>
  <si>
    <t>National Science Foundation(National Science Foundation (NSF)); National Institute of Standards and Technology(National Institute of Standards &amp; Technology (NIST) - USA)</t>
  </si>
  <si>
    <t>This work was supported in part by the National Science Foundation under Grant CCF-1423282 and in part by the National Institute of Standards and Technology under Grant 60NANB16D248. This work was presented in part at the IEEE International Test Conference (ITC), 2016. (Corresponding author: Md Mahbub Alam.)</t>
  </si>
  <si>
    <t>10.1109/TVLSI.2019.2933278</t>
  </si>
  <si>
    <t>KE2AE</t>
  </si>
  <si>
    <t>WOS:000508360300018</t>
  </si>
  <si>
    <t>Xu, ZG; Dang, YZ</t>
  </si>
  <si>
    <t>Xu, Zhaoguang; Dang, Yanzhong</t>
  </si>
  <si>
    <t>Automated digital cause-and-effect diagrams to assist causal analysis in problem-solving: a data-driven approach</t>
  </si>
  <si>
    <t>digital cause-and-effect diagram; causal analysis; quality problem-solving; knowledge management; automotive industry</t>
  </si>
  <si>
    <t>QUALITY FUNCTION DEPLOYMENT; ROOT CAUSE ANALYSIS; RECOMMENDER SYSTEMS; FAILURE MODE; SUPPLY CHAIN; FUZZY; MANAGEMENT; ALGORITHM; DESIGN; METHODOLOGY</t>
  </si>
  <si>
    <t>Causal analysis is an integral part of product quality problem-solving (QPS). Quality management within the manufacturing industry has generated a considerable amount of QPS data; while this implies a historical and extensive body of QPS experience, these valuable empirical data are not being fully utilised. Therefore, the current study proposes a method by which to mine know-why from historical empirical data, and it develops an approach for constructing digital cause-and-effect diagrams (CEDs). The K-means algorithm is first adopted to cluster the problems and causes. The random forest classifier is then selected to classify cause text into the main cause categories, which manifest as 'rib branches' in the CED. Based on the clustering and classification results, we obtain an abstract cause-and-effect diagram (ACED) and a detailed cause-and-effect diagram (DCED). We use the quality data of an automotive company to validate the method, and we additionally undertake a pilot run of the Fishbone Next system to demonstrate how users can obtain these two CEDs to support causal analysis in QPS. The results show that the proposed approach efficiently constructs a digital CED and thus provides quality management problem-solvers with decision support to derive the potential causes of problems, thereby improving the efficiency and effectiveness of their causal analysis initiatives.</t>
  </si>
  <si>
    <t>[Xu, Zhaoguang; Dang, Yanzhong] Dalian Univ Technol, Inst Syst Engn, Dalian, Peoples R China</t>
  </si>
  <si>
    <t>Dalian University of Technology</t>
  </si>
  <si>
    <t>Xu, ZG (corresponding author), Dalian Univ Technol, Inst Syst Engn, Dalian, Peoples R China.</t>
  </si>
  <si>
    <t>zhgxu@dlut.edu.cn</t>
  </si>
  <si>
    <t>Xu, Zhaoguang/N-2688-2014</t>
  </si>
  <si>
    <t>Xu, Zhaoguang/0000-0001-9965-2583</t>
  </si>
  <si>
    <t>National Natural Science Foundation of China (NSFC) [71871041]</t>
  </si>
  <si>
    <t>This work was supported by the National Natural Science Foundation of China (NSFC), under grant number 71871041.</t>
  </si>
  <si>
    <t>10.1080/00207543.2020.1727043</t>
  </si>
  <si>
    <t>NB4NJ</t>
  </si>
  <si>
    <t>WOS:000513754000001</t>
  </si>
  <si>
    <t>Lim, S; Pettit, S; Abouarghoub, W; Beresford, A</t>
  </si>
  <si>
    <t>Lim, Sehwa; Pettit, Stephen; Abouarghoub, Wessam; Beresford, Anthony</t>
  </si>
  <si>
    <t>Port sustainability and performance: A systematic literature review</t>
  </si>
  <si>
    <t>TRANSPORTATION RESEARCH PART D-TRANSPORT AND ENVIRONMENT</t>
  </si>
  <si>
    <t>SUPPLY-CHAIN MANAGEMENT; ENVIRONMENTAL-MANAGEMENT; MARITIME LOGISTICS; GREEN PERFORMANCE; GHG EMISSIONS; MAJOR PORTS; INDICATORS; METHODOLOGY; SEAPORTS; ISSUES</t>
  </si>
  <si>
    <t>Motivated by a lack of research on port sustainability performance and assessment, this paper uses a systematic literature review to identify trends, measurement methods, and mechanisms for the implementation of strategy and policy in this area. The paper provides a comprehensive and critical evaluation of port operational sustainability, focusing on ascertaining the impact of its implementation. The study analysed and synthesised established characteristics in the current literature regarding the performance of port sustainability and its evaluation in terms of operations and management. Successful performance measurement in port sustainability is driven by the dependence on establishing accurate indicators as the basis for measurement. Our clustering of analytical sustainability indicators reveals that environmental research is focused on pollution, social research is mainly focused on human resource management, while economic research is mainly on port management and borderline investment. Findings are discussed in four key areas of port sustainability performance and assessment: existing trends, implementation of measures, mechanisms for implementation, and assessment gaps and challenges. For existing trends, attempts to evaluate the applicability and practicality of green operations have improved the awareness and promotion of governmental green policies. Implementation measures relate to the utilisation of techniques that reveal optimal practices for practical sustainable operations while mechanisms largely relate to establishing indicators which increase understanding of performance. Finally, challenges in this field include achieving consistency among ports in how sustainability is measured. Future research should incentivise improvements in port operational practice and encourage self-examination in order to reprioritise activity.</t>
  </si>
  <si>
    <t>[Lim, Sehwa; Pettit, Stephen; Abouarghoub, Wessam; Beresford, Anthony] Cardiff Univ, Cardiff Business Sch, Logist &amp; Operat Management, Aberconway Bldg,Colum Dr, Cardiff CF10 3EU, S Glam, Wales</t>
  </si>
  <si>
    <t>Lim, S (corresponding author), Cardiff Univ, Cardiff Business Sch, Logist &amp; Operat Management, Aberconway Bldg,Colum Dr, Cardiff CF10 3EU, S Glam, Wales.</t>
  </si>
  <si>
    <t>lims10@cardiff.ac.uk; pettit@cardiff.ac.uk; abouarghoubw@cardiff.ac.uk; beresford@cardiff.ac.uk</t>
  </si>
  <si>
    <t>Abouarghoub, Wessam/AAU-1821-2020</t>
  </si>
  <si>
    <t>Abouarghoub, Wessam/0000-0002-1647-1291; Pettit, Stephen/0000-0001-7265-4079</t>
  </si>
  <si>
    <t>1361-9209</t>
  </si>
  <si>
    <t>TRANSPORT RES D-TR E</t>
  </si>
  <si>
    <t>Transport. Res. Part D-Transport. Environ.</t>
  </si>
  <si>
    <t>10.1016/j.trd.2019.04.009</t>
  </si>
  <si>
    <t>Environmental Studies; Transportation; Transportation Science &amp; Technology</t>
  </si>
  <si>
    <t>Environmental Sciences &amp; Ecology; Transportation</t>
  </si>
  <si>
    <t>IF8WG</t>
  </si>
  <si>
    <t>WOS:000473373400004</t>
  </si>
  <si>
    <t>Çakmak, E; Önden, I; Acar, AZ; Eldemir, F</t>
  </si>
  <si>
    <t>Cakmak, Emre; Onden, Ismail; Acar, A. Zafer; Eldemir, Fahrettin</t>
  </si>
  <si>
    <t>Analyzing the location of city logistics centers in Istanbul by integrating Geographic Information Systems with Binary Particle Swarm Optimization algorithm</t>
  </si>
  <si>
    <t>Facility location; Location selection; Multiple Location Decision; Binary Particle Swarm Optimization (BPSO); Geographic Information Systems (GIS); p-Median problem</t>
  </si>
  <si>
    <t>The advantages of logistics centers for companies, cities, and countries have been discussed in the literature and generally mathematical model-based evaluations besides multi-criteria approaches are proposed for site selection processes. However, since mathematical modeling of multiple site selection often turns out to be NP-hard problem structure, it is not always possible to obtain an optimal solution by the solvers. For this reason, various meta-heuristic approaches have emerged to solve these complex models. In this context, the aim of this study is to propose an integrated methodology which seeks an optimum result efficiently regarding a logistics center location selection problem. Thus, the optimal clustering of logistics mobility in a metropolitan area was carried out with GIS and a meta-heuristic approach. GIS produced the spatial information needed by p-median model, then the meta-heuristic approach determined the optimal result that considers the logistics costs. BPSO algorithm has employed as the meta-heuristic and it is observed that the algorithm can reach the optimum results within superior times for the problem sizes tested where binary integer programming verified the optimums and the algorithm continued to reach improved solutions where the exact algorithms failed for larger instances. The integrated solution methodology is applied to a large metropolitan region and it is found that it can be used properly by the urban city planners and supply chain managers to analyze critical nodes of transportation networks of megacities.</t>
  </si>
  <si>
    <t>[Cakmak, Emre; Acar, A. Zafer] Piri Reis Univ, Intl Logist &amp; Transportat Dept, Istanbul, Turkey; [Onden, Ismail] Turkish Management Sci Inst TUBITAK TUSSIDE, Kocaeli, Turkey; [Eldemir, Fahrettin] Yildiz Tech Univ, Ind Eng Dept, Istanbul, Turkey</t>
  </si>
  <si>
    <t>Piri Reis University; Yildiz Technical University</t>
  </si>
  <si>
    <t>Acar, AZ (corresponding author), Piri Reis Univ, Postane Mah Eflatun Sok 8, Tuzla Istanbul, Turkey.</t>
  </si>
  <si>
    <t>azacar@pirireis.edu.tr</t>
  </si>
  <si>
    <t>ACAR, A.Zafer/H-9877-2012; CAKMAK, Emre/HNQ-5290-2023; Çakmak, Emre/HLH-4922-2023; Onden, Ismail/F-3479-2019</t>
  </si>
  <si>
    <t>ACAR, A.Zafer/0000-0003-4538-4944; CAKMAK, Emre/0000-0002-3406-3144; Onden, Ismail/0000-0003-2807-9454</t>
  </si>
  <si>
    <t>10.1016/j.cstp.2020.07.004</t>
  </si>
  <si>
    <t>QM0KL</t>
  </si>
  <si>
    <t>WOS:000621467400006</t>
  </si>
  <si>
    <t>Dehghani, M; Mashatan, A; Kennedy, RW</t>
  </si>
  <si>
    <t>Dehghani, Milad; Mashatan, Atefeh; Kennedy, Ryan William</t>
  </si>
  <si>
    <t>Innovation within networks - patent strategies for blockchain technology</t>
  </si>
  <si>
    <t>Patenting strategy; Blockchain technology; Case study; Patent analysis; Clustering</t>
  </si>
  <si>
    <t>SUPPLY CHAIN; MANAGEMENT; BENEFITS; MOTIVES; MARKETS</t>
  </si>
  <si>
    <t>Purpose Understanding a technology's patent landscape, including patent strategies, helps organizations position themselves regarding their innovation and provides insight about a technology's future direction. This study aims to provide an overview of the blockchain technology patenting trends and outlines an exploratory framework of patenting strategies for blockchain. Design/methodology/approach A total of 3,234 registered patents are analyzed to determine the geographical distribution and identify key actors patenting around the globe. In addition, an empirical study consisting of multiple case studies in the form of ten in-depth interviews with owners/managers of organizations based in North America was conducted to understand organizations' strategies for patenting the blockchain technology. Findings Several novel insights regarding the strategies are used for blockchain technology patenting. For example, the existence of strong anti-patent sentiment which results in a lack of patenting by start-up organizations or has led to a form of open source patenting strategy. Larger organizations appear to be patenting defensively, and small to medium organizations are primarily patenting to defend their competitive advantage. Practical implications Start-up organizations harboring anti-patent sentiment should consider the open-source patenting strategy to ensure that the collaborative innovation network can continue. They should also consider collaborating with other actors within the network to have a competitive position in the market. Originality/value To the authors' knowledge, this paper is the first to conduct an empirical study with organizations currently using the blockchain technology to understand patenting strategies used for blockchain.</t>
  </si>
  <si>
    <t>[Dehghani, Milad; Mashatan, Atefeh; Kennedy, Ryan William] Ryerson Univ, Ted Rogers Sch Management, Toronto, ON, Canada</t>
  </si>
  <si>
    <t>Toronto Metropolitan University</t>
  </si>
  <si>
    <t>Dehghani, M (corresponding author), Ryerson Univ, Ted Rogers Sch Management, Toronto, ON, Canada.</t>
  </si>
  <si>
    <t>milad.dehghani@ryerson.ca; amashatan@ryerson.ca; ryan.kennedy@ryerson.ca</t>
  </si>
  <si>
    <t>Dehghani, Milad Armani/W-4292-2019</t>
  </si>
  <si>
    <t>Dehghani, Milad Armani/0000-0002-6646-2326</t>
  </si>
  <si>
    <t>Social Sciences and Humanities Research Council of Canada (SSHRC) under the Insight Development Grant program</t>
  </si>
  <si>
    <t>This work was supported by the Social Sciences and Humanities Research Council of Canada (SSHRC) under the Insight Development Grant program (PI: Atefeh Mashatan). The authors would like to thank Dr Fawaz Baddar Alhussan, anonymous reviewers, and members of the Ryerson University Cybersecurity Research Lab for valuable feedback during the preparation of this manuscript.</t>
  </si>
  <si>
    <t>NOV 23</t>
  </si>
  <si>
    <t>10.1108/JBIM-05-2019-0236</t>
  </si>
  <si>
    <t>XB9DF</t>
  </si>
  <si>
    <t>WOS:000513592800001</t>
  </si>
  <si>
    <t>Chen, JD; Fang, YH; Cho, YK; Kim, C</t>
  </si>
  <si>
    <t>Chen, Jingdao; Fang, Yihai; Cho, Yong K.; Kim, Changwan</t>
  </si>
  <si>
    <t>Principal Axes Descriptor for Automated Construction-Equipment Classification from Point Clouds</t>
  </si>
  <si>
    <t>JOURNAL OF COMPUTING IN CIVIL ENGINEERING</t>
  </si>
  <si>
    <t>Object recognition; Object classification; Scattered point clouds; Laser scanning; Machine learning</t>
  </si>
  <si>
    <t>PROGRESS MEASUREMENT; EXISTING BUILDINGS; 3D; PHOTOGRAMMETRY; TRACKING</t>
  </si>
  <si>
    <t>Recognizing construction assets (e.g.,materials, equipment, labor) from point cloud data of construction environments provides essential information for engineering and management applications including progress monitoring, safety management, supply-chain management, and quality control. This study introduces a novel principal axes descriptor (PAD) for construction-equipment classification from point cloud data. Scattered as-is point clouds are first processed with downsampling, segmentation, and clustering steps to obtain individual instances of construction equipment. A geometric descriptor consisting of dimensional variation, occupancy distribution, shape profile, and plane counting features is then calculated to encode three-dimensional (3D) characteristics of each equipment category. Using the derived features, machine learning methods such as k-nearest neighbors and support vector machine are employed to determine class membership among major construction-equipment categories such as backhoe loader, bulldozer, dump truck, excavator, and front loader. Construction-equipment classification with the proposed PAD was validated using computer-aided design (CAD)-generated point clouds as training data and laser-scanned point clouds from an equipment yard as testing data. The recognition performance was further evaluated using point clouds from a construction site as well as a pose variation data set. PAD was shown to achieve a higher recall rate and lower computation time compared to competing 3D descriptors. The results indicate that the proposed descriptor is a viable solution for construction-equipment classification from point cloud data. (C) 2016 American Society of Civil Engineers.</t>
  </si>
  <si>
    <t>[Chen, Jingdao] Georgia Inst Technol, Inst Robot, Sch Elect &amp; Comp Engn, 777 Atlanta Dr NW, Atlanta, GA 30332 USA; [Fang, Yihai] Georgia Inst Technol, Sch Civil &amp; Environm Engn, 790 Atlanta Dr, Atlanta, GA 30332 USA; [Cho, Yong K.] Georgia Inst Technol, Sch Civil &amp; Environm Engn, 790 Atlanta Dr NW, Atlanta, GA 30332 USA; [Kim, Changwan] Chung Ang Univ, Dept Architectural Engn, 221 Heuksuk Dong, Seoul 156756, South Korea</t>
  </si>
  <si>
    <t>University System of Georgia; Georgia Institute of Technology; University System of Georgia; Georgia Institute of Technology; University System of Georgia; Georgia Institute of Technology; Chung Ang University</t>
  </si>
  <si>
    <t>Cho, YK (corresponding author), Georgia Inst Technol, Sch Civil &amp; Environm Engn, 790 Atlanta Dr NW, Atlanta, GA 30332 USA.</t>
  </si>
  <si>
    <t>jchen490@gatech.edu; yihaifang@gatech.edu; yong.cho@ce.gatech.edu; changwan@cau.ac.kr</t>
  </si>
  <si>
    <t>Chen, Jingdao/ABG-1075-2021</t>
  </si>
  <si>
    <t>Chen, Jingdao/0000-0002-5133-9552; Fang, Yihai/0000-0002-9451-4947</t>
  </si>
  <si>
    <t>National Science Foundation (NSF) [CMMI-1358176]; Chung-Ang University</t>
  </si>
  <si>
    <t>National Science Foundation (NSF)(National Science Foundation (NSF)); Chung-Ang University(Chung Ang University)</t>
  </si>
  <si>
    <t>This material is based on work supported by the National Science Foundation (NSF) (Award # CMMI-1358176). Any opinions, findings, and conclusions or recommendations expressed on this material are those of the authors and do not necessarily reflect the views of the NSF. This research was also supported by the Chung-Ang University Research Grants in 2015.</t>
  </si>
  <si>
    <t>ASCE-AMER SOC CIVIL ENGINEERS</t>
  </si>
  <si>
    <t>RESTON</t>
  </si>
  <si>
    <t>1801 ALEXANDER BELL DR, RESTON, VA 20191-4400 USA</t>
  </si>
  <si>
    <t>0887-3801</t>
  </si>
  <si>
    <t>1943-5487</t>
  </si>
  <si>
    <t>J COMPUT CIVIL ENG</t>
  </si>
  <si>
    <t>J. Comput. Civil. Eng.</t>
  </si>
  <si>
    <t>10.1061/(ASCE)CP.1943-5487.0000628</t>
  </si>
  <si>
    <t>Computer Science, Interdisciplinary Applications; Engineering, Civil</t>
  </si>
  <si>
    <t>EM7VU</t>
  </si>
  <si>
    <t>WOS:000395521200012</t>
  </si>
  <si>
    <t>Tayal, A; Solanki, A; Singh, SP</t>
  </si>
  <si>
    <t>Tayal, Akash; Solanki, Arun; Singh, Simar Preet</t>
  </si>
  <si>
    <t>Integrated frame work for identifying sustainable manufacturing layouts based on big data, machine learning, meta-heuristic and data envelopment analysis</t>
  </si>
  <si>
    <t>Big data analysis; Factor analysis; Machine learning; Facility layout problem; Stochastic dynamic facility layout problem</t>
  </si>
  <si>
    <t>ARTIFICIAL NEURAL-NETWORKS; SUPPLY CHAIN MANAGEMENT; EFFICIENCY; OPTIMIZATION; MODELS; DEA; SINGLE; IMPACT; TOOLS</t>
  </si>
  <si>
    <t>Facility Layout Design (FLP) is an NP-Hard, which is related to the optimization of the arrangement of facilities in a shop floor or manufacturing unit to maximize the performance and minimize the operating cost. An efficient layout must not only consider the profit but also emphasize on other social causes such as energy consumption, pollution, and people's safety. These are referred to as the three pillars of sustainability. This paper identifies the criteria for sustainability in a manufacturing layout and presents an aggregate mathematical formulation for Sustainable Facility Layout Problem (SFLP). The paper proposes a novel 4-stage methodology using Big Data Analytics, Machine Learning, Hybrid Meta-heuristic, Data Envelopment Analysis (DEA), and K-mean clustering for designing an energy-efficient sustainable sub-optimal layout under uncertain (stochastic) demand over multiple periods. The goal of this framework is to 1) uniquely rank and predict an efficient SFLP that overcomes the dimensionality curse associated with handling large data set, 2) use K-mean to identify the criteria that maximally satisfied an efficient sustainable layout and propose an SFLP model that can be customized depending social, political and economic conditions, and 3) evaluate the total energy consumption and CO2 emission for an efficient sustainable facility layout. To show the running methodology a case is presented using hypothetical data from the literature.</t>
  </si>
  <si>
    <t>[Tayal, Akash] Indira Gandhi Delhi Tech Univ Women, Dept Elect &amp; Commun, Delhi, India; [Solanki, Arun] Gautam Buddha Univ, Sch ICT, Dept CSE, Greater Noida, India; [Singh, Simar Preet] Chandigarh Engn Coll, Dept CSE, Landran, Mohali, India</t>
  </si>
  <si>
    <t>Indira Gandhi Delhi Technical University for Women (IGDTUW); Gautam Buddha University</t>
  </si>
  <si>
    <t>Solanki, A (corresponding author), Gautam Buddha Univ, Sch ICT, Dept CSE, Greater Noida, India.</t>
  </si>
  <si>
    <t>akashtayal@yahoo.com; ymca.arun@gmail.com; er.simarpreetsingh@gmail.com</t>
  </si>
  <si>
    <t>Singh, Dr. Simar Preet/T-7056-2018</t>
  </si>
  <si>
    <t>Singh, Dr. Simar Preet/0000-0002-2443-7835</t>
  </si>
  <si>
    <t>10.1016/j.scs.2020.102383</t>
  </si>
  <si>
    <t>NU4EF</t>
  </si>
  <si>
    <t>WOS:000573594600010</t>
  </si>
  <si>
    <t>Pang, R; Zhang, XL</t>
  </si>
  <si>
    <t>Pang, Rui; Zhang, Xiaoling</t>
  </si>
  <si>
    <t>Achieving environmental sustainability in manufacture: A 28-year bibliometric cartography of green manufacturing research</t>
  </si>
  <si>
    <t>Green manufacturing; Sustainable manufacturing; Bibliometric analysis; Co-word analysis; Literature review</t>
  </si>
  <si>
    <t>INTELLECTUAL STRUCTURE; PERFORMANCE; TECHNOLOGY; MANAGEMENT; INNOVATION; KNOWLEDGE; CONTEXT; IMPACT; MODEL</t>
  </si>
  <si>
    <t>As one of the most important fields for fulfilling the sustainable development of human beings, green manufacturing has been attracting the attention of academia since the 1990s with the evolution of several synonym concepts. After nearly 30 years' development, a general cartography of existing research is now needed to reflect the major ideas and questions involved. This is carried out here by a bibliometric analysis. Following a basic review of the evolutionary progress of green manufacturing and similar concepts, we collect articles concerning green manufacturing, environmentally conscious/responsible manufacturing, benign manufacturing, and sustainable manufacturing. The data sources are limited to SCI and SSCI journals. Then we extract high frequency keywords from the articles and calculate their co-occurrence. A hierarchical clustering is conducted based on the co-word matrix, and six clusters are identified and visually presented by a strategic diagram and bi-dimensional multi-dimensional scaling diagrams. The six clusters cover the research subjects of green chemical materials, green manufacturing principles and approaches, common analytical tools, green manufacturing implementation of industrial firms, green supply chain, industrial ecology, GHG emissions, and green machining tools and processes. We build a framework to embed the green manufacturing system into the economic-social-eco system and divide green manufacturing research into three levels: application, organization, and system. Based on this framework, we combine the existing research architecture and research boundaries in the field and propose possible future research directions. (C) 2019 Elsevier Ltd. All rights reserved.</t>
  </si>
  <si>
    <t>[Pang, Rui] Univ Chinese Acad Sci, Sch Econ &amp; Management, Shanghai, Peoples R China; [Pang, Rui; Zhang, Xiaoling] City Univ Hong Kong, Shenzhen Res Inst, Dept Publ Policy, Shenzhen, Peoples R China</t>
  </si>
  <si>
    <t>Chinese Academy of Sciences; University of Chinese Academy of Sciences, CAS; Shenzhen Research Institute, City University of Hong Kong; City University of Hong Kong</t>
  </si>
  <si>
    <t>Zhang, XL (corresponding author), City Univ Hong Kong, Dept Publ Policy, Kowloon, Tat Chee Ave, Hong Kong, Peoples R China.</t>
  </si>
  <si>
    <t>rpang6-c@my.cityu.edu.hk; xiaoling.zhang@cityu.edu.hk</t>
  </si>
  <si>
    <t>Zhang, Xiaoling/AAT-4748-2020; Zhang, Xiaoling/AAT-4795-2020</t>
  </si>
  <si>
    <t>Zhang, Xiaoling/0000-0002-6369-9424</t>
  </si>
  <si>
    <t>Research Grant Council of Hong Kong, China [CityU 11271716, CityU 21209715]; Strategic Priority Research Program of Chinese Academy of Sciences; National Natural Science Foundation [71834005, 71673232]; CityU Internal Funds [9680195, 9610386]; Pan-Third Pole Environment Study for a Green Silk Road (Pan-TPE) [XDA20040400]</t>
  </si>
  <si>
    <t>Research Grant Council of Hong Kong, China(Hong Kong Research Grants Council); Strategic Priority Research Program of Chinese Academy of Sciences(Chinese Academy of Sciences); National Natural Science Foundation(National Natural Science Foundation of China (NSFC)); CityU Internal Funds; Pan-Third Pole Environment Study for a Green Silk Road (Pan-TPE)</t>
  </si>
  <si>
    <t>The work described in this paper was substantially supported by grants from the Research Grant Council of Hong Kong, China (Project No: CityU 11271716 and CityU 21209715); It is also substantially supported by the Strategic Priority Research Program of Chinese Academy of Sciences, Pan-Third Pole Environment Study for a Green Silk Road (Pan-TPE) (No: XDA20040400); It is also substantially supported by grants from National Natural Science Foundation project (71834005, 71673232), and CityU Internal Funds (9680195, 9610386).</t>
  </si>
  <si>
    <t>10.1016/j.jclepro.2019.05.303</t>
  </si>
  <si>
    <t>IN9VC</t>
  </si>
  <si>
    <t>WOS:000479025500008</t>
  </si>
  <si>
    <t>Takalo, SK; Tooranloo, HS; Parizi, ZS</t>
  </si>
  <si>
    <t>Takalo, Salim Karimi; Tooranloo, Hossein Sayyadi; Parizi, Zahra Shahabaldini</t>
  </si>
  <si>
    <t>Green innovation: A systematic literature review</t>
  </si>
  <si>
    <t>Green innovation; Systematic literature review; Research area clusters; Research profiling</t>
  </si>
  <si>
    <t>CORPORATE SUSTAINABLE DEVELOPMENT; SUPPLY CHAIN INTEGRATION; EMPIRICAL-EVIDENCE; PRODUCT INNOVATION; MODERATING ROLE; ECO-INNOVATION; ENVIRONMENTAL INNOVATION; FINANCIAL PERFORMANCE; COMPETITIVE ADVANTAGE; STAKEHOLDER PRESSURES</t>
  </si>
  <si>
    <t>Green innovation (GI) literature over the past decades has evolved and expanded, because of its wide-spread and essential applications along with the environmental awareness and service delivery of green products and applications. The aim of this article is to provide GI methods from a comprehensive overview, analyze articles and bibliographic information through a systematic literature review (SLR). In this study, 178 articles on GI between 2007 and 2019 were selected and reviewed. After reviewing the articles, the outcome was that in the field of GI articles on topics such as Benefits of GI implementation had the highest share. The articles were divided on the basis of study area, the sector of industries had more than one industry and the largest share was of manufacturing industries. In the Section of research method, the mathematical modeling has had the most use in the articles reviewed. The results of the study showed that the Journal of Cleaner Production, Business Strategy and the Environment had the highest number of publications on GI. Clustering of articles was done using the Cite space tool and the articles were cited using the CiteNetexplor tool and the density mapping of the co-authoring network of researchers was done by using VOS viewer software. In addition, some future research opportunities were suggested and discussed in this article. Universities, organizations, those involved in companies can benefit from these useful reviews and conduct research. (c) 2020 Elsevier Ltd. All rights reserved.</t>
  </si>
  <si>
    <t>[Takalo, Salim Karimi] Vali E Asr Univ Rafsanjan, Fac Management, Rafsanjan, Iran; [Tooranloo, Hossein Sayyadi] Meybod Univ, Fac Management, Meybod, Iran; [Parizi, Zahra Shahabaldini] Vali E Asr Univ Rafsanjan, Master Sci Management, Rafsanjan, Iran</t>
  </si>
  <si>
    <t>Vali-e-Asr University of Rafsanjan; Vali-e-Asr University of Rafsanjan</t>
  </si>
  <si>
    <t>Tooranloo, HS (corresponding author), Meybod Univ, Fac Management, Meybod, Iran.</t>
  </si>
  <si>
    <t>s.karimi@vru.ac.ir; h.sayyadi@meybod.ac.ir; Zahrashahab1395@yahoo.com</t>
  </si>
  <si>
    <t>karimi takalo, salim/AAE-5915-2022; Sayyadi tooranloo, Hossein/AFX-2396-2022</t>
  </si>
  <si>
    <t>karimi takalo, salim/0000-0002-4833-4873;</t>
  </si>
  <si>
    <t>10.1016/j.jclepro.2020.122474</t>
  </si>
  <si>
    <t>PA9FQ</t>
  </si>
  <si>
    <t>WOS:000595933500006</t>
  </si>
  <si>
    <t>Liu, CH; Lin, WR; Feng, YF; Guo, ZQ; Xie, ZW</t>
  </si>
  <si>
    <t>Liu, Changhong; Lin, Weiren; Feng, Yifeng; Guo, Ziqing; Xie, Zewen</t>
  </si>
  <si>
    <t>ATC-YOLOv5: Fruit Appearance Quality Classification Algorithm Based on the Improved YOLOv5 Model for Passion Fruits</t>
  </si>
  <si>
    <t>computer vision; deep learning; fruit quality classification; passion fruit; YOLOv5</t>
  </si>
  <si>
    <t>Passion fruit, renowned for its significant nutritional, medicinal, and economic value, is extensively cultivated in subtropical regions such as China, India, and Vietnam. In the production and processing industry, the quality grading of passion fruit plays a crucial role in the supply chain. However, the current process relies heavily on manual labor, resulting in inefficiency and high costs, which reflects the importance of expanding the application of fruit appearance quality classification mechanisms based on computer vision. Moreover, the existing passion fruit detection algorithms mainly focus on real-time detection and overlook the quality-classification aspect. This paper proposes the ATC-YOLOv5 model based on deep learning for passion fruit detection and quality classification. First, an improved Asymptotic Feature Pyramid Network (APFN) is utilized as the feature-extraction network, which is the network modified in this study by adding weighted feature concat pathways. This optimization enhances the feature flow between different levels and nodes, allowing for the adaptive and asymptotic fusion of richer feature information related to passion fruit quality. Secondly, the Transformer Cross Stage Partial (TRCSP) layer is constructed based on the introduction of the Multi-Head Self-Attention (MHSA) layer in the Cross Stage Partial (CSP) layer, enabling the network to achieve a better performance in modeling long-range dependencies. In addition, the Coordinate Attention (CA) mechanism is introduced to enhance the network's learning capacity for both local and non-local information, as well as the fine-grained features of passion fruit. Moreover, to validate the performance of the proposed model, a self-made passion fruit dataset is constructed to classify passion fruit into four quality grades. The original YOLOv5 serves as the baseline model. According to the experimental results, the mean average precision (mAP) of ATC-YOLOv5 reaches 95.36%, and the mean detection time (mDT) is 3.2 ms, which improves the mAP by 4.83% and the detection speed by 11.1%, and the number of parameters is reduced by 10.54% compared to the baseline, maintaining the lightweight characteristics while improving the accuracy. These experimental results validate the high detection efficiency of the proposed model for fruit quality classification, contributing to the realization of intelligent agriculture and fruit industries.</t>
  </si>
  <si>
    <t>[Liu, Changhong; Lin, Weiren; Feng, Yifeng] Guangzhou Univ, Sch Mech &amp; Elect Engn, Guangzhou 510006, Peoples R China; [Guo, Ziqing] Guangzhou Univ, Sch Elect &amp; Commun Engn, Guangzhou 510006, Peoples R China; [Xie, Zewen] Guangzhou Univ, Sch Phys &amp; Mat Sci, Guangzhou 510006, Peoples R China</t>
  </si>
  <si>
    <t>Guangzhou University; Guangzhou University; Guangzhou University</t>
  </si>
  <si>
    <t>Liu, CH (corresponding author), Guangzhou Univ, Sch Mech &amp; Elect Engn, Guangzhou 510006, Peoples R China.</t>
  </si>
  <si>
    <t>lch@gzhu.edu.cn</t>
  </si>
  <si>
    <t>Lin, Weiren/0009-0002-7068-3380</t>
  </si>
  <si>
    <t>Science and Technology Planning Project of Guangzhou, China [202102010392]; Science and Technology Planning Project of Guangdong Province, China [2020A1414050067]; Teaching Reform Project in Guangzhou Universities, China [2022CXCYZX001, 2023QTJG0604]</t>
  </si>
  <si>
    <t>Science and Technology Planning Project of Guangzhou, China; Science and Technology Planning Project of Guangdong Province, China; Teaching Reform Project in Guangzhou Universities, China</t>
  </si>
  <si>
    <t>The authors acknowledge the funding of the following science foundations: the Science and Technology Planning Project of Guangzhou, China (202102010392), the Science and Technology Planning Project of Guangdong Province, China (2020A1414050067), the Teaching Reform Project in Guangzhou Universities, China (2022CXCYZX001, 2023QTJG0604).</t>
  </si>
  <si>
    <t>10.3390/math11163615</t>
  </si>
  <si>
    <t>Q3GC7</t>
  </si>
  <si>
    <t>WOS:001056421700001</t>
  </si>
  <si>
    <t>Menon, S; Ghoshal, A; Sarkar, S</t>
  </si>
  <si>
    <t>Menon, Syam; Ghoshal, Abhijeet; Sarkar, Sumit</t>
  </si>
  <si>
    <t>Modifying Transactional Databases to Hide Sensitive Association Rules</t>
  </si>
  <si>
    <t>INFORMATION SYSTEMS RESEARCH</t>
  </si>
  <si>
    <t>database sharing; maximizing accuracy; association rule hiding; data quality</t>
  </si>
  <si>
    <t>PRIVACY PRESERVATION; SUPPLY CHAIN; OPTIMIZATION; INFORMATION; VALIDATION; PROTECTION; IMPACT</t>
  </si>
  <si>
    <t>Firms have been sharing transactional data with business partners ever since electronic data interchange was introduced to the retail industry in the 1980s. The potential benefits of data sharing notwithstanding, there has been continued reluctance on the part of data owners to share their data, for fear of sensitive information potentially making its way to competitors. Approaches that can help hide sensitive information could alleviate such concerns and increase the number of firms that are willing to share. Sensitive information in transactional databases often manifests itself in the form of association rules. Association rules can be concealed by altering transactions such that these sensitive rules stay hidden when the data are mined. The problem of hiding sensitive association rules is NP-hard, and to date, it has only been addressed via heuristic approaches. In this paper, we introduce a nonlinear integer formulation to hide sensitive association rules while maximizing the accuracy of the altered database. We then separate it into two problems: the sanitization problem, which hides sensitive association rules from a specific transaction while altering the transaction as minimally as possible, and the accuracy maximization problem, which maximizes the accuracy of the altered database, given a solution to the sanitization problem. We show how the sanitization problem can be represented as an integer program and propose a heuristic based on intuition from this formulation to solve it. Next, we formulate the accuracy maximization problem as a nonlinear integer program, show how it can be linearized, and derive various results that help reduce the size of the problem to be solved. Computational experiments are conducted on real and synthetic data sets, the largest of which has 100 million transactions. Our results show that although the nonlinear integer formulations are not practical, the linearizations and problem-reduction steps make a significant impact on solvability and solution time. We also find that there are substantial gains to be realized vis-a-vis existing approaches in terms of both solution quality and solution time and that hiding the rules directly (rather than by hiding the associated itemsets) can result in significantly fewer transactions being sanitized.</t>
  </si>
  <si>
    <t>[Menon, Syam; Sarkar, Sumit] Univ Texas Dallas, Jindal Sch Management, Richardson, TX 75080 USA; [Ghoshal, Abhijeet] Univ Illinois, Gies Coll Business, Champaign, IL 61820 USA</t>
  </si>
  <si>
    <t>University of Texas System; University of Texas Dallas; University of Illinois System; University of Illinois Urbana-Champaign</t>
  </si>
  <si>
    <t>Menon, S (corresponding author), Univ Texas Dallas, Jindal Sch Management, Richardson, TX 75080 USA.</t>
  </si>
  <si>
    <t>syam@utdallas.edu; abhi@illinois.edu; sumit@utdallas.edu</t>
  </si>
  <si>
    <t>Ghoshal, Abhijeet/B-3187-2018</t>
  </si>
  <si>
    <t>Ghoshal, Abhijeet/0000-0002-0165-4204; Menon, Syam/0000-0003-1028-0862</t>
  </si>
  <si>
    <t>1047-7047</t>
  </si>
  <si>
    <t>1526-5536</t>
  </si>
  <si>
    <t>INFORM SYST RES</t>
  </si>
  <si>
    <t>Inf. Syst. Res.</t>
  </si>
  <si>
    <t>10.1287/isre.2021.1033</t>
  </si>
  <si>
    <t>1W5SQ</t>
  </si>
  <si>
    <t>WOS:000733249000001</t>
  </si>
  <si>
    <t>Hossain, ME; Kabir, MA; Zheng, LH; Swain, DL; McGrath, S; Medway, J</t>
  </si>
  <si>
    <t>Hossain, Md Ekramul; Kabir, Muhammad Ashad; Zheng, Lihong; Swain, Dave L.; McGrath, Shawn; Medway, Jonathan</t>
  </si>
  <si>
    <t>A systematic review of machine learning techniques for cattle identification: Datasets, methods and future directions</t>
  </si>
  <si>
    <t>ARTIFICIAL INTELLIGENCE IN AGRICULTURE</t>
  </si>
  <si>
    <t>Cattle identification; Cattle detection; Machine learning; Deep learning; Cattle farming</t>
  </si>
  <si>
    <t>INDIVIDUAL IDENTIFICATION; ANIMAL BIOMETRICS; NEURAL-NETWORKS; RECOGNITION; IMAGES</t>
  </si>
  <si>
    <t>Increased biosecurity and food safety requirements may increase demand for efficient traceability and identification systems of livestock in the supply chain. The advanced technologies of machine learning and computer vision have been applied in precision livestock management, including critical disease detection, vaccination, production management, tracking, and health monitoring. This paper offers a systematic literature review (SLR) of vision-based cattle identification. More specifically, this SLR is to identify and analyse the research related to cattle identification using Machine Learning (ML) and Deep Learning (DL). This study retrieved 731 studies from four online scholarly databases. Fifty-five articles were subsequently selected and investigated in depth. For the two main applications of cattle detection and cattle identification, all the ML based papers only solve cattle identification problems. However, both detection and identification problems were studied in the DL based papers. Based on our survey report, the most used ML models for cattle identification were support vector machine (SVM), k-nearest neighbour (KNN), and artificial neural network (ANN). Convolutional neural network (CNN), residual network (ResNet), Inception, You Only Look Once (YOLO), and Faster R-CNN were popular DL models in the selected papers. Among these papers, the most distinguishing features were the muzzle prints and coat patterns of cattle. Local binary pattern (LBP), speeded up robust features (SURF), scaleinvariant feature transform (SIFT), and Inception or CNN were identified as the most used feature extraction methods. This paper details important factors to consider when choosing a technique or method. We also identified major challenges in cattle identification. There are few publicly available datasets, and the quality of those datasets are affected by the wild environment and movement while collecting data. The processing time is a critical factor for a real-time cattle identification system. Finally, a recommendation is given that more publicly available benchmark datasets will improve research progress in the future. &amp; COPY; 2022 The Authors. Publishing services by Elsevier B.V. on behalf of KeAi Communications Co., Ltd. This is an open access article under the CC BY-NC-ND license (http://creativecommons.org/licenses/by-nc-nd/4.0/).</t>
  </si>
  <si>
    <t>[Hossain, Md Ekramul; Kabir, Muhammad Ashad; Zheng, Lihong] Charles Sturt Univ, Sch Comp Math &amp; Engn, Bathurst, NSW 2795, Australia; [Kabir, Muhammad Ashad; Swain, Dave L.; McGrath, Shawn; Medway, Jonathan] Charles Sturt Univ, Gulbali Inst Agr Water &amp; Environm, Wagga Wagga, NSW 2678, Australia; [Swain, Dave L.] TerraCipher Pty Ltd, Alton Downs, Qld 4702, Australia; [McGrath, Shawn] Charles Sturt Univ, Fred Morley Ctr, Sch Anim &amp; Vet Snences, Wagga Wagga, NSW 2678, Australia; [Hossain, Md Ekramul; Kabir, Muhammad Ashad; Zheng, Lihong; Swain, Dave L.; McGrath, Shawn; Medway, Jonathan] Food Agil CRC Ltd, Sydney, NSW 2000, Australia</t>
  </si>
  <si>
    <t>Charles Sturt University; Charles Sturt University; Charles Sturt University</t>
  </si>
  <si>
    <t>Kabir, MA (corresponding author), Charles Sturt Univ, Sch Comp Math &amp; Engn, Bathurst, NSW 2795, Australia.</t>
  </si>
  <si>
    <t>mdhossain@csu.edu.au; akabir@csu.edu.au; lzheng@csu.edu.au; dave.swain@terracipher.com; shmcgrath@csu.edu.au; jmedway@csu.edu.au</t>
  </si>
  <si>
    <t>; Zheng, Lihong/ACI-9716-2022; mcgrath, shawn/V-5729-2018</t>
  </si>
  <si>
    <t>Kabir, Muhammad Ashad/0000-0002-6798-6535; Zheng, Lihong/0000-0001-5728-4356; mcgrath, shawn/0000-0002-4737-4267</t>
  </si>
  <si>
    <t>Food Agility CRC Ltd</t>
  </si>
  <si>
    <t>This project was supported by funding from Food Agility CRC Ltd, funded under the Commonwealth Government CRC Program. The CRC Program supports industry-led collaborations between industry, researchers and the community.</t>
  </si>
  <si>
    <t>KEAI PUBLISHING LTD</t>
  </si>
  <si>
    <t>16 DONGHUANGCHENGGEN NORTH ST, Building 5, Room 411, BEIJING, DONGCHENG DISTRICT 100009, PEOPLES R CHINA</t>
  </si>
  <si>
    <t>2589-7217</t>
  </si>
  <si>
    <t>ARTIF INTELL AGR</t>
  </si>
  <si>
    <t>Artif. Intell. Agric.</t>
  </si>
  <si>
    <t>10.1016/j.aiia.2022.09.0022589-7217</t>
  </si>
  <si>
    <t>Agriculture, Multidisciplinary; Computer Science, Artificial Intelligence</t>
  </si>
  <si>
    <t>N8XL1</t>
  </si>
  <si>
    <t>WOS:001039775600001</t>
  </si>
  <si>
    <t>Hoseini, D; Nikabadi, MS</t>
  </si>
  <si>
    <t>Hoseini, Delshad; Shafiei Nikabadi, Mohsen</t>
  </si>
  <si>
    <t>A model for key success factors for outsourcing in project-based companies: integrating soft and dynamic approaches</t>
  </si>
  <si>
    <t>JOURNAL OF FACILITIES MANAGEMENT</t>
  </si>
  <si>
    <t>Outsourcing; Clustering; Text-mining; Dynamic modeling; ISM technique; SODA technique</t>
  </si>
  <si>
    <t>RESEARCH-AND-DEVELOPMENT; DECISION-MAKING FRAMEWORK; SUPPLY CHAIN; FIRM-LEVEL; PERFORMANCE; MANAGEMENT; LOGISTICS; ENTERPRISES; SERVICES; DESIGN</t>
  </si>
  <si>
    <t>Purpose The purpose of this study is to achieve the dynamic model of outsourcing success factors in project-based companies. Design/methodology/approach This study is descriptive-survey in terms of method and practical in terms of purpose. To achieve the dynamic model of outsourcing success, 1,000 outsourcing articles published in high-status journals from 2017 to 2019 were first text-mining. Then, using the clustering technique, the factors affecting the success of outsourcing were obtained. To achieve the key variables, the variables obtained by interpretive structural modeling (ISM) were then leveled. Then, the strategic options development and analysis (SODA) technique has been used to achieve a consensus and coordination on factors relationships. Finally, the dynamic model of outsourcing success in GHODRAT CONTROL PARS Company has been modeled and implemented. Findings In total, five clusters and nine factors were extracted (strategy, management, performance, market, R&amp;D, supplier, product, organizational data and outsourcing findings). In central and domain analysis, two factors, Strategy and R and D, were recognized as factors that have the most interaction and centrality. The result of the dynamic model indicate that the organization will significantly reduce the construction time of the power plant by improving the R and D factor. Originality/value In this study, various techniques have been combined. Therefore, one of the aspects of innovation in the present study is the combination of methods that have not been used earlier. The second aspect of this study's innovation is using SODA technique to design the dynamic model of outsourcing success factors. Given that the scope of this study is the component affecting the success of outsourcing, so extensive research has been conducted in the field of articles worked in the field of outsourcing to get a comprehensive view of the components affecting the success of outsourcing, which has not been reviewed in other articles. In this study, in addition to identifying the effective factors, their identified and also how these variables affect the successful performance of outsourcing in the form of a dynamic model, and then analyzed.</t>
  </si>
  <si>
    <t>[Hoseini, Delshad; Shafiei Nikabadi, Mohsen] Semnan Univ, Dept Ind Management, Semnan, Iran</t>
  </si>
  <si>
    <t>Semnan University</t>
  </si>
  <si>
    <t>Nikabadi, MS (corresponding author), Semnan Univ, Dept Ind Management, Semnan, Iran.</t>
  </si>
  <si>
    <t>delshad.hoseyni1996@gmail.com; shafiei@semnan.ac.ir</t>
  </si>
  <si>
    <t>Hoseini, Delshad/ABG-9445-2021; Shafiei Nikabadi, Mohsen/K-7864-2012</t>
  </si>
  <si>
    <t>Hoseini, Delshad/0000-0003-2938-5154; Shafiei Nikabadi, Mohsen/0000-0002-9744-960X</t>
  </si>
  <si>
    <t>1472-5967</t>
  </si>
  <si>
    <t>1741-0983</t>
  </si>
  <si>
    <t>J FACIL MANAG</t>
  </si>
  <si>
    <t>J. Facil. Manag.</t>
  </si>
  <si>
    <t>NOV 18</t>
  </si>
  <si>
    <t>10.1108/JFM-08-2020-0054</t>
  </si>
  <si>
    <t>WY6CZ</t>
  </si>
  <si>
    <t>WOS:000669525800001</t>
  </si>
  <si>
    <t>Derbel, M; Aljuaid, AM; Hachicha, W</t>
  </si>
  <si>
    <t>Derbel, Mouna; Aljuaid, Awad M.; Hachicha, Wafik</t>
  </si>
  <si>
    <t>Empirical Safety Stock Estimation Using GARCH Model, Historical Simulation, and Extreme Value Theory: A Comparative Study</t>
  </si>
  <si>
    <t>safety stock estimation; forecast errors distribution; heteroscedasticity; extreme demands; GARCH model; simulation; EVT; CEVT; FHS; tick loss function; inventory investment; backorders</t>
  </si>
  <si>
    <t>LEAD TIME; INVENTORY; DEMAND; ADJUSTMENTS; ERRORS</t>
  </si>
  <si>
    <t>Safety stock (SS) is an appropriate tactic to deal with demand and supply uncertainty with the aim of preventing inventory shortages. In the literature, previous work on SS estimation assumes that the forecast error distributions (FED) are independent and identically distributed (i.i.d) following the normal distribution. In order to assess violations of this assumption, there are many solution methods in the recent literature that include the following: (1) Consider the FED as other distribution models, such as gamma distribution or log-normal distribution, etc. (2) Use the Generalized Auto-Regressive Conditional Heteroskedasticity (GARCH) model to consider the Heteroskedasticity phenomena, (3) Use the extreme value theory (EVT) to take into consideration the occurrence of extreme demands, etc. However, the performance of these methods is not guaranteed because there is an absence of comparative studies. Indeed, the estimation of SS is based on the approximation of quantiles of the FED. Such quantiles are related to the cycle service levels (CSL) that are important to achieve company goals. Accordingly, the aim of this research is to propose two combined empirical methods to determine the SS in a more robust fashion and compare them with traditional methods under different supply chain parameters. The first combined method, named Filtered Historical Simulation (FHS), consists of combining the GARCH model with the simulation method. The second combination named Conditional Extreme Value Theory (CEVT) is the GARCH model with EVT. To validate these proposed combined methods, the SS is also estimated using traditional methods, such as simple exponential smoothing (SES), simulation, and kernel density estimation (KDE). The methodology is illustrated with both simulation data and real case study data for different lead times. For the FED, two cases are studied: lognormal distribution and gamma distribution. The results show the superiority of the two proposed combination methods with respect to the tick loss function (TLF) for the different CSL targets and for shorter and longer lead times. Results are confirmed using the ANOVA test.</t>
  </si>
  <si>
    <t>[Derbel, Mouna] Univ Sfax, Fac Econ &amp; Management Sfax, Sfax 3018, Tunisia; [Aljuaid, Awad M.; Hachicha, Wafik] Taif Univ, Coll Engn, Dept Ind Engn, POB 11099, Taif 21944, Saudi Arabia</t>
  </si>
  <si>
    <t>Universite de Sfax; Taif University</t>
  </si>
  <si>
    <t>Hachicha, W (corresponding author), Taif Univ, Coll Engn, Dept Ind Engn, POB 11099, Taif 21944, Saudi Arabia.</t>
  </si>
  <si>
    <t>wafik.hachicha@isgis.usf.tn</t>
  </si>
  <si>
    <t>; Hachicha, Wafik/C-6813-2017</t>
  </si>
  <si>
    <t>ALJUAID, AWAD/0000-0002-3793-4814; Derbel, Mouna/0000-0002-9963-7508; Hachicha, Wafik/0000-0002-6561-9141</t>
  </si>
  <si>
    <t>Taif University, Taif, Saudi Arabia [TURSP-2020/229]</t>
  </si>
  <si>
    <t>This research was supported and funded by Taif University Researchers Supporting Project number (TURSP-2020/229), Taif University, Taif, Saudi Arabia.</t>
  </si>
  <si>
    <t>10.3390/app121910023</t>
  </si>
  <si>
    <t>5F8YE</t>
  </si>
  <si>
    <t>WOS:000866597100001</t>
  </si>
  <si>
    <t>Liu, Y; Cheng, Y; Wang, D; Zhao, HX; Wang, YP</t>
  </si>
  <si>
    <t>Liu, Yan; Cheng, Yu; Wang, Dan; Zhao, Hongxiao; Wang, Yaping</t>
  </si>
  <si>
    <t>Spatial Pattern Evolution of the Manufacturing Industry in the Yangtze River Economic Belt and Its Impact on PM2.5</t>
  </si>
  <si>
    <t>manufacturing industry; spatial pattern; environmental effect; Yangtze River Economic Belt</t>
  </si>
  <si>
    <t>TECHNOLOGICAL-INNOVATION; CHINA; AGGLOMERATION</t>
  </si>
  <si>
    <t>Instead of being merely an important embodiment of regional productivity, the manufacturing industry also serves as a significant sector of economic operation and the supply chain system that is highly dependent on resources and the environment. Studying the spatial pattern of the manufacturing industry and its environmental effect is extremely significant for optimizing the spatial layout of urban industry, allocating production factors in a rational manner, and promoting the green transformation of industry. In this regard, this study aimed to further reveal the spatial pattern characteristics of the regional manufacturing industry and its impact on PM2.5. Using data from micro-enterprises in the manufacturing industry in the Yangtze River Economic Belt, its spatial pattern characteristics are explored and an econometric model is constructed to analyze the impact of the manufacturing industry on PM2.5 by comprehensively applying approaches including kernel density estimation, nearest proximity index, and Dagum Gini coefficient decomposition. Three research conclusions were drawn: (1) an obvious core-edge feature is present in the spatial distribution of the manufacturing industry in the studied area showing an apparent pattern of high in the east and low in the west. The core density of the manufacturing industry in the central cities is significantly higher than that in the surrounding cities. (2) In the manufacturing industry and its subdivisions, the characteristics of spatial agglomeration are unveiled, while the agglomeration and spatial differences are diminished during the study period for the spatial equilibrium of the manufacturing industry. (3) A significantly positive impact is exerted on PM2.5 pollution that is not limited to local cities by the manufacturing industry, which, due to the development differences within the study region, is also heterogeneous. In view of this, policy proposals for aspects such as forging a green manufacturing cluster area, establishing an industrial integration development platform, giving play to regional advantages and technological potential, etc., are put forward in this study, so as to provide a useful reference for optimizing the industrial pattern and promoting the green transformation of industries.</t>
  </si>
  <si>
    <t>[Liu, Yan; Cheng, Yu; Wang, Dan; Zhao, Hongxiao; Wang, Yaping] Shandong Normal Univ, Coll Geog &amp; Environm, Jinan 250358, Peoples R China</t>
  </si>
  <si>
    <t>Shandong Normal University</t>
  </si>
  <si>
    <t>Cheng, Y (corresponding author), Shandong Normal Univ, Coll Geog &amp; Environm, Jinan 250358, Peoples R China.</t>
  </si>
  <si>
    <t>sliucy@163.com; 614058@sdnu.edu.cn; wangdan_12023@163.com; zhaohxflel@163.com; 619069@sdnu.edu.cn</t>
  </si>
  <si>
    <t>Shandong Province Social Science Planning Research Project [22CJJJ06]</t>
  </si>
  <si>
    <t>Shandong Province Social Science Planning Research Project</t>
  </si>
  <si>
    <t>This research was funded by Shandong Province Social Science Planning Research Project, grant number No. 22CJJJ06.</t>
  </si>
  <si>
    <t>10.3390/su151612425</t>
  </si>
  <si>
    <t>Q4RA0</t>
  </si>
  <si>
    <t>WOS:001057396500001</t>
  </si>
  <si>
    <t>Afkhamiaghda, M; Elwakil, E</t>
  </si>
  <si>
    <t>Afkhamiaghda, Mahdi; Elwakil, Emad</t>
  </si>
  <si>
    <t>Challenges review of decision making in post-disaster construction</t>
  </si>
  <si>
    <t>INTERNATIONAL JOURNAL OF CONSTRUCTION MANAGEMENT</t>
  </si>
  <si>
    <t>Site selection; optimization; material selection; disaster resilience; data collection; waste management</t>
  </si>
  <si>
    <t>RELIEF DISTRIBUTION; SITE SELECTION; MULTIOBJECTIVE OPTIMIZATION; SUPPORT-SYSTEM; SUPPLY CHAIN; MODEL; SHELTER; MANAGEMENT; EMERGENCY; LOCATION</t>
  </si>
  <si>
    <t>As a natural disaster occurs, it negatively affects and destroys a large scale of urban pattern in a short period of time. Building a structure in such situations is considered a process that encompasses broad topics such as social, economic, and environment&amp; issues linked together and interrelated. In addition, many of these tasks have conflicting nature towards one another, making it difficult to manage the process as a whole. This research aims to review: (1) The different data-mining-based methods used in post-disaster, and (2) The practice and research trends in disaster resilience and disaster risk reduction literature published in the last two decades. Finally, future work and research challenges are recommended to help the decision-making research community set a dear agenda for the upcoming research. The researchers have identified 150 academic papers from the last two decades through text mining using the 'Engineering Village' database. The search considered high-ranked peer-reviewed journals, conference proceedings, and most cited documents. Post-disaster housing heavily relies on tacit knowledge instead of hard measurable data like any construction field. There is a lack of decision-making studies in the post-disaster topic using hard data. Therefore, it is essential to consider any measurable factors that stem from the environment compared to relying only on expert opinion, as using solely tacit knowledge is ineffective. In addition to this, there have not been enough studies on this matter using a combination of hard data and tacit knowledge. A step towards understanding different work areas in disaster resilience, the researchers identified, categorized, and grouped the literature review based on different fields of post-disaster decision-making. Moreover, the research identifies and discusses the most frequent topics and techniques of multi-objective decision-making in post-disaster situations. This article is the first to provide a comprehensive conceptualization of the challenges and constraints for decision-making in post-disaster construction.</t>
  </si>
  <si>
    <t>[Afkhamiaghda, Mahdi; Elwakil, Emad] Purdue Univ, Sch Construct Management, W Lafayette, IN 47907 USA</t>
  </si>
  <si>
    <t>Purdue University System; Purdue University West Lafayette Campus; Purdue University</t>
  </si>
  <si>
    <t>Elwakil, E (corresponding author), Purdue Univ, Sch Construct Management, W Lafayette, IN 47907 USA.</t>
  </si>
  <si>
    <t>eelwakil@purdue.edu</t>
  </si>
  <si>
    <t>1562-3599</t>
  </si>
  <si>
    <t>2331-2327</t>
  </si>
  <si>
    <t>INT J CONSTR MANAG</t>
  </si>
  <si>
    <t>Int. J. Constr. Manag.</t>
  </si>
  <si>
    <t>OCT 26</t>
  </si>
  <si>
    <t>10.1080/15623599.2022.2061751</t>
  </si>
  <si>
    <t>O2TL6</t>
  </si>
  <si>
    <t>WOS:000786460100001</t>
  </si>
  <si>
    <t>Zhao, YB; Cheng, SF; Lu, F</t>
  </si>
  <si>
    <t>Zhao, Yibo; Cheng, Shifen; Lu, Feng</t>
  </si>
  <si>
    <t>Seasonal Characteristics of Agricultural Product Circulation Network: A Case Study in Beijing, China</t>
  </si>
  <si>
    <t>agricultural product system; circulation network; multi-view spatiotemporal analysis; trajectory data mining; spatial interaction; seasonality; complex network</t>
  </si>
  <si>
    <t>LAND-USE; TRADE; EVOLUTION; IMPACTS; FLOW</t>
  </si>
  <si>
    <t>Agricultural product circulation is an appropriate way to optimize the distribution of agricultural resources and maintain food safety. The seasonality of agriculture leads to seasonal variations in agricultural product circulation. Previous studies constructed origin-destination networks based on annual statistics to investigate the static structure of agricultural product circulation networks from a single view, failing to capture the seasonal and multi-dimensional characteristics in agricultural product circulation. This study presents a multi-view analytical framework used to investigate the seasonal characteristics of an agricultural product circulation network. First, agricultural product circulation networks in different seasons were constructed with mass freight trajectory data through trajectory mining technology. Then, the seasonal characteristics of agricultural product circulation were, respectively, analyzed from a macro-view (networks), meso-view (edges) and micro-view (nodes). A case study was conducted in Beijing, China. It is argued that: (1) The presented method for extracting agricultural trip chains based on massive freight trajectories is feasible for the construction of agricultural product circulation networks. (2) The agricultural product circulation networks in four seasons exhibit an obvious hierarchical and radial structure. South China has a higher network density in winter and spring, whereas northeast and northwest China are the opposite. (3) A total of 80% of the linkage strength is concentrated, on average, in 35.3% of city-pairs in four seasons, where the agglomeration effect and hub status of the linking cities is more prominent in summer and autumn. (4) A total of 316 cities form Beijing agricultural product circulation networks, 48.1% of which are mainly served by Beijing agricultural product circulation in winter and spring, which is 2.7 times more than cities served in summer and autumn. These findings extend the scientific understanding of the agricultural product supply chain from a dynamic and multi-dimensional view, which provides essential information for optimizing sustainable agri-food systems and ensuring food security.</t>
  </si>
  <si>
    <t>[Zhao, Yibo; Cheng, Shifen; Lu, Feng] Chinese Acad Sci, Inst Geog Sci &amp; Nat Resources Res, State Key Lab Resources &amp; Environm Informat Syst, Beijing 100101, Peoples R China; [Zhao, Yibo; Cheng, Shifen; Lu, Feng] Univ Chinese Acad Sci, Beijing 100049, Peoples R China; [Lu, Feng] Fuzhou Univ, Acad Digital China, Fuzhou 350002, Peoples R China; [Lu, Feng] Jiangsu Ctr Collaborat Innovat Geog Informat Resou, Nanjing 210023, Peoples R China</t>
  </si>
  <si>
    <t>Chinese Academy of Sciences; Institute of Geographic Sciences &amp; Natural Resources Research, CAS; Chinese Academy of Sciences; University of Chinese Academy of Sciences, CAS; Fuzhou University</t>
  </si>
  <si>
    <t>Cheng, SF (corresponding author), Chinese Acad Sci, Inst Geog Sci &amp; Nat Resources Res, State Key Lab Resources &amp; Environm Informat Syst, Beijing 100101, Peoples R China.;Cheng, SF (corresponding author), Univ Chinese Acad Sci, Beijing 100049, Peoples R China.</t>
  </si>
  <si>
    <t>chengsf@lreis.ac.cn</t>
  </si>
  <si>
    <t>Cheng, Shifen/0000-0002-9553-8318</t>
  </si>
  <si>
    <t>10.3390/agronomy12112827</t>
  </si>
  <si>
    <t>6U4RT</t>
  </si>
  <si>
    <t>WOS:000894356500001</t>
  </si>
  <si>
    <t>Awe, OO; Musa, AP; Sanusi, GP</t>
  </si>
  <si>
    <t>Awe, Olushina Olawale; Musa, Ann Precious; Sanusi, Gbenga Peter</t>
  </si>
  <si>
    <t>Revisiting economic diversification in Africa's largest resource-rich nation: Empirical insights from unsupervised machine learning</t>
  </si>
  <si>
    <t>RESOURCES POLICY</t>
  </si>
  <si>
    <t>Economic diversification; Natural resources; Hierarchical clustering; K -means algorithm; Nigeria</t>
  </si>
  <si>
    <t>GROWTH; PRODUCTIVITY; NIGERIA</t>
  </si>
  <si>
    <t>Nigeria, as the heartbeat of Africa and the largest resource-rich nation in the continent has been economically bedridden in recent times. This is mainly due to the lack of diversification of its economy and resources. This paper deals with the analysis of the Nigerian economy with a view of determining the constituents of its eco-nomic growth using cluster analysis-(an unsupervised machine learning) approach. Results from the two cluster analysis approaches used-(K-Means and Hierarchical Clustering) indicates that crude oil contributes mainly to the Nigerian economy in terms of revenue and it is clearly distinct from other resources/sectors which makes up the components of revenue generation in Nigeria. Spearman's correlation analysis shows that all the economic indicators considered are highly correlated with each other except with Petroleum and Solid Minerals. This is not unconnected with the fact that the Nigerian economy has been largely dependent on oil revenue over the years, besides the fact that sectorial linkages are limited. Policies aimed at the diversification of the Nigerian economy and promoting value chain across sectors is sine qua non to economic progress. The need to ensure that other sectors contribute meaningfully and tangibly to the Nigerian economy in the post-pandemic era should be revisited.</t>
  </si>
  <si>
    <t>[Awe, Olushina Olawale] Univ Estadual Campinas, Dept Stat IMECC, Campinas, Brazil; [Musa, Ann Precious] African Ctr Educ Dev, Kaduna, Nigeria; [Sanusi, Gbenga Peter] Anchor Univ, Dept Econ, Lagos, Nigeria</t>
  </si>
  <si>
    <t>Awe, OO (corresponding author), Univ Estadual Campinas, Dept Stat IMECC, Campinas, Brazil.</t>
  </si>
  <si>
    <t>oawe@unicamp.br</t>
  </si>
  <si>
    <t>0301-4207</t>
  </si>
  <si>
    <t>1873-7641</t>
  </si>
  <si>
    <t>RESOUR POLICY</t>
  </si>
  <si>
    <t>Resour. Policy</t>
  </si>
  <si>
    <t>10.1016/j.resourpol.2023.103540</t>
  </si>
  <si>
    <t>J0UL1</t>
  </si>
  <si>
    <t>WOS:001006842400001</t>
  </si>
  <si>
    <t>Sheriff, KMM; Nachiappan, S; Min, H</t>
  </si>
  <si>
    <t>Sheriff, K. M. M.; Nachiappan, S.; Min, H.</t>
  </si>
  <si>
    <t>Combined location and routing problems for designing the quality-dependent and multi-product reverse logistics network</t>
  </si>
  <si>
    <t>reverse logistics; clustering; balanced location-allocation; multi-commodity flows</t>
  </si>
  <si>
    <t>DISTRIBUTION CENTERS; MODEL; OPTIMIZATION; ALLOCATION; STRATEGIES; MANAGEMENT; CUSTOMERS</t>
  </si>
  <si>
    <t>With a growing awareness of carbon footprints and their impact on environmental degradation, many firms hope to streamline their reverse logistics (RL) operations involving end-of-use products. However, managing end-of-use products can be extremely challenging due to inherent complexity involved in the collection, sorting, transhipment, and processing of these products. Despite numerous challenges, the efficient handling of these products can be a source of competitive advantages. In this regard, a plastic recycling industry in Southern India is no exception. This industry often copes with the problem of picking up recyclable plastic bottles using private collecting agents, transferring those bottles to the initial collection points (ICPs), and then transhipping and consolidating them at the centralized return centres (CRCs) for final shipments to the processing centres where these bottles were treated for recycling. This problem can be further complicated with the dilemma of finding the most ideal locations of ICPs and CRCs and the optimal routing of vehicles serving ICPs and CRCs such that the total RL cost is minimized. To aid the industry in dealing with such RL problems, we developed a mathematical model and then evaluated the performances of that model with the actual data obtained from a case study of the Indian company. Given a lack of efforts in combining the location-routing problem with the balanced allocation problem in the closed-loop supply chain network, the main contribution of this paper includes the simultaneous consideration of location, allocation, and routing decisions. In addition, this paper is one of the first to consider incentive payments, the quality level of products, and multiple types of products.</t>
  </si>
  <si>
    <t>[Sheriff, K. M. M.] Sethu Inst Technol, Virudunagar, Tamil Nadu, India; [Nachiappan, S.] Thiagarajar Coll Engn, Madurai, Tamil Nadu, India; [Min, H.] Bowling Green State Univ, Bowling Green, OH 43403 USA</t>
  </si>
  <si>
    <t>Thiagarajar College of Engineering; University System of Ohio; Bowling Green State University</t>
  </si>
  <si>
    <t>Nachiappan, S (corresponding author), Thiagarajar Coll Engn, Dept Mech Engn, Madurai 625105, Tamil Nadu, India.</t>
  </si>
  <si>
    <t>spnmech@tce.edu</t>
  </si>
  <si>
    <t>SHERIFF, K M MAHABOOB/L-7213-2019; Subramanian, Nachiappan/K-1563-2014</t>
  </si>
  <si>
    <t>SHERIFF, K M MAHABOOB/0000-0002-0161-8596; Subramanian, Nachiappan/0000-0003-4076-6433; , Sethu Institute of Technology/0000-0002-8835-1336</t>
  </si>
  <si>
    <t>10.1057/jors.2013.22</t>
  </si>
  <si>
    <t>AI4KS</t>
  </si>
  <si>
    <t>WOS:000336834700006</t>
  </si>
  <si>
    <t>Jain, N; Singh, AR</t>
  </si>
  <si>
    <t>Jain, Naveen; Singh, A. R.</t>
  </si>
  <si>
    <t>Sustainable supplier selection under must-be criteria through Fuzzy inference system</t>
  </si>
  <si>
    <t>Sustainability; Sustainable supplier selection; Fuzzy inference system (FIS); Fuzzy Kano model; Sustainability performance assessment</t>
  </si>
  <si>
    <t>DECISION-SUPPORT-SYSTEM; CHAIN SOCIAL SUSTAINABILITY; VENDOR SELECTION; ORDER ALLOCATION; PERFORMANCE EVALUATION; CUSTOMER REQUIREMENTS; KANO MODEL; MANAGEMENT; FRAMEWORK; OPTIMIZATION</t>
  </si>
  <si>
    <t>Growing awareness about the environmental and social issues and pressure from all stakeholders has forced industries to adopt sustainability practices in their supply chains. Suppliers contribute significantly to establishing an effective sustainable supply chain. Hence industries need to evaluate its potential suppliers precisely on sustainability criteria. In this work, a two-phase decision model using Fuzzy Interference System (FIS) along with Fuzzy Kano philosophy for the sustainable environment has been proposed to select sustainable suppliers for a large scale industry. In the first phase, sustainability criteria clustering using fuzzy Kano model has been performed for the identification of 'Must-be' criteria in economic, environmental and social dimensions. Further, sub-criteria with quantified evaluation levels for Must-be criteria have been established. In the second phase, the three distinct Fuzzy Inference System (FIS) has been developed for evaluating the Sustainability Performance Index (SPI) values of each supplier in three sustainability dimensions. In FIS, the architecture of each model is modified in such a way that each FIS engine have to compute the minimum number of rules. Finally, weights are assigned to SPI in each dimension, and suppliers are ranked for final selection. Sensitivity analysis has been performed to demonstrate the robustness of the proposed decision framework. A sustainable supplier selection problem of the iron and steel industry of India has been investigated to show the effectiveness and applicability of the proposed decision framework. (c) 2019 Elsevier Ltd. All rights reserved.</t>
  </si>
  <si>
    <t>[Jain, Naveen; Singh, A. R.] Natl Inst Technol Raipur, Dept Mech Engn, Raipur, Madhya Pradesh, India</t>
  </si>
  <si>
    <t>National Institute of Technology (NIT System); National Institute of Technology Raipur</t>
  </si>
  <si>
    <t>Singh, AR (corresponding author), Natl Inst Technol Raipur, Dept Mech Engn, Raipur, Madhya Pradesh, India.</t>
  </si>
  <si>
    <t>naveenjainbit@gmail.com; arsingh.mech@nitrr.ac.in</t>
  </si>
  <si>
    <t>Singh, Amitraj/I-3903-2019</t>
  </si>
  <si>
    <t>Singh, Amitraj/0000-0003-2112-5948; Jain, Naveen/0000-0001-7588-8073</t>
  </si>
  <si>
    <t>10.1016/j.jclepro.2019.119275</t>
  </si>
  <si>
    <t>KC7PA</t>
  </si>
  <si>
    <t>WOS:000507364000106</t>
  </si>
  <si>
    <t>Karimi-Mamaghan, M; Mohammadi, M; Jula, P; Pirayesh, A; Ahmadi, H</t>
  </si>
  <si>
    <t>Karimi-Mamaghan, Maryam; Mohammadi, Mehrdad; Jula, Payman; Pirayesh, Amir; Ahmadi, Hadi</t>
  </si>
  <si>
    <t>A learning-based metaheuristic for a multi-objective agile inspection planning model under uncertainty</t>
  </si>
  <si>
    <t>Manufacturing system; Agile integrated inspection-machining; Uncertainty; Machine learning; Metaheuristics</t>
  </si>
  <si>
    <t>DIFFERENTIAL EVOLUTION; ROBUST OPTIMIZATION; GENETIC ALGORITHM; MANUFACTURING SYSTEMS; SUPPLY CHAIN; HUB LOCATION; DESIGN; NETWORK; ALLOCATION; TIME</t>
  </si>
  <si>
    <t>In this paper, we present an agile integrated inspection-operation planning model wherein inspection actions are planned alongside the machining operations to make the production process agile. Such an agile integrated plan can respond quickly to inspection-machining needs while still controlling costs and quality. A tri-objective mixed-integer nonlinear programming (TMINLP) model is developed for planning the integrated process in a serial multi-stage production (MSP) system. This model addresses several interrelated decisions; (1) what is the most appropriate inspection process for a quality characteristic, (2) at which stage the inspection of these quality characteristics should be performed, (3) how these inspections should be performed, (4) which inspection tools should be used, and (5) which machine should operate on products. The three objectives are: (1) minimizing the total manufacturing cost, (2) minimizing the number of nonconforming products shipped, and (3) minimizing the total manufacturing time for each product. We also address the uncertainty of manufacturing parameters and equipment disruptions. To solve the model, a novel learning-based metaheuristic is developed based on Multi-Objective Differential Evolution (MODE) algorithm, k-Means clustering method, and an Iterated Local Search (ILS) algorithm. The proposed learning-based metaheuristic algorithm is then integrated with the Taguchi Loss Function and Monte Carlo methods to address the input parameters' uncertainty. The proposed model and solution algorithm are validated through a set of experiments against optimal solutions, and benchmarked against four existing well-known approaches, i.e. NSGA-II, MODE and two learning-based metaheuristics. The proposed approach is applied to a real industrial case and insights are provided. (C) 2020 Elsevier B.V. All rights reserved.</t>
  </si>
  <si>
    <t>[Karimi-Mamaghan, Maryam; Mohammadi, Mehrdad] UBL, Lab STICC, IMT Atlantique, F-29238 Brest, France; [Jula, Payman] Simon Fraser Univ, Beedie Sch Business, Vancouver, BC, Canada; [Pirayesh, Amir] KEDGE Business Sch, Ctr Excellence Supply Chain &amp; Transportat CESIT, Bordeaux, France; [Ahmadi, Hadi] Islamic Azad Univ, South Tehran Branch, Tehran, Iran</t>
  </si>
  <si>
    <t>IMT - Institut Mines-Telecom; IMT Atlantique; Universite de Bretagne Occidentale; Simon Fraser University; Kedge Business School; Islamic Azad University</t>
  </si>
  <si>
    <t>Karimi-Mamaghan, M (corresponding author), UBL, Lab STICC, IMT Atlantique, F-29238 Brest, France.</t>
  </si>
  <si>
    <t>maryam.karimi@imt-atlantique.fr; mehrdad.mohammadi@imt-atlantique.fr</t>
  </si>
  <si>
    <t>RADARWEG 29a, 1043 NX AMSTERDAM, NETHERLANDS</t>
  </si>
  <si>
    <t>10.1016/j.ejor.2020.01.061</t>
  </si>
  <si>
    <t>LF2VV</t>
  </si>
  <si>
    <t>WOS:000527281600008</t>
  </si>
  <si>
    <t>Dhamija, P</t>
  </si>
  <si>
    <t>Dhamija, Pavitra</t>
  </si>
  <si>
    <t>South Africa in the era of Industry 4.0: An Insightful Investigation</t>
  </si>
  <si>
    <t>Industry 4; 0; Internet of things; Bibliometric mapping; Systematic review; South Africa</t>
  </si>
  <si>
    <t>TECHNOLOGY ACCEPTANCE MODEL; SUPPLY CHAIN; INFORMATION-TECHNOLOGY; RESEARCH AGENDA; FUTURE; INTERNET; CHALLENGES; MANAGEMENT; SYSTEM; IMPLEMENTATION</t>
  </si>
  <si>
    <t>Science and technology are one of the essential elements to ensure innovation. Innovative developments significantly contribute towards strategic growth initiatives in every nation. The Government in South Africa is sincerely considering science and technology from a strategic perspective to leverage and optimise the national and international resources. Other segments including higher education sector, non-profit organizations and political set-ups also realize the requirement of mentioned strategic initiative. The adoption of Industry 4.0 by South Africa has provided a huge possibility of academic as well as industrial research across sectors (aerospace, construction, defence, infrastructure, logistics, manufacturing, mining, petrochemical-oil and gas, pharmaceutical, public sector, software technology and telecommunication). The real benefits of Industry 4.0 are realised when its performance is reviewed systematically, which is presented in the form of predominant clusters or themes. Hence, this paper provides influential insights for Industry 4.0 developments (past, present and future) in South Africa. The research focuses on the existence of Industry 4.0 in combination with varied primary and (Industry 4.0, internet of things, digitization and cyber physical systems) secondary keywords (industrial internet of things, business integration, cloud computing, virtual reality, mobility, standards, architecture). The paper considered 19,101 articles extracted from Scopus database over the past 10 years. The statistical tools, BibExcel and Gephi are used to draw inferences and visualizations in the form of top contributing authors, keywords, countries followed by clustering. The use of citation analysis through PageRank provide most promising information in this area.</t>
  </si>
  <si>
    <t>[Dhamija, Pavitra] Thapar Inst Engn &amp; Technol, LM Thapar Sch Management, Patiala, Punjab, India; [Dhamija, Pavitra] Univ Johannesburg, Fac Engn &amp; Built Environm, Dept Construct Management &amp; Quant Surveying, Johannesburg, South Africa</t>
  </si>
  <si>
    <t>Thapar Institute of Engineering &amp; Technology; University of Johannesburg</t>
  </si>
  <si>
    <t>Dhamija, P (corresponding author), Thapar Inst Engn &amp; Technol, LM Thapar Sch Management, Patiala, Punjab, India.;Dhamija, P (corresponding author), Univ Johannesburg, Fac Engn &amp; Built Environm, Dept Construct Management &amp; Quant Surveying, Johannesburg, South Africa.</t>
  </si>
  <si>
    <t>pavitradhamija@gmail.com</t>
  </si>
  <si>
    <t>10.1007/s11192-022-04461-z</t>
  </si>
  <si>
    <t>4L1UW</t>
  </si>
  <si>
    <t>WOS:000842592200003</t>
  </si>
  <si>
    <t>Wang, Y; Ma, XL; Liu, MW; Gong, K; Liu, Y; Xu, MZ; Wang, YH</t>
  </si>
  <si>
    <t>Wang, Yong; Ma, Xiaolei; Liu, Mingwu; Gong, Ke; Liu, Yong; Xu, Maozeng; Wang, Yinhai</t>
  </si>
  <si>
    <t>Cooperation and profit allocation in two-echelon logistics joint distribution network optimization</t>
  </si>
  <si>
    <t>Two-echelon logistics joint distribution; network; Profit allocation; Improved ant colony optimization; Shapley value model; Monotonic path selection strategy</t>
  </si>
  <si>
    <t>ANT COLONY OPTIMIZATION; VEHICLE-ROUTING PROBLEM; SUPPLY CHAIN NETWORK; DISTRIBUTION CENTERS; GENETIC ALGORITHM; ORDER ALLOCATION; GAME-THEORY; LOCATION; DESIGN; INVENTORY</t>
  </si>
  <si>
    <t>Collaborative two-echelon logistics joint distribution network can be organized through a negotiation process via logistics service providers or participants existing in the logistics system, which can effectively reduce the crisscross transportation phenomenon and improve the efficiency of the urban freight transportation system. This study establishes a linear optimization model to minimize the total cost of two-echelon logistics joint distribution network. An improved ant colony optimization algorithm integrated with genetic algorithm is presented to serve customer clustering units and resolve the model formulation by assigning logistics facilities. A two-dimensional colony encoding method is adopted to generate the initial ant colonies. Improved ant colony optimization combines the merits of ant colony optimization algorithm and genetic algorithm with both global and local search capabilities. Finally, an improved Shapley value model based on cooperative game theory and a cooperative mechanism strategy are presented to obtain the optimal profit allocation scheme and sequential coalitions respectively in two-echelon logistics joint distribution network. An empirical study in Guiyang City, China, reveals that the improved ant colony optimization algorithm is superior to the other three methods in terms of the total cost. The improved Shapley value model and monotonic path selection strategy are applied to calculate the best sequential coalition selection strategy. The proposed cooperation and profit allocation approaches provide an effective paradigm for logistics companies to share benefit, achieve win-win situations through the horizontal cooperation, and improve the negotiation power for logistics network optimization. (C) 2017 Elsevier B.V. All rights reserved.</t>
  </si>
  <si>
    <t>[Wang, Yong; Liu, Mingwu; Gong, Ke; Liu, Yong; Xu, Maozeng] Chongqing Jiaotong Univ, Sch Econ &amp; Management, Chongqing 400074, Peoples R China; [Wang, Yong] Univ Elect Sci &amp; Technol, Sch Management &amp; Econ, Chengdu 610054, Peoples R China; [Wang, Yong; Wang, Yinhai] Univ Washington, Dept Civil &amp; Environm Engn, Seattle, WA 98195 USA; [Ma, Xiaolei] Beihang Univ, Beijing Key Lab Cooperat Vehicle Infrastruct Syst, Sch Transportat Sci &amp; Engn, Beijing 100191, Peoples R China</t>
  </si>
  <si>
    <t>Chongqing Jiaotong University; University of Electronic Science &amp; Technology of China; University of Washington; University of Washington Seattle; Beihang University</t>
  </si>
  <si>
    <t>Wang, YH (corresponding author), Univ Washington, Dept Civil &amp; Environm Engn, Seattle, WA 98195 USA.;Ma, XL (corresponding author), Beihang Univ, Beijing Key Lab Cooperat Vehicle Infrastruct Syst, Sch Transportat Sci &amp; Engn, Beijing 100191, Peoples R China.</t>
  </si>
  <si>
    <t>yongwx6@gmail.com; xiaolei@buaa.edu.cn; liumingwu2007@aliyun.com; gks_cn@163.com; liuevery@gmail.com; xmzzrxhy@cqjtu.edu.cn; yinhai@uw.edu</t>
  </si>
  <si>
    <t>Wang, Yinhai/B-5396-2012; Ma, Xiaolei/J-4069-2014; Wang, Yong/IQV-5647-2023; Gong, Ke/I-4697-2012</t>
  </si>
  <si>
    <t>Wang, Yinhai/0000-0002-4180-5628; Ma, Xiaolei/0000-0002-3841-5792; Gong, Ke/0000-0002-8486-8506; XU, Maozeng/0000-0003-2231-4222</t>
  </si>
  <si>
    <t>National Natural Science Foundation of China [71402011, 71471024, 51408019, 71432003, 51329801]; China Postdoctoral Science Foundation [2016M600735]; Natural ScienceFoundation of Chongqing of China [cstc2015jcyjA30012, cstc2016jcyjA0023]; key project of human social science of Chongqing Municipal Education Commission</t>
  </si>
  <si>
    <t>National Natural Science Foundation of China(National Natural Science Foundation of China (NSFC)); China Postdoctoral Science Foundation(China Postdoctoral Science Foundation); Natural ScienceFoundation of Chongqing of China(Natural Science Foundation of Chongqing); key project of human social science of Chongqing Municipal Education Commission</t>
  </si>
  <si>
    <t>The authors thank the Transportation Planning Department in Guiyang City for providing valuable location and data for the empirical case study. This research is supported by the National Natural Science Foundation of China (Project No. 71402011, 71471024, 51408019, 71432003, 51329801), the China Postdoctoral Science Foundation (Project No. 2016M600735), the Natural ScienceFoundation of Chongqing of China (No. cstc2015jcyjA30012, cstc2016jcyjA0023). In addition, this research is partly supported by the key project of human social science of Chongqing Municipal Education Commission.</t>
  </si>
  <si>
    <t>10.1016/j.asoc.2017.02.025</t>
  </si>
  <si>
    <t>EW2ZH</t>
  </si>
  <si>
    <t>WOS:000402364000012</t>
  </si>
  <si>
    <t>Zou, YX; Pintong, S; Shen, T; Luh, DB</t>
  </si>
  <si>
    <t>Zou, Yixin; Pintong, Sarawuth; Shen, Tao; Luh, Ding-Bang</t>
  </si>
  <si>
    <t>Evaluation and trend of fashion design research: visualization analysis based on CiteSpace</t>
  </si>
  <si>
    <t>FASHION AND TEXTILES</t>
  </si>
  <si>
    <t>Bibliometric; CiteSpace; Fashion; Fashion design; Knowledge mapping</t>
  </si>
  <si>
    <t>SUSTAINABLE BUSINESS MODELS; SUPPLY CHAIN; WEARABLE TECHNOLOGIES; INDUSTRY; NETWORKS; WOMEN</t>
  </si>
  <si>
    <t>Fashion or apparel refers to a topic discussed publicly as an indispensable discipline on a day-to-day basis, which has aroused rising attention from academic sessions over the past two decades. However, since the topic of fashion design covers knowledge in extensive ranges and considerable information, scholars have not fully grasped the research field of fashion design, and the research lacks directional guidance. To gain more insights into the existing research status and fronts in the fashion design field, this study conducts a quantitative literature analysis. The research of this study is conducted by employing CiteSpace technology to visualize and analyze 1388 articles regarding fashion design  in the Web of Science (WOS) Core Collection. To be specific, the visualization and the analysis concentrate on the annual number of articles, author collaboration, institutional collaboration, literature citations, keywords clustering, and research trend evolution of the mentioned articles. As highlighted by this study, the effect of the US and the UK on academic research in fashion design is relatively stronger and extensive. Sustainable fashion refers to the research topic having aroused more attention since 2010, while new research topics over the past few years consist of wearable fashion , transgender fashion  and medical fashion . The overall research trend of fashion design is developing as interdisciplinary cross research. This study systematically reviews the relevant literature, classifies the existing research status, research hotspots and frontier trends in the academic field of fashion design , and presents the knowledge map and information of literature for researchers in relevant fields.</t>
  </si>
  <si>
    <t>[Zou, Yixin; Luh, Ding-Bang] Guangdong Univ Technol, Sch Art &amp; Design, Guangzhou 510062, Peoples R China; [Pintong, Sarawuth] Silpakorn Univeristy, Fac Decorat Arts, Culture Based Design Arts Program, Bangkok 10170, Thailand; [Shen, Tao] Tongji Univ, Coll Design &amp; Innovat, Shanghai 200092, Peoples R China</t>
  </si>
  <si>
    <t>Guangdong University of Technology; Tongji University</t>
  </si>
  <si>
    <t>Zou, YX (corresponding author), Guangdong Univ Technol, Sch Art &amp; Design, Guangzhou 510062, Peoples R China.</t>
  </si>
  <si>
    <t>zyx@gdut.edu.cn</t>
  </si>
  <si>
    <t>Science and Technology Program of Guangdong Province: Overseas Famous Master Project Guangdong province, China [2020A1414010314]</t>
  </si>
  <si>
    <t>Science and Technology Program of Guangdong Province: Overseas Famous Master Project Guangdong province, China</t>
  </si>
  <si>
    <t>This research was received financial support from Science and Technology Program of Guangdong Province: Overseas Famous Master Project Guangdong province, China. The Project No. is 2020A1414010314.</t>
  </si>
  <si>
    <t>2198-0802</t>
  </si>
  <si>
    <t>FASH TEXT</t>
  </si>
  <si>
    <t>Fash. Text.</t>
  </si>
  <si>
    <t>10.1186/s40691-022-00316-6</t>
  </si>
  <si>
    <t>Materials Science, Textiles</t>
  </si>
  <si>
    <t>7I0OO</t>
  </si>
  <si>
    <t>WOS:000903595500001</t>
  </si>
  <si>
    <t>Liao, CH; Yen, HR; Li, EY</t>
  </si>
  <si>
    <t>Liao, Chien-Hsiang; Yen, Hsiuju Rebecca; Li, Eldon Y.</t>
  </si>
  <si>
    <t>The effect of channel quality inconsistency on the association between e-service quality and customer relationships</t>
  </si>
  <si>
    <t>INTERNET RESEARCH</t>
  </si>
  <si>
    <t>E-service; Quality inconsistency; Quality management; Supply chain management; Channel management; SERVQUAL; Customer relationship; Taiwan</t>
  </si>
  <si>
    <t>MULTIPLE-ITEM SCALE; EMPIRICAL-TEST; E-COMMERCE; SATISFACTION; TRUST; ANTECEDENTS; CONSEQUENCES; EXPECTATIONS; PERFORMANCE; COMMITMENT</t>
  </si>
  <si>
    <t>Purpose - Based on prior studies, the performance of customer relationships depends highly on the characteristics of the e-service. However, the strength of this association can be impacted when businesses employ multichannel services (e.g. offering online and offline services). With multichannel services, any inconsistency in perceived quality across channels may result in customer distrust toward a service provider. The purpose of this study is to investigate the effect of inconsistent quality on the association between e-service quality and customer relationships in a university context. Design/methodology/approach - This study conducted a web survey and 318 respondents who have both physical and e-service experiences were collected. The inconsistent quality across channels was divided into three groups by k-means clustering approach. Next, the hypothesized associations were analyzed using regression analysis based on three groups. Findings - The results show that inconsistent quality has different impacts on the association between e-service quality and customer relationships across the three groups. Especially in the positive disconfirmation group, the investment in e-services will be in vain because certain e-service sub-constructs lose their impact on customer relationships. Practical implications - The findings of this study provide implications for improving customer relationships under different cross-channel quality inconsistency conditions for managers. Originality/value - This study extends the concept of expectancy disconfirmation theory to the multichannel service context and pioneers the exploration of the moderating effect of cross-channel quality inconsistency in customer relationships, contributing to the understanding of the literature about the impacts of inconsistent quality on customer relationships.</t>
  </si>
  <si>
    <t>[Liao, Chien-Hsiang] Natl Cent Univ, Dept Informat Management, Tao Yuan, Taiwan; [Yen, Hsiuju Rebecca] Natl Tsing Hua Univ, Inst Serv Sci, Hsinchu, Taiwan; [Li, Eldon Y.] Natl Chengchi Univ, Dept Management Informat Syst, Taipei 11623, Taiwan</t>
  </si>
  <si>
    <t>National Central University; National Tsing Hua University; National Chengchi University</t>
  </si>
  <si>
    <t>Liao, CH (corresponding author), Natl Cent Univ, Dept Informat Management, Tao Yuan, Taiwan.</t>
  </si>
  <si>
    <t>944403010@cc.ncu.edu.tw; hjyen@mx.nthu.edu.tw; eli@nccu.edu.tw</t>
  </si>
  <si>
    <t>Liao, Chien Hsiang/N-2045-2014; Li, Eldon Y/C-3198-2016</t>
  </si>
  <si>
    <t>Li, Eldon Y/0000-0001-8455-0963</t>
  </si>
  <si>
    <t>1066-2243</t>
  </si>
  <si>
    <t>INTERNET RES</t>
  </si>
  <si>
    <t>Internet Res.</t>
  </si>
  <si>
    <t>10.1108/10662241111158326</t>
  </si>
  <si>
    <t>Business; Computer Science, Information Systems; Telecommunications</t>
  </si>
  <si>
    <t>Business &amp; Economics; Computer Science; Telecommunications</t>
  </si>
  <si>
    <t>831SO</t>
  </si>
  <si>
    <t>WOS:000295751600004</t>
  </si>
  <si>
    <t>Wang, Y; Yuan, YY; Assogba, K; Gong, K; Wang, HZ; Xu, MZ; Wang, YH</t>
  </si>
  <si>
    <t>Wang, Yong; Yuan, Yingying; Assogba, Kevin; Gong, Ke; Wang, Haizhong; Xu, Maozeng; Wang, Yinhai</t>
  </si>
  <si>
    <t>Design and Profit Allocation in Two-Echelon Heterogeneous Cooperative Logistics Network Optimization</t>
  </si>
  <si>
    <t>GENETIC ALGORITHM; CARRIER COLLABORATION; COST ALLOCATION; GAME-THEORY; TRANSPORTATION; CLUSTER</t>
  </si>
  <si>
    <t>In modern supply chain, logistics companies usually operate individually and optimization researches often concentrate on solving problems related to separate networks. Consequences like the complexity of urban transportation networks and long distance deliveries or pickups and pollution are leading problems to more expenses and more complaints from environment protection organizations. A solution approach to these issues is proposed in this article and consists in the adoption of two-echelon heterogeneous cooperative logistics networks (THCLN). The optimization methodology includes the formation of cooperative coalitions, the reallocation of customers to appropriate logistics facilities, and the determination of the best profit allocation scheme. First, a mixed integer linear programing model is introduced to minimize the total operating cost of nonempty coalitions. Thus, the Genetic Algorithm (GA) and the Particle Swarm Optimization (PSO) algorithm are hybridized to propose GA-PSO heuristics. GA-PSO is employed to provide good solutions to customer clustering units' reallocation problem. In addition, a negotiation process is established based on logistics centers as coordinators. The case study of Chongqing city is conducted to verify the feasibility of THCLN in practice. The grand coalition and two heterogeneous subcoalitions are designed, and the collective profit is distributed based on cooperative game theory. The Minimum Cost Remaining Savings (MCRS) model is used to determine good allocation schemes and strictly monotonic path principles are considered to evaluate and decide the most appropriate coalition sequence. Comparisons proved the combination of GA-PSO and MCRS better as results are found closest to the core center. Therefore, the proposed approach can be implemented in real world environment, increase the reliability of urban logistics network, and allow decision makers to improve service efficiency.</t>
  </si>
  <si>
    <t>[Wang, Yong; Yuan, Yingying; Gong, Ke; Xu, Maozeng] Chongqing Jiaotong Univ, Sch Econ &amp; Management, Chongqing 400074, Peoples R China; [Wang, Yong] Univ Elect Sci &amp; Technol, Sch Management &amp; Econ, Chengdu 610054, Sichuan, Peoples R China; [Assogba, Kevin; Wang, Haizhong] Oregon State Univ, Sch Civil &amp; Construct Engn, Corvallis, OR 97330 USA;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</si>
  <si>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Oregon State University; University of Washington; University of Washington Seattle; Tongji University</t>
  </si>
  <si>
    <t>Wang, Y; Gong, K (corresponding author), Chongqing Jiaotong Univ, Sch Econ &amp; Management, Chongqing 400074, Peoples R China.;Wang, Y (corresponding author), Univ Elect Sci &amp; Technol, Sch Management &amp; Econ, Chengdu 610054, Sichuan, Peoples R China.;Assogba, K (corresponding author), Oregon State Univ, Sch Civil &amp; Construct Engn, Corvallis, OR 97330 USA.</t>
  </si>
  <si>
    <t>yongwx6@gmail.com; kevinassogba@gmail.com; gks_cn@163.com</t>
  </si>
  <si>
    <t>Gong, Ke/I-4697-2012; Assogba, Kevin/M-9366-2018; Wang, Yong/IQV-5647-2023</t>
  </si>
  <si>
    <t>Gong, Ke/0000-0002-8486-8506; Assogba, Kevin/0000-0002-0377-4576; XU, Maozeng/0000-0003-2231-4222; Wang, Yong/0000-0001-7511-8888</t>
  </si>
  <si>
    <t>National Natural Science Foundation of China [71402011, 71301180, 71471024, 41401255, 71432003]; China Postdoctoral Science Foundation [2017T100692, 2016M600735]; National Social Science Foundation of Chongqing of China [2017YBGL133]; Natural Science Foundation of Chongqing of China [cstc2015jcyjA30012]; Postdoctoral Science Foundation of Sichuan Province, China [2017-22]; Key Project of Human Social Science of Chongqing Municipal Education Commission [17SKG067, 16SKGH067]; Fundamental Research Funds for Central Universities [YWF-17-BJ-Y-04]</t>
  </si>
  <si>
    <t>National Natural Science Foundation of China(National Natural Science Foundation of China (NSFC)); China Postdoctoral Science Foundation(China Postdoctoral Science Foundation); National Social Science Foundation of Chongqing of China; Natural Science Foundation of Chongqing of China(Natural Science Foundation of Chongqing); Postdoctoral Science Foundation of Sichuan Province, China; Key Project of Human Social Science of Chongqing Municipal Education Commission; Fundamental Research Funds for Central Universities(Fundamental Research Funds for the Central Universities)</t>
  </si>
  <si>
    <t>This research is supported by the National Natural Science Foundation of China (Projects nos. 71402011, 71301180, 71471024, 41401255, and 71432003), China Postdoctoral Science Foundation (Projects nos. 2017T100692 and 2016M600735), National Social Science Foundation of Chongqing of China (no. 2017YBGL133), Natural Science Foundation of Chongqing of China (no. cstc2015jcyjA30012), and Postdoctoral Science Foundation of Sichuan Province, China (2017-22), and this research is partly supported by the Key Project of Human Social Science of Chongqing Municipal Education Commission (17SKG067 and 16SKGH067). In addition, the research is also partly supported by the Fundamental Research Funds for Central Universities (YWF-17-BJ-Y-04).</t>
  </si>
  <si>
    <t>10.1155/2018/4607493</t>
  </si>
  <si>
    <t>GH4HN</t>
  </si>
  <si>
    <t>WOS:000433364300001</t>
  </si>
  <si>
    <t>Chhetri, P; Kam, B; Lau, KH; Corbitt, B; Cheong, F</t>
  </si>
  <si>
    <t>Chhetri, Prem; Kam, Booi; Lau, Kwok Hung; Corbitt, Brian; Cheong, France</t>
  </si>
  <si>
    <t>Improving service responsiveness and delivery efficiency of retail networks A case study of Melbourne</t>
  </si>
  <si>
    <t>Segmentation; GIS; City logistics; Retail logistics; Market area; Retail network</t>
  </si>
  <si>
    <t>SUPPLY CHAIN; TRANSPORT DEMAND; DECISION-SUPPORT; CROSS-DOCKING; MANAGEMENT; INVENTORY; MODEL; STRATEGIES; LOGISTICS</t>
  </si>
  <si>
    <t>Purpose - The purpose of this paper is to explore how a retail distribution network can be rationalised from a spatial perspective to improve service responsiveness and delivery efficiency. Design/methodology/approach - This paper applies spatial analytics to examine variability of demand, both spatially and from a service delivery perspective, for an auto-parts retail network. Spatial analytics are applied to map the location of stores and customers to represent demand and service delivery patterns and to delineate market areas. Findings - Results show significant spatial clustering in customer demand; whilst the delivery of products to customers, in contrast, is spatially dispersed. There is a substantial gap between revenue generated and costs. Market area analysis shows significant overlap, whereby stores compete with each other for business. In total, 80 per cent of customers can be reached within a 15-minute-radius, whilst only 20 per cent lies outside the market areas. Segmentation analysis of customers, based on service delivery, also shows the prevalence of the Pareto principle or 80: 20 rule whereby 80 per cent of the revenue is generated by 20 per cent of customers. Practical implications - Spatially integrated strategies are suggested to improve the efficiency of the retail network. It is recommended that less accessible and unprofitable customers could be either charged extra delivery cost or outsourced without the risk of a substantial reduction in revenue or quality of service delivery. Originality/value - Innovative application of spatial analytics is used to analyse and visualise unit-record sales data to generate practical solutions to improve retail network responsiveness and operational efficiency.</t>
  </si>
  <si>
    <t>[Chhetri, Prem; Kam, Booi; Lau, Kwok Hung; Corbitt, Brian; Cheong, France] RMIT Univ, Sch Business IT &amp; Logist, Melbourne, Vic, Australia</t>
  </si>
  <si>
    <t>Royal Melbourne Institute of Technology (RMIT)</t>
  </si>
  <si>
    <t>Chhetri, P (corresponding author), RMIT Univ, Sch Business IT &amp; Logist, Melbourne, Vic, Australia.</t>
  </si>
  <si>
    <t>prem.chhetri@rmit.edu.au</t>
  </si>
  <si>
    <t>Kam, Booi H/I-6384-2016</t>
  </si>
  <si>
    <t>Cheong, France/0000-0001-5754-9385</t>
  </si>
  <si>
    <t>10.1108/IJRDM-07-2016-0117</t>
  </si>
  <si>
    <t>EQ4JU</t>
  </si>
  <si>
    <t>WOS:000398043700003</t>
  </si>
  <si>
    <t>Yang, Y</t>
  </si>
  <si>
    <t>Yang, Yang</t>
  </si>
  <si>
    <t>Clustering and Prediction Analysis of the Coordinated Development of China's Regional Economy Based on Immune Genetic Algorithm</t>
  </si>
  <si>
    <t>Since the opening of the economy, China's regional economy has developed rapidly, the overall national strength has been increasing, and the people's living standards have been continuously improved. The issue of coordinated regional development has become an important issue in today's society. Genetic algorithm is a kind of prediction algorithm that has developed rapidly in recent years and is widely used. However, when solving engineering prediction problems, there are often problems such as premature convergence and easiness to fall into local optimal solutions. Therefore, on the basis of studying the related theories of genetic algorithm and artificial immune algorithm, this paper uses the advantages of the two algorithms, combines the two algorithms, and proposes an improved algorithm for genetic algorithm-adaptive immune genetic algorithm. Taking genetic algorithm as the basic framework, the operators and selection methods of artificial immune algorithm are integrated. Using the adaptive concept, the formulas of adaptive crossover probability and mutation probability are innovatively designed. Compared with the fixed value of the immune genetic algorithm, the introduction of the adaptive concept can intelligently adjust the optimization process and increase the optimization speed. Considering the double uncertain factors of product market demand and waste product recycling in the remanufacturing supply chain system, the maximization of logistics network operating profit, the minimization of environmental impact, and the maximization of customer satisfaction are the forecast goals. The market demand of uncertain products is effectively controlled through the option contract mechanism, and a multiobjective forecasting model based on the option contract mechanism is established. According to the characteristics of the model, an improved immune genetic algorithm is designed to solve the problem, and the effectiveness of the immune genetic algorithm is verified through an example.</t>
  </si>
  <si>
    <t>[Yang, Yang] Chengdu Wuhou Dist Xueyou Educ Training Sch, Chengdu 610000, Peoples R China</t>
  </si>
  <si>
    <t>Yang, Y (corresponding author), Chengdu Wuhou Dist Xueyou Educ Training Sch, Chengdu 610000, Peoples R China.</t>
  </si>
  <si>
    <t>william115@pku.edu.cn</t>
  </si>
  <si>
    <t>10.1155/2021/5590631</t>
  </si>
  <si>
    <t>QX4ZN</t>
  </si>
  <si>
    <t>WOS:000629356500001</t>
  </si>
  <si>
    <t>Tippayawong, KY; Chaidi, N; Ngamlertsappakit, T; Tippayawong, N</t>
  </si>
  <si>
    <t>Tippayawong, Korrakot Y.; Chaidi, Nichari; Ngamlertsappakit, Tarinee; Tippayawong, Nakorn</t>
  </si>
  <si>
    <t>Demand and cost analysis of agricultural residues utilized as biorenewable fuels for power generation</t>
  </si>
  <si>
    <t>ENERGY REPORTS</t>
  </si>
  <si>
    <t>Agricultural biomass; Cost modeling; Cluster analysis; Supply chain; Waste-to-energy</t>
  </si>
  <si>
    <t>SMOKELESS CHARCOAL</t>
  </si>
  <si>
    <t>This research aimed to develop a cost model in acquiring various agricultural residues as fuels for biomass power plants and to investigate cost differentiation when sources of biomass materials were changed or combined to produce electricity. Database of agricultural residues including location, availability and price throughout Thailand was accumulated based on top seven highest availability sources. Cost model was developed to compare cost when different types of agricultural residues were utilized to generate either electricity or heat. Cluster analysis was applied in the demand side analysis by clustering biomass power plants which were located within 50 km radius from the same centroid. Transportation cost was estimated from the biomass source to the corresponding demand centroid. The cost model for transporting agricultural residues to the demand location was then proposed. From the cost model of transporting agricultural residues, a biomass power plant was chosen as examples. It was shown that when the biomass power plant replaced eucalyptus barks with corncobs, the production cost could be reduced by more than 60%. From the analysis, it was also revealed that the most important factors that a biomass power plant should consider were energy content and cost of the raw material, as well as availability of the nearest supply source. (C) 2020 The Authors.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</si>
  <si>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[Tippayawong, Korrakot Y.; Chaidi, Nichari; Ngamlertsappakit, Tarinee] Chiang Mai Univ, Fac Engn, Dept Ind Engn, Chiang Mai 50200, Thailand; [Tippayawong, Nakorn] Chiang Mai Univ, Fac Engn, Dept Mech Engn, Chiang Mai 50200, Thailand</t>
  </si>
  <si>
    <t>Chiang Mai University; Chiang Mai University</t>
  </si>
  <si>
    <t>Tippayawong, KY (corresponding author), Chiang Mai Univ, Fac Engn, Dept Ind Engn, Chiang Mai 50200, Thailand.</t>
  </si>
  <si>
    <t>korrakot@eng.cmu.ac.th</t>
  </si>
  <si>
    <t>Tippayawong, Nakorn/AAU-8066-2021; Tippayawong, Nakorn/R-5274-2019</t>
  </si>
  <si>
    <t>Tippayawong, Nakorn/0000-0002-6104-7676;</t>
  </si>
  <si>
    <t>European Union [734713]; National Research Council of Thailand; Excellence Center in Logistics &amp; Supply Chain Management, Chiang Mai University, Thailand</t>
  </si>
  <si>
    <t>European Union(European Union (EU)); National Research Council of Thailand(National Research Council of Thailand (NRCT)); Excellence Center in Logistics &amp; Supply Chain Management, Chiang Mai University, Thailand</t>
  </si>
  <si>
    <t>This research is part of the project Industry 4.0 for SMEs from the European Union's Horizon 2020 research and innovation program under the Marie Sklodowska-Curie grant agreement No 734713. This research work was partially supported by National Research Council of Thailand and Excellence Center in Logistics &amp; Supply Chain Management, Chiang Mai University, Thailand.</t>
  </si>
  <si>
    <t>2352-4847</t>
  </si>
  <si>
    <t>ENERGY REP</t>
  </si>
  <si>
    <t>Energy Rep.</t>
  </si>
  <si>
    <t>10.1016/j.egyr.2020.11.040</t>
  </si>
  <si>
    <t>PN3OP</t>
  </si>
  <si>
    <t>WOS:000604392100177</t>
  </si>
  <si>
    <t>Aloui, A; Hamani, N; Delahoche, L</t>
  </si>
  <si>
    <t>Aloui, Aymen; Hamani, Nadia; Delahoche, Laurent</t>
  </si>
  <si>
    <t>An integrated optimization approach using a collaborative strategy for sustainable cities freight transportation: A Case study</t>
  </si>
  <si>
    <t>Collaborative city logistics; Integrated planning; Sustainable freight transport; Mixed-Integer linear programming; Heuristic; Collaborative inventory-location-routing problem</t>
  </si>
  <si>
    <t>INVENTORY-ROUTING PROBLEM; SUPPLY CHAIN NETWORK; HEURISTIC METHOD; LOCATION; COOPERATION; ALGORITHM; ALLOCATION; LOGISTICS; ISSUES</t>
  </si>
  <si>
    <t>In recent years, the increasing freight transportation activities has caused extensive economic, environmental and social impacts on society. Therefore, it becomes necessary for logistics companies to find high-performance strategies to enhance their sustainability. Collaboration between companies appears as one of the promising solution that improves the freight transport efficiency of modern cities. Existing studies on collaborative trans-port did not sufficiently account for sustainability aspects and they mainly discuss the independent planning of decision-making problems with economic objectives. However, collaboration an integrated decision-making process can significantly ameliorate the effectiveness of urban transportation systems. This study addresses the issue of sustainable freight transportation planning by formulating and solving a collaborative and integrated two-echelon inventory, location and routing problem (2E-CILRP). The 2E-CILRP is formulated as a multi-objective integer programming model that minimizes logistics costs, CO2 emissions and accident rate. A hybrid heuristic based on machine learning is also introduced to solve the studied problem. The proposed approach combines k-means clustering and genetic algorithms. Comparison of the obtained results with those provided with exact method reveals that the developed approach is more efficient and more practical for designing integrated and collaborative networks with large-sized data. A case study of four agri-food SMEs in France is investigated in order to demonstrate the sustainable benefits of the developed optimization approach. The obtained results suggest that the developed approach can significantly reduce the level of CO2 emissions, logistics costs and accident rate caused by transportation in cities.</t>
  </si>
  <si>
    <t>[Aloui, Aymen; Hamani, Nadia; Delahoche, Laurent] Univ Picardie Jules Verne, Lab Innovat Technol LTI, EA 3899, F-80025 Amiens, France</t>
  </si>
  <si>
    <t>Picardie Universites; Universite de Picardie Jules Verne (UPJV)</t>
  </si>
  <si>
    <t>Aloui, A (corresponding author), Univ Picardie Jules Verne, Lab Innovat Technol LTI, EA 3899, F-80025 Amiens, France.</t>
  </si>
  <si>
    <t>aymen.aloui.ensit@gmail.com</t>
  </si>
  <si>
    <t>Hamani, Nadia/AAR-9749-2020</t>
  </si>
  <si>
    <t>Hamani, Nadia/0000-0001-6151-2585; AYMEN, ALOUI/0000-0003-1174-7110</t>
  </si>
  <si>
    <t>10.1016/j.scs.2021.103331</t>
  </si>
  <si>
    <t>XG5XP</t>
  </si>
  <si>
    <t>WOS:000724826000007</t>
  </si>
  <si>
    <t>Lo, SC; Chuang, YL</t>
  </si>
  <si>
    <t>Lo, Shih-Che; Chuang, Ying-Lin</t>
  </si>
  <si>
    <t>Vehicle Routing Optimization with Cross-Docking Based on an Artificial Immune System in Logistics Management</t>
  </si>
  <si>
    <t>logistics management; artificial immune systems; vehicle routing problem; cross-docking</t>
  </si>
  <si>
    <t>Background: Manufacturing companies optimize logistics network routing to reduce transportation costs and operational costs in order to make profits in an extremely competitive environment. Therefore, the efficiency of logistics management in the supply chain and the quick response to customers' demands are treated as an additional source of profit. One of the warehouse operations for intelligent logistics network design, called cross-docking (CD) operations, is used to reduce inventory levels and improve responsiveness to meet customers' requirements. Accordingly, the optimization of a vehicle dispatch schedule is imperative in order to produce a routing plan with the minimum transport cost while meeting demand allocation. Methods: This paper developed a two-phase algorithm, called sAIS, to solve the vehicle routing problem (VRP) with the CD facilities and systems in the logistics operations. The sAIS algorithm is based on a clustering-first and routing-later approach. The sweep method is used to cluster trucks as the initial solution for the second phase: optimizing routing by the Artificial Immune System. Results: In order to examine the performance of the proposed sAIS approach, we compared the proposed model with the Genetic Algorithm (GA) on the VRP with pickup and delivery benchmark problems, showing average improvements of 7.26%. Conclusions: In this study, we proposed a novel sAIS algorithm for solving VRP with CD problems by simulating human body immune reactions. The experimental results showed that the proposed sAIS algorithm is robustly competitive with the GA on the criterion of average solution quality as measured by the two-sample t-test.</t>
  </si>
  <si>
    <t>[Lo, Shih-Che; Chuang, Ying-Lin] Natl Taiwan Univ Sci &amp; Technol, Dept Ind Management, Taipei 106335, Taiwan</t>
  </si>
  <si>
    <t>National Taiwan University of Science &amp; Technology</t>
  </si>
  <si>
    <t>Lo, SC (corresponding author), Natl Taiwan Univ Sci &amp; Technol, Dept Ind Management, Taipei 106335, Taiwan.</t>
  </si>
  <si>
    <t>sclo@mail.ntust.edu.tw</t>
  </si>
  <si>
    <t>Lo, Shih-Che/AAT-1562-2021</t>
  </si>
  <si>
    <t>Lo, Shih-Che/0000-0002-4144-9934</t>
  </si>
  <si>
    <t>10.3390/math11040811</t>
  </si>
  <si>
    <t>9K3ME</t>
  </si>
  <si>
    <t>WOS:000940773800001</t>
  </si>
  <si>
    <t>Wang, Y; Zhang, SL; Assogba, K; Fan, JX; Xu, MZ; Wang, YH</t>
  </si>
  <si>
    <t>Wang, Yong; Zhang, Shuanglu; Assogba, Kevin; Fan, Jianxin; Xu, Maozeng; Wang, Yinhai</t>
  </si>
  <si>
    <t>Economic and environmental evaluations in the two-echelon collaborative multiple centers vehicle routing optimization</t>
  </si>
  <si>
    <t>Collaboration mechanism; Two-echelon vehicle routing optimization; Economic and environmental assessment; Profit distribution</t>
  </si>
  <si>
    <t>LARGE NEIGHBORHOOD SEARCH; SUPPLY CHAIN NETWORK; PROFIT-DISTRIBUTION; GENETIC ALGORITHM; COST ALLOCATION; GAME-THEORY; PICKUP</t>
  </si>
  <si>
    <t>The two-echelon collaborative multiple centers vehicle routing problem (2E-CMCVRP) integrates collaboration mechanism and the vehicle routing problem. Combining k-means clustering algorithm and an improved Non-dominated Sorting Genetic Algorithm-II (Im-NSGA-II), this paper proposes a three-phase approach to simultaneously minimize the aggregate operating cost and reduce carbon dioxide emission. To ensure the initial population's quality, the sweep algorithm is integrated as modification of the standard NSGA-II. The chromosome population consists of multiple depots and corresponding customer nodes independently assessed to find local solutions, and latterly combined to yield suboptimal routes. The nodes scan principle of the sweep algorithm is employed to enforce optimization constraints, and the non-dominated sorting of the population efficiently improves the solution search accuracy. Further, the Minimum Cost-Remaining Savings (MCRS) method is used to determine appropriate profit distribution schemes, and the selection of the optimal sequential coalition is executed on the basis of the strictly monotonic path principle. Computational comparisons on benchmark instances indicate the superiority of Im-NSGA-11 over NSGA-ll and MOGA, and an empirical study in Chongqing, China confirms the practicability of our solution approach. The evaluation of MCRS solution's stability displays out performance over other methods including the Shapley value model, CGA and GQP, and suitable coalition sequences are selected and assessed to improve the efficiency of logistics network optimization as well as the achievement of environment-friendly objectives. (C) 2018 Elsevier Ltd. All rights reserved.</t>
  </si>
  <si>
    <t>[Wang, Yong; Zhang, Shuanglu; Xu, Maozeng] Chongqing Jiaotong Univ, Sch Econ &amp; Management, Chongqing 400074, Peoples R China; [Wang, Yong] Univ Elect Sci &amp; Technol, Sch Management &amp; Econ, Chengdu 610054, Sichuan, Peoples R China; [Assogba, Kevin] Oregon State Univ, Sch Civil &amp; Construct Engn, Corvallis, OR 97330 USA; [Fan, Jianxin] Chongqing Jiaotong Univ, Sch River &amp; Ocean Engn, Chongqing 400074, Peoples R China; [Wang, Yinhai] Univ Washington, Dept Civil &amp; Environm Engn, Seattle, WA 98195 USA; [Wang, Yinhai] Tongji Univ, Coll Transportat Engn, Transportat Data Sci Res Ctr, Shanghai 201804, Peoples R China</t>
  </si>
  <si>
    <t>Chongqing Jiaotong University; University of Electronic Science &amp; Technology of China; Oregon State University; Chongqing Jiaotong University; University of Washington; University of Washington Seattle; Tongji University</t>
  </si>
  <si>
    <t>Wang, Y (corresponding author), Chongqing Jiaotong Univ, Sch Econ &amp; Management, Chongqing 400074, Peoples R China.;Assogba, K (corresponding author), Oregon State Univ, Sch Civil &amp; Construct Engn, Corvallis, OR 97330 USA.;Fan, JX (corresponding author), Chongqing Jiaotong Univ, Sch River &amp; Ocean Engn, Chongqing 400074, Peoples R China.</t>
  </si>
  <si>
    <t>yongwx6@gmail.com; shuangluzh6@163.com; kevinassogba@gmail.com; jxfanw@gmail.com; xmzzrxhy@cqjtu.edu.cn; yinhai@uw.edu</t>
  </si>
  <si>
    <t>Wang, Yong/IQV-5647-2023; Assogba, Kevin/M-9366-2018</t>
  </si>
  <si>
    <t>Assogba, Kevin/0000-0002-0377-4576; XU, Maozeng/0000-0003-2231-4222</t>
  </si>
  <si>
    <t>National Natural Science Foundation of China [71402011, 41401255, 71471024, 71432003]; China Postdoctoral Science Foundation [2017T100692, 2016M600735]; National Social Science Foundation of Chongqing of China [2017YBGL133]; Natural Science Foundation of Chongqing of China [cstc2015jcyjA30012]; Postdoctoral Science Foundation of Sichuan Province, China [2017-22]; key project of human social science of Chongqing Municipal Education Commission [17SKG067, 16SKGH067]; Fundamental Research Funds for Central Universities [YWF-17-BJ-Y-04]</t>
  </si>
  <si>
    <t>National Natural Science Foundation of China(National Natural Science Foundation of China (NSFC)); China Postdoctoral Science Foundation(China Postdoctoral Science Foundation); National Social Science Foundation of Chongqing of China; Natural Science Foundation of Chongqing of China(Natural Science Foundation of Chongqing); Postdoctoral Science Foundation of Sichuan Province, China; key project of human social science of Chongqing Municipal Education Commission; Fundamental Research Funds for Central Universities(Fundamental Research Funds for the Central Universities)</t>
  </si>
  <si>
    <t>The authors sincerely thank the editors and anonymous reviewers for their valuable and constructive comments and suggestions to improve the article's quality. In addition, this research is supported by National Natural Science Foundation of China (Project No. 71402011, 41401255, 71471024, 71432003), China Postdoctoral Science Foundation (Project No. 2017T100692 and 2016M600735), National Social Science Foundation of Chongqing of China (No. 2017YBGL133), Natural Science Foundation of Chongqing of China (No. cstc2015jcyjA30012), Postdoctoral Science Foundation of Sichuan Province, China (2017-22), and this research is partly supported by the key project of human social science of Chongqing Municipal Education Commission (17SKG067, 16SKGH067). The research is also partly supported by the Fundamental Research Funds for Central Universities (YWF-17-BJ-Y-04).</t>
  </si>
  <si>
    <t>10.1016/j.jclepro.2018.06.208</t>
  </si>
  <si>
    <t>GQ8JA</t>
  </si>
  <si>
    <t>WOS:000441998400042</t>
  </si>
  <si>
    <t>Sajdakowska, M; Królak, M; Zychowicz, W; Jezewska-Zychowicz, M</t>
  </si>
  <si>
    <t>Sajdakowska, Marta; Krolak, Maria; Zychowicz, Witold; Jezewska-Zychowicz, Marzena</t>
  </si>
  <si>
    <t>Acceptance of Food Technologies, Perceived Values and Consumers' Expectations towards Bread. A Survey among Polish Sample</t>
  </si>
  <si>
    <t>technologies; acceptance; cereals; bread; consumers; Poland</t>
  </si>
  <si>
    <t>WILLINGNESS-TO-PAY; SUSTAINABLE CONSUMPTION; EUROPEAN CONSUMERS; FIBER INFORMATION; FUNCTIONAL FOODS; CEREAL PRODUCTS; GRAIN PRODUCTS; SUPPLY CHAIN; FREE-RANGE; HEALTH</t>
  </si>
  <si>
    <t>The aims of the study were to identify the perceptions about the technologies that are used to increase the nutritional value of cereal products, and to evaluate relations between consumers' perceptions of them, expected changes to bread, and the perceived values. Quantitative data was collected through computer-assisted personal interviews (CAPI) within a sample of 1000 Polish adults. Clustering method was used to identify homogeneous groups based on opinions on the technologies used in the production of cereals and cereal products. Neutral attitudes towards technologies were presented in the sample with relatively greater acceptance of traditional crossbreeding of varieties and enrichment processes. Nevertheless, three homogeneous clusters were identified: technological sceptics (33.6%), technological traditionalists (15.0%) and technological enthusiasts (51.4%). Technological traditionalists appreciated the naturalness of food, tradition, natural environment, quality of life and health more than the other clusters. Perceiving themselves as a person valuing tradition and quality of life was associated with belonging to the technological sceptics. Both sceptics and traditionalists declared greater fears resulting from the application of new technologies in food production, including threats to the environment, health, naturalness of food and quality of life. Technological enthusiasts were anticipating more changes in bread. The differences among the clusters, including perceived values, require communication that is adapted to the profile of the consumers. The results can be useful for bread manufacturers to predict the demand and deliver against it and for marketers who are responsible for the process of effective product labelling and communication in order to meet the consumer needs.</t>
  </si>
  <si>
    <t>[Sajdakowska, Marta; Krolak, Maria; Jezewska-Zychowicz, Marzena] WULS, SGGW, Fac Human Nutr &amp; Consumer Sci, Dept Org &amp; Consumpt Econ, 159 C Nowoursynowska St, PL-02766 Warsaw, Poland; [Zychowicz, Witold] WULS, SGGW, Fac Prod Engn, Dept Agr &amp; Forest Machinery, 166 Nowoursynowska St, PL-02787 Warsaw, Poland</t>
  </si>
  <si>
    <t>Warsaw University of Life Sciences; Warsaw University of Life Sciences</t>
  </si>
  <si>
    <t>Jezewska-Zychowicz, M (corresponding author), WULS, SGGW, Fac Human Nutr &amp; Consumer Sci, Dept Org &amp; Consumpt Econ, 159 C Nowoursynowska St, PL-02766 Warsaw, Poland.</t>
  </si>
  <si>
    <t>marta_sajdakowska@sggw.pl; maria.krolak@gmail.com; witold_zychowicz@sggw.pl; marzena_jezewska_zychowicz@sggw.pl</t>
  </si>
  <si>
    <t>Sajdakowska, Marta/O-7556-2018; Królak, Maria/AAJ-2809-2020; Marzena, Jezewska-Zychowicz/E-8439-2019</t>
  </si>
  <si>
    <t>Sajdakowska, Marta/0000-0001-9635-5719; Królak, Maria/0000-0002-7222-4770; Marzena, Jezewska-Zychowicz/0000-0002-4140-4824; Zychowicz, Witold/0000-0001-7877-7096</t>
  </si>
  <si>
    <t>European Regional Development Fund under the Innovative Economy Operational Programme [POIG.01.03.01-14-041/12]</t>
  </si>
  <si>
    <t>European Regional Development Fund under the Innovative Economy Operational Programme</t>
  </si>
  <si>
    <t>This survey was performed within the Project No POIG.01.03.01-14-041/12 'Bioproducts, innovative technologies of pro-health bakery products and pasta with reduced caloric value' co-financed by the European Regional Development Fund under the Innovative Economy Operational Programme 2007-2013.</t>
  </si>
  <si>
    <t>10.3390/su10041281</t>
  </si>
  <si>
    <t>GJ3IY</t>
  </si>
  <si>
    <t>WOS:000435188000385</t>
  </si>
  <si>
    <t>Ding, K; Lei, JY; Zhang, FQ; Wang, Y; Wang, C</t>
  </si>
  <si>
    <t>Ding, Kai; Lei, Jingyuan; Zhang, Fuqiang; Wang, Yan; Wang, Chuang</t>
  </si>
  <si>
    <t>Analyzing the cyber-physical system-based autonomous collaborations among smart manufacturing resources in a smart shop floor</t>
  </si>
  <si>
    <t>Smart manufacturing; cyber-physical system; autonomous collaboration network; smart shop floor; complex network</t>
  </si>
  <si>
    <t>NETWORK; FRAMEWORK</t>
  </si>
  <si>
    <t>Industry 4.0 focuses on the realization of smart manufacturing from shop floors to factories and to the whole supply chain. As a key technology of smart manufacturing, cyber-physical system has been widely discussed in the aspects of system design, data collection and processing, and cyber-physical synchronization. In a smart shop floor, manufacturing resources with intelligence and autonomy are abstracted as cyber-physical system units. They can communicate with each other autonomously to make optimal production decisions according to the real-time status of the shop floor. In this article, an autonomous collaboration network comprised of cyber-physical system-based smart manufacturing resources is modeled by using complex network theory. The collaboration activities among them are further analyzed, from which the information of key cyber-physical system units and key collaboration relationships are excavated. A demonstrative case is studied to verify the feasibility of the proposed model. From the case, it can be seen that (1) autonomous collaboration network has a small-world feature; (2) cyber-physical system units with bigger degrees and the collaborative relationships with bigger tightness are more important; (3) the workload of cyber-physical system units needs to be balanced because some cyber-physical system units have exceeded their capacities; and (4) cyber-physical system units with larger collaboration clustering coefficients will attract other nodes to form communities centered by them. Based on these results, the autonomous production control and management of smart shop floor will become more accurate, efficient, and balanced.</t>
  </si>
  <si>
    <t>[Ding, Kai; Lei, Jingyuan; Zhang, Fuqiang] Changan Univ, Key Lab Rd Construct Technol &amp; Equipment MOE, Xian 710064, Shaanxi, Peoples R China; [Wang, Yan] Xian Univ Sci &amp; Technol, Sch Mech Engn, Xian, Shaanxi, Peoples R China; [Wang, Chuang] Xian Univ Posts &amp; Telecommun, Inst Internet Things &amp; IT Based Ind, Xian, Shaanxi, Peoples R China</t>
  </si>
  <si>
    <t>Chang'an University; Xi'an University of Science &amp; Technology; Xi'an University of Posts &amp; Telecommunications</t>
  </si>
  <si>
    <t>Zhang, FQ (corresponding author), Changan Univ, Key Lab Rd Construct Technol &amp; Equipment MOE, Xian 710064, Shaanxi, Peoples R China.</t>
  </si>
  <si>
    <t>fqzhang@chd.edu.cn</t>
  </si>
  <si>
    <t>Zhang, Fuqiang/0000-0001-6161-5402</t>
  </si>
  <si>
    <t>National Natural Science Foundation of China [51705030, 51605041]; Natural Science Foundation of Shaanxi Province [2019JQ-140, 2019JQ-101, 2019JM-099]; Young Talent Support Program of Shaanxi Universities [20180410]; Major Science and Technology Project of Shaanxi Province [2018zdzx01-01-01]; Science and Technology Planning Project of Guangdong Province of China [2019A050503010, 2019B090916002]</t>
  </si>
  <si>
    <t>National Natural Science Foundation of China(National Natural Science Foundation of China (NSFC)); Natural Science Foundation of Shaanxi Province(Natural Science Foundation of Shaanxi Province); Young Talent Support Program of Shaanxi Universities; Major Science and Technology Project of Shaanxi Province; Science and Technology Planning Project of Guangdong Province of China</t>
  </si>
  <si>
    <t>The author(s) disclosed receipt of the following financial support for the research, authorship, and/or publication of this article: This research was funded by the National Natural Science Foundation of China (Nos. 51705030 and 51605041), Natural Science Foundation of Shaanxi Province (Nos. 2019JQ-140, 2019JQ-101, 2019JM-099), Young Talent Support Program of Shaanxi Universities (No. 20180410), Major Science and Technology Project of Shaanxi Province (No. 2018zdzx01-01-01), and Science and Technology Planning Project of Guangdong Province of China (Nos. 2019A050503010, 2019B090916002).</t>
  </si>
  <si>
    <t>10.1177/0954405419875340</t>
  </si>
  <si>
    <t>KK5ZM</t>
  </si>
  <si>
    <t>WOS:000491707500001</t>
  </si>
  <si>
    <t>Wang, YM; Yin, HL</t>
  </si>
  <si>
    <t>Wang, Yong Ming; Yin, Hong Li</t>
  </si>
  <si>
    <t>Cost-Optimization Problem with a Soft Time Window Based on an Improved Fuzzy Genetic Algorithm for Fresh Food Distribution</t>
  </si>
  <si>
    <t>SUPPLY CHAIN; INTEGRATED PRODUCTION; QUALITY; MANAGEMENT; MODEL; SAFETY</t>
  </si>
  <si>
    <t>Given the increasing demand for fresh food quality, fresh food plants must manage not only product cost but more importantly the product quality. The transportation requirements for fresh food delivery have been continuously increasing. The purpose of this paper is to develop a method to ensure that fresh food can be delivered just in time and with minimum total cost while maintaining the quality of fresh food. Considering that fresh food plants need multiple trucks to deliver multiple products to numerous geographically dispersed customers, the delivery of fresh food is considered in two stages in our study. The first stage is cluster consumers; that is, we determine to which consumers each truck is responsible for delivery. The second stage, which is based on the consumer grouping results, develops a total cost model that includes the transportation, refrigerated, devalued, and penalty costs incurred during distribution. This model is used to determine the optimal route selection, the temperature control, and the average speed of each truck in distribution. This paper designs decision variables based on a customer's seven requirement attributes; it also proposes a fuzzy clustering method for grouping customers and improves a fuzzy genetic algorithm that is used to solve the proposed total cost model. The application of the proposed method is demonstrated using an example. The experimental results show that the proposed method has better performance than that of a traditional genetic algorithm. This research work provides an optimal distribution total cost decision method for the logistics managers. This research also provides an effective means to ensure the safety of fresh food.</t>
  </si>
  <si>
    <t>[Wang, Yong Ming] Kunming Univ Sci &amp; Technol, Fac Management &amp; Econ, Kunming 650093, Yunnan, Peoples R China; [Yin, Hong Li] Yunnan Normal Univ, Sch Comp Sci &amp; Informat Technol, Kunming 650500, Yunnan, Peoples R China</t>
  </si>
  <si>
    <t>Kunming University of Science &amp; Technology; Yunnan Normal University</t>
  </si>
  <si>
    <t>Yin, HL (corresponding author), Yunnan Normal Univ, Sch Comp Sci &amp; Informat Technol, Kunming 650500, Yunnan, Peoples R China.</t>
  </si>
  <si>
    <t>hongli_yin@163.com</t>
  </si>
  <si>
    <t>Yin, Hong/AAC-5784-2020; WANG, Yong Ming/H-2259-2012</t>
  </si>
  <si>
    <t>National Natural Science Foundation of China [71640028, 71362030, 71262029]; Natural Science Foundation of Yunnan [2013FZ048]</t>
  </si>
  <si>
    <t>National Natural Science Foundation of China(National Natural Science Foundation of China (NSFC)); Natural Science Foundation of Yunnan(Natural Science Foundation of Yunnan Province)</t>
  </si>
  <si>
    <t>The work is supported by National Natural Science Foundation of China (no. 71640028, no. 71362030, and no. 71262029) and Natural Science Foundation of Yunnan (no. 2013FZ048).</t>
  </si>
  <si>
    <t>10.1155/2018/5743287</t>
  </si>
  <si>
    <t>GS4HY</t>
  </si>
  <si>
    <t>WOS:000443603400001</t>
  </si>
  <si>
    <t>Raza, SA; Govindaluri, SM</t>
  </si>
  <si>
    <t>Raza, Syed Asif; Govindaluri, Srikrishna Madhumohan</t>
  </si>
  <si>
    <t>Omni-channel retailing in supply chains: a systematic literature review</t>
  </si>
  <si>
    <t>Omni-channel (OC); Multi-channel (MC); Supply chain; Systematic literature review; Bibliometrics; Network analysis; Content analysis</t>
  </si>
  <si>
    <t>Purpose The purpose of this paper is to conduct a structured literature review using advanced bibliometric tools to understand the existing knowledge base, understand the trends in omni-channel (OC) research and identify emerging research topics. Design/methodology/approach More than 500 articles selected through a keyword combination search from reputed databases of peer-reviewed academic sources from period 2009-19 are analyzed for the purposes of this study. The study first presents an exploratory analysis to determine influential authors, sources and regions, among other key aspects. Second, several network analyses including co-citation and dynamic co-citation network analyses are conducted to identify themes. These allow identifying research clusters and emerging research topics algorithmically. Both centrality and modularity-based clustering are employed. A content analysis of the most influential groups within OC literature for each cluster is included. Findings The findings of this paper make unique contributions by using advanced tools from network analysis along with the standard bibliometric analysis tools to explore the current status of OC research, identify existing themes and the guidance for potential areas of future research interest in OC. Practical implications This research provides a comprehensive view of the range of topics of importance that have been discussed in the literature of OC management. These research trends can serve as a quick guide to researchers and practitioners to improve decision making and also develop strategies. Originality/value The paper employs advanced tools for the first time to review the literature of OC retailing. The sophisticated tools include co-citation and dynamic co-citation network analysis.</t>
  </si>
  <si>
    <t>[Raza, Syed Asif; Govindaluri, Srikrishna Madhumohan] Sultan Qaboos Univ, Dept Operat Management &amp; Business Stat, Muscat, Oman</t>
  </si>
  <si>
    <t>10.1108/BIJ-10-2020-0547</t>
  </si>
  <si>
    <t>WQ9CP</t>
  </si>
  <si>
    <t>WOS:000623201100001</t>
  </si>
  <si>
    <t>Islam, A; Hassini, S; El-Dakhakhni, W</t>
  </si>
  <si>
    <t>Islam, Arpita; Hassini, Sonia; El-Dakhakhni, Wael</t>
  </si>
  <si>
    <t>A systematic bibliometric review of optimization and resilience within low impact development stormwater management practices</t>
  </si>
  <si>
    <t>JOURNAL OF HYDROLOGY</t>
  </si>
  <si>
    <t>Low impact development; Optimization; Bibliometric analysis; Research cluster; Climate change; Resilience</t>
  </si>
  <si>
    <t>SUPPLY CHAIN FINANCE; LAND-USE CHANGE; GREEN INFRASTRUCTURE; WATER-QUALITY; URBAN RUNOFF; NUMERICAL-ANALYSIS; CLIMATE-CHANGE; LID-BMPS; SIMULATION; PERFORMANCE</t>
  </si>
  <si>
    <t>The implication of optimal low impact development (LID) implementations has been attracting researchers' attention, aiming to alleviate the detrimental impacts of urbanization and climate change and enhance resilience. The rapidly increasing number of publications on LID optimization over recent years makes it one of the leading-edge research areas in the field of urban stormwater management. This study aims to conduct a systematic bibliometric review of the optimization and resilience within LID stormwater management practices. LID related publications of 17 years (2004-2020, August) were retrieved from the Web of Science database and thoroughly analyzed. This review looks into the progression of current research themes, previous work outcomes, and key research gaps. Using a clustering tool, four main research clusters have been identified. Employing text mining, each cluster reflecting a research theme is identified based on the analysis of the top fifteen papers. The clusters themes are outlined as (1) optimizing LID type and size, (2) spatial layout optimization with parameter uncertainty and climate and land-use change impacts, (3) hydraulic LID parameter optimization and adoption of multi-criteria analysis and (4) experimental studies on bioretention for quantity and quality assessment. Subsequently, the cross-cutting research gaps are identified considering all articles. Climate change and resilience are identified as key hot topics from authors' keyword analysis, highlighting current research frontiers and laying out the directions for future research thrust in this critically important emerging research field.</t>
  </si>
  <si>
    <t>[Islam, Arpita; Hassini, Sonia] McMaster Univ, Dept Civil Engn, Hamilton, ON L8S 4L7, Canada; [El-Dakhakhni, Wael] McMaster Univ, INTERFACE Inst Multihazard Syst Risk Studies, Hamilton, ON L8S 4L7, Canada</t>
  </si>
  <si>
    <t>McMaster University; McMaster University</t>
  </si>
  <si>
    <t>Hassini, S (corresponding author), McMaster Univ, Dept Civil Engn, Hamilton, ON L8S 4L7, Canada.</t>
  </si>
  <si>
    <t>islama24@mcmaster.ca; hassins@mcmaster.ca; eldak@mcmaster.ca</t>
  </si>
  <si>
    <t>Hassini, Sonia/0000-0002-7232-9847</t>
  </si>
  <si>
    <t>INTERFACE Institute; INViSiONLab</t>
  </si>
  <si>
    <t>The authors are grateful to the INTERFACE Institute and the INViSiONLab for their support and the anonymous reviewers for their constructive feedback.</t>
  </si>
  <si>
    <t>0022-1694</t>
  </si>
  <si>
    <t>1879-2707</t>
  </si>
  <si>
    <t>J HYDROL</t>
  </si>
  <si>
    <t>J. Hydrol.</t>
  </si>
  <si>
    <t>10.1016/j.jhydrol.2021.126457</t>
  </si>
  <si>
    <t>Engineering, Civil; Geosciences, Multidisciplinary; Water Resources</t>
  </si>
  <si>
    <t>Engineering; Geology; Water Resources</t>
  </si>
  <si>
    <t>TJ4XI</t>
  </si>
  <si>
    <t>WOS:000673486000015</t>
  </si>
  <si>
    <t>Zhao, XL; Wu, XF; Guan, CH; Ma, R; Nielsen, CP; Zhang, B</t>
  </si>
  <si>
    <t>Zhao, Xueli; Wu, Xiaofang; Guan, ChengHe; Ma, Rong; Nielsen, Chris P.; Zhang, Bo</t>
  </si>
  <si>
    <t>Linking Agricultural GHG Emissions to Global Trade Network</t>
  </si>
  <si>
    <t>EARTHS FUTURE</t>
  </si>
  <si>
    <t>agricultural GHG emissions; multiregional input-output analysis; international trade; network analysis; globalized world economy</t>
  </si>
  <si>
    <t>GREENHOUSE-GAS EMISSIONS; INTERNATIONAL-TRADE; INDUSTRIAL SECTORS; CARBON FOOTPRINT; PRIMARY ENERGY; SUPPLY CHAIN; LAND-USE; CONSUMPTION; FLOWS; MITIGATION</t>
  </si>
  <si>
    <t>As part of the climate policy to meet the 2 degrees C target, actions in all economic sectors, including agriculture, are required to mitigate global greenhouse gas emissions. While there has been an ever-increasing focus on agricultural greenhouse gas (AGHG) emissions, limited attention has been paid to their economic drivers in the globalized world economy and related mitigation potentials. This paper makes a first attempt to trace AGHG emissions via global trade networks using a multiregional input-output model and a complex network model. Over one third of global AGHG emissions in 2012 can be linked with products traded internationally, of which intermediate trade and final trade contribute 64.2% and 35.8%, respectively. Japan, the United States, Germany, the United Kingdom, and Hong Kong are the world's five largest net importers of embodied emissions, while Ethiopia, Australia, Pakistan, India, and Argentina are the five largest net exporters. Some hunger-afflicted developing countries in Asia and Africa are important embodied emission exporters, due to their large-scale exports of agricultural products. Trade-related virtual AGHG emission transfers shape a highly heterogenous network, due to the coexistence of numerous peripheral economies and a few highly connected hub economies. The network clustering structure is revealed by the regional integration of several trading communities, while hub economies are collectors and distributors in the global trade network, with important implications for emission mitigation. Achieving AGHG emission reduction calls for a combination of supply- and demand-side policies covering the global trade network.</t>
  </si>
  <si>
    <t>[Zhao, Xueli; Zhang, Bo] China Univ Min &amp; Technol Beijing, Sch Management, Beijing, Peoples R China; [Wu, Xiaofang] Zhongnan Univ Econ &amp; Law, Econ Sch, Wuhan, Peoples R China; [Guan, ChengHe] New York Univ Shanghai, Shanghai, Peoples R China; [Guan, ChengHe; Nielsen, Chris P.; Zhang, Bo] Harvard Univ, Harvard China Project, Sch Engn &amp; Appl Sci, Cambridge, MA 02138 USA; [Ma, Rong] Beihang Univ, Sch Econ &amp; Management, Beijing, Peoples R China</t>
  </si>
  <si>
    <t>China University of Mining &amp; Technology; Zhongnan University of Economics &amp; Law; NYU Shanghai; Harvard University; Beihang University</t>
  </si>
  <si>
    <t>Zhang, B (corresponding author), China Univ Min &amp; Technol Beijing, Sch Management, Beijing, Peoples R China.;Zhang, B (corresponding author), Harvard Univ, Harvard China Project, Sch Engn &amp; Appl Sci, Cambridge, MA 02138 USA.;Ma, R (corresponding author), Beihang Univ, Sch Econ &amp; Management, Beijing, Peoples R China.</t>
  </si>
  <si>
    <t>rong.ma.08@gmail.com; zhangbo@cumtb.edu.cn</t>
  </si>
  <si>
    <t>Guan, ChengHe/AAM-9581-2020; Wu, Xiaofang/O-7253-2014</t>
  </si>
  <si>
    <t>Guan, ChengHe/0000-0002-5997-418X; zhang, bo/0000-0002-5783-6138</t>
  </si>
  <si>
    <t>National Natural Science Foundation of China [71774161, 71804194]; Yue Qi Young Scholar Project, China University of Mining and Technology (Beijing)</t>
  </si>
  <si>
    <t>National Natural Science Foundation of China(National Natural Science Foundation of China (NSFC)); Yue Qi Young Scholar Project, China University of Mining and Technology (Beijing)</t>
  </si>
  <si>
    <t>See Tables S1-S8 and Figures S1-S5 in the supporting information associated with this article. All the AGHG emission data can be available from the FAOSTAT Emissions Database (at http://faostat.fao.org/).This study has been supported by the National Natural Science Foundation of China (Grant 71774161 and 71804194) and the Yue Qi Young Scholar Project, China University of Mining and Technology (Beijing). Very helpful comments by the anonymous reviewers and the editor are highly appreciated.</t>
  </si>
  <si>
    <t>AMER GEOPHYSICAL UNION</t>
  </si>
  <si>
    <t>2000 FLORIDA AVE NW, WASHINGTON, DC 20009 USA</t>
  </si>
  <si>
    <t>2328-4277</t>
  </si>
  <si>
    <t>Earth Future</t>
  </si>
  <si>
    <t>UNSP e2019EF001361</t>
  </si>
  <si>
    <t>10.1029/2019EF001361</t>
  </si>
  <si>
    <t>Environmental Sciences; Geosciences, Multidisciplinary; Meteorology &amp; Atmospheric Sciences</t>
  </si>
  <si>
    <t>Environmental Sciences &amp; Ecology; Geology; Meteorology &amp; Atmospheric Sciences</t>
  </si>
  <si>
    <t>KX9OS</t>
  </si>
  <si>
    <t>WOS:000522205300004</t>
  </si>
  <si>
    <t>Amrutha, VN; Geetha, SN</t>
  </si>
  <si>
    <t>Amrutha, V. N.; Geetha, S. N.</t>
  </si>
  <si>
    <t>A systematic review on green human resource management: Implications for social sustainability</t>
  </si>
  <si>
    <t>Green human resource management practices; Employee green behaviour at workplace; Organisational sustainability; Sustainable human resource management; Social sustainability; Content analysis</t>
  </si>
  <si>
    <t>SUPPLY CHAIN MANAGEMENT; ENVIRONMENTAL-MANAGEMENT; CORPORATE SUSTAINABILITY; FINANCIAL PERFORMANCE; MEDIATING ROLE; HR PRACTICES; HEALTH-CARE; EMPLOYEES; RESPONSIBILITY; BEHAVIORS</t>
  </si>
  <si>
    <t>This article identifies current progressions and research gaps in Green Human Resource Management literature and investigates the future of green practices in meeting the social sustainability requirements of an organisation. Considering the growing awareness on greening and sustainability, a systematic review of the domain specific literature was carried out using the Scopus and Google Scholar databases which resulted in a set of 174 scientific articles between 1995 and 2019. NVivo Plus software version 12 was used for quantitative processing as well as qualitative analysis of data. Content coding and cluster analysis were performed, the results of which exhibited three clusters namely, green human resource management practices, employee green behaviour at workplace and organisational sustainability. Further manual analysis revealed social sustainability to be the least explored area than economic and environmental pillars of sustainability. From this, the authors conceptually explored a theoretical model suggesting the mediational role of 'employee green behaviour at workplace' in the relationship between 'green human resource management practices' and 'social sustainability' of organisations using grounded theory approach. Therefore, prioritising social equity, health, wellness and well-being, this work examines the state-of-the-art in green human resource management research to unravel the enormous potential of core green practices envisioning social sustainability, which has not been established till date. Based on the content coding, clustering, and further analysis, propositions, future paths and implications are also presented. (C) 2019 Elsevier Ltd. All rights reserved.</t>
  </si>
  <si>
    <t>[Amrutha, V. N.; Geetha, S. N.] Anna Univ, Dept Management Studies, Sardar Patel Rd, Chennai 600025, Tamil Nadu, India</t>
  </si>
  <si>
    <t>Anna University; Anna University Chennai</t>
  </si>
  <si>
    <t>Amrutha, VN (corresponding author), Anna Univ, Dept Management Studies, Sardar Patel Rd, Chennai 600025, Tamil Nadu, India.</t>
  </si>
  <si>
    <t>amrutha.imk@gmail.com</t>
  </si>
  <si>
    <t>S N, GEETHA/AHI-6282-2022; S N, GEETHA/AHE-19076-2022</t>
  </si>
  <si>
    <t>Kannan, Geetha/0000-0002-2526-557X</t>
  </si>
  <si>
    <t>Centre for Research, Anna University, Chennai, India</t>
  </si>
  <si>
    <t>The authors would like to thank the Centre for Research, Anna University, Chennai, India for the financial support.</t>
  </si>
  <si>
    <t>10.1016/j.jclepro.2019.119131</t>
  </si>
  <si>
    <t>KA3KC</t>
  </si>
  <si>
    <t>WOS:000505696700049</t>
  </si>
  <si>
    <t>Foti, VT; Timpanaro, G</t>
  </si>
  <si>
    <t>Foti, Vera Teresa; Timpanaro, Giuseppe</t>
  </si>
  <si>
    <t>Relationships, sustainability and agri-food purchasing behaviour in farmer markets in Italy</t>
  </si>
  <si>
    <t>Alternative food networks; Social network analysis; Consumer; Health food; Green innovation in production and distribution</t>
  </si>
  <si>
    <t>NETWORK ANALYSIS; SYSTEMS; CONSUMPTION</t>
  </si>
  <si>
    <t>Purpose The study aims to demonstrate that farmers' markets can represent a model of environmental, social and governance reference for modern agri-food systems facing the challenge of post COVID-19 pandemic reconstruction, responding to consumer expectations in terms of health, safety and wholesomeness of agri-food products. Design/methodology/approach A sample of consumers was surveyed in farmers' markets and social network analysis (SNA) was adopted as a methodological approach to reconstruct the links between the worlds of production and consumption and to derive the relative importance attributed to various factors that promote relational structures. Findings The work demonstrates the importance of sustainability - as a productive and behavioural model of firms - for the construction of efficient and durable relationship systems in two farmer markets in Sicily. In particular, four fundamental components emerge in the construction of networks represented by consumer sensitivity to sustainability processes, the individual behavioural model of purchasing and consumption, the expectation of political direction and the level and factors of knowledge of the firm. The clustering elements of the relationships were found to be the territory and local products, the environmentalist attitude and the protection of resources, as well as the adoption of a rational waste disposal policy, the fight against food waste, the encouragement of healthier and more sustainable consumption styles, clear and transparent communication and the activation of sustainable supply chain processes in line with the Sustainable Development Goals (SDGs). Originality/value The paper aims to demonstrate how alternative food systems can become a useful model for large enterprises, which are committed to rebuilding their business strategy to overcome the current crisis.</t>
  </si>
  <si>
    <t>[Foti, Vera Teresa; Timpanaro, Giuseppe] Univ Catania, Dept Agr Food &amp; Environm Di3A, Catania, Italy</t>
  </si>
  <si>
    <t>University of Catania</t>
  </si>
  <si>
    <t>Foti, VT (corresponding author), Univ Catania, Dept Agr Food &amp; Environm Di3A, Catania, Italy.</t>
  </si>
  <si>
    <t>v.foti@unict.it</t>
  </si>
  <si>
    <t>Timpanaro, Giuseppe/AFM-4791-2022</t>
  </si>
  <si>
    <t>Timpanaro, Giuseppe/0000-0002-0119-2644</t>
  </si>
  <si>
    <t>University of Catania [5A722192154]</t>
  </si>
  <si>
    <t>This work was supported by the PIAno di inCEntivi per la Ricerca di Ateneo (PIACERI) UNICT 2020/22 line 2, project Sostenibilita economica, ambientale e sociale del sistema agroalimentare del mediterraneo, University of Catania (5A722192154). Principal investigator Prof. Claudio Bellia.</t>
  </si>
  <si>
    <t>10.1108/BFJ-04-2021-0358</t>
  </si>
  <si>
    <t>WM0LN</t>
  </si>
  <si>
    <t>WOS:000710786900001</t>
  </si>
  <si>
    <t>Ryan, KR; Huang, MC; Ferguson, SS; Waidyanatha, S; Ramaiahgari, S; Rice, JR; Dunlap, PE; Auerbach, SS; Mutlu, E; Cristy, T; Peirfelice, J; DeVito, MJ; Smith-Roe, SL; Rider, CV</t>
  </si>
  <si>
    <t>Ryan, Kristen R.; Huang, Madelyn C.; Ferguson, Stephen S.; Waidyanatha, Suramya; Ramaiahgari, Sreenivasa; Rice, Julie R.; Dunlap, Paul E.; Auerbach, Scott S.; Mutlu, Esra; Cristy, Tim; Peirfelice, Jessica; DeVito, Michael J.; Smith-Roe, Stephanie L.; Rider, Cynthia, V</t>
  </si>
  <si>
    <t>Evaluating Sufficient Similarity of Botanical Dietary Supplements: Combining Chemical and In Vitro Biological Data</t>
  </si>
  <si>
    <t>TOXICOLOGICAL SCIENCES</t>
  </si>
  <si>
    <t>sufficient similarity; complex mixtures; herbal supplements; black cohosh; Echinacea purpurea</t>
  </si>
  <si>
    <t>CIMICIFUGA-RACEMOSA; ECHINACEA-PURPUREA; GINKGO-BILOBA; COHOSH; EXTRACT; LIVER; AUTHENTICATION; IDENTIFICATION; MECHANISMS; INDUCTION</t>
  </si>
  <si>
    <t>Botanical dietary supplements are complex mixtures with numerous potential sources of variation along the supply chain from raw plant material to the market. Approaches for determining sufficient similarity (ie, complex mixture read-across) may be required to extrapolate efficacy or safety data from a tested sample to other products containing the botanical ingredient(s) of interest. In this work, screening-level approaches for generating both chemical and biological-response profiles were used to evaluate the similarity of black cohosh (Actaea racemosa) and Echinacea purpurea samples to well-characterized National Toxicology Program (NTP) test articles. Data from nontargeted chemical analyses and gene expression of toxicologically important hepatic receptor pathways (aryl hydrocarbon receptor [AhR], constitutive androstane receptor [CAR], pregnane X receptor [PXR], farnesoid X receptor [FXR], and peroxisome proliferator-activated receptor alpha [PPAR alpha]) in primary human hepatocyte cultures were used to determine similarity through hierarchical clustering. Although there were differences in chemical profiles across black cohosh samples, these differences were not reflected in the biological-response profiles. These findings highlight the complexity of biological-response dynamics that may not be reflected in chemical composition profiles. Thus, biological-response data could be used as the primary basis for determining similarity among black cohosh samples. Samples of E. purpurea displayed better correlation in similarity across chemical and biological-response measures. The general approaches described herein can be applied to complex mixtures with unidentified active constituents to determine when data from a tested mixture (eg, NTP test article) can be used for hazard identification of sufficiently similar mixtures, with the knowledge of toxicological targets informing assay selection when possible.</t>
  </si>
  <si>
    <t>[Ryan, Kristen R.; Huang, Madelyn C.; Ferguson, Stephen S.; Waidyanatha, Suramya; Ramaiahgari, Sreenivasa; Rice, Julie R.; Dunlap, Paul E.; Auerbach, Scott S.; Mutlu, Esra; DeVito, Michael J.; Smith-Roe, Stephanie L.; Rider, Cynthia, V] NIEHS, Div Natl Toxicol Program, Res Triangle Pk, NC 27709 USA; [Cristy, Tim; Peirfelice, Jessica] Battelle Mem Inst, Columbus, OH 43201 USA</t>
  </si>
  <si>
    <t>National Institutes of Health (NIH) - USA; NIH National Institute of Environmental Health Sciences (NIEHS); Battelle Memorial Institute</t>
  </si>
  <si>
    <t>Rider, CV (corresponding author), NIEHS, POB 12233,K2-12, Res Triangle Pk, NC 27709 USA.</t>
  </si>
  <si>
    <t>cynthia.rider@nih.gov</t>
  </si>
  <si>
    <t>Mutlu, Esra/AAD-6919-2022</t>
  </si>
  <si>
    <t>Mutlu, Esra/0000-0001-6125-4045; Ferguson, Stephen/0000-0003-3172-8347</t>
  </si>
  <si>
    <t>Intramural Research Program of the NIH, National Institute of Environmental Health Sciences, Intramural Research project [ZIA ES103316-04]; National Toxicology Program, National Institute of Environmental Health Sciences, National Institutes of Health, U.S. Department of Health and Human Services [HHSN273201400027C]</t>
  </si>
  <si>
    <t>Intramural Research Program of the NIH, National Institute of Environmental Health Sciences, Intramural Research project; National Toxicology Program, National Institute of Environmental Health Sciences, National Institutes of Health, U.S. Department of Health and Human Services</t>
  </si>
  <si>
    <t>This work was supported by the Intramural Research Program of the NIH, National Institute of Environmental Health Sciences, Intramural Research project ZIA ES103316-04, and performed in part for the National Toxicology Program, National Institute of Environmental Health Sciences, National Institutes of Health, U.S. Department of Health and Human Services, under contract HHSN273201400027C (Battelle, Columbus, OH).</t>
  </si>
  <si>
    <t>1096-6080</t>
  </si>
  <si>
    <t>1096-0929</t>
  </si>
  <si>
    <t>TOXICOL SCI</t>
  </si>
  <si>
    <t>Toxicol. Sci.</t>
  </si>
  <si>
    <t>10.1093/toxsci/kfz189</t>
  </si>
  <si>
    <t>Toxicology</t>
  </si>
  <si>
    <t>JU5TD</t>
  </si>
  <si>
    <t>WOS:000501738100008</t>
  </si>
  <si>
    <t>Narayanamurthy, G; Gurumurthy, A</t>
  </si>
  <si>
    <t>Narayanamurthy, Gopalakrishnan; Gurumurthy, Anand</t>
  </si>
  <si>
    <t>Leanness assessment: a literature review</t>
  </si>
  <si>
    <t>Assessment; Literature review; Leanness; Lean assessment; Lean quantification; Leanness index</t>
  </si>
  <si>
    <t>MANUFACTURING SYSTEMS; SUPPLY CHAIN; PERFORMANCE; MANAGEMENT; OPERATIONS; MODEL; ORGANIZATIONS; ENVIRONMENT; SERVICE; SECTOR</t>
  </si>
  <si>
    <t>Purpose - Assessing the outcome of lean transformation journey has been of interest to both researchers and practitioners. Various qualitative and quantitative assessment methodologies have been proposed in literature to track and measure the degree of leanness attained. The purpose of this paper is to understand the evolution of this leanness assessment literature over different attributes and identify gaps for future research. Design/methodology/approach - A detailed literature review of peer-reviewed journal articles and conference papers addressing leanness assessment was performed. Content analysis methodology involving a four-step process suggested by Mayring (2004) was adopted for this study. Findings - The number of studies in literature on leanness assessment is low when compared to that in the area of lean implementation. Assessment methodologies developed are of wide range, varying from simple qualitative checklist to complex quantitative mathematical models. Following the trend of lean implementation literature, lean thinking assessment literature is also getting transformed from process-level monitoring to enterprise-level monitoring. Finally, based on this review, a simplified leanness assessment framework is proposed for future validation. Research limitations/implications - Only peer-reviewed journals and conference papers were analyzed, while excluding the manuals, reports, and white papers from practice. Clustering of leanness assessment literature revealed that future studies in this domain would fall into two major categories, namely manufacturing leanness assessment and service leanness assessment. Practical implications - Practitioners can use this review study to choose a suitable methodology for assessing the leanness attained in their organization by controlling for the structural attributes identified. Originality/value - This is the first paper to review the topic leanness assessment. The review analyzes the entire literature available on leanness assessment to summarize its current status and identify potential future directions.</t>
  </si>
  <si>
    <t>[Narayanamurthy, Gopalakrishnan; Gurumurthy, Anand] Indian Inst Management Kozhikode, Quantitat Methods &amp; Operat Management QM &amp; OM Are, Kozhikode, India</t>
  </si>
  <si>
    <t>Indian Institute of Management (IIM System); Indian Institute of Management Kozhikode</t>
  </si>
  <si>
    <t>Narayanamurthy, G (corresponding author), Indian Inst Management Kozhikode, Quantitat Methods &amp; Operat Management QM &amp; OM Are, Kozhikode, India.</t>
  </si>
  <si>
    <t>Gurumurthy, Anand/K-5388-2012</t>
  </si>
  <si>
    <t>Gurumurthy, Anand/0000-0002-4241-7707; Narayanamurthy, Gopalakrishnan/0000-0002-3119-5248</t>
  </si>
  <si>
    <t>10.1108/IJOPM-01-2015-0003</t>
  </si>
  <si>
    <t>EB1CN</t>
  </si>
  <si>
    <t>WOS:000387084100002</t>
  </si>
  <si>
    <t>Liboni, LB; Cezarino, LO; Jabbour, CJC; Oliveira, BG; Stefanelli, NO</t>
  </si>
  <si>
    <t>Liboni, Lara Bartocci; Cezarino, Luciana Oranges; Jabbour, Charbel Jose Chiappetta; Oliveira, Bruno Garcia; Stefanelli, Nelson Oliveira</t>
  </si>
  <si>
    <t>Smart industry and the pathways to HRM 4.0: implications for SCM</t>
  </si>
  <si>
    <t>Supply-chain management; SCM competency; SCM practices; Human factors</t>
  </si>
  <si>
    <t>ORGANIZATIONAL INNOVATION; LEARNING FACTORIES; FUTURE; WORK; MANAGEMENT; DIGITALIZATION; COMPETENCES; CHALLENGES; SYSTEM; PARTICIPATION</t>
  </si>
  <si>
    <t>Purpose The purpose of this paper is to address the potential impacts of Industry 4.0 on human resource management (HRM) - with a particular focus on employment, job profile and qualification and skill requirements in the workforce - which can have implications for supply chain management (SCM). Consequently, exploratory relationships among Industry 4.0, HRM and SCM are presented based on a systematic review. Design/methodology/approach To explore Industry 4.0 literature and its impact on employment, the authors used a systematic literature review to identify, classify and analyze current knowledge, flagging trends and proposing recommendations for future research in this area. Using the Web of Science database, the authors utilized co-citation software to visualize the networks which emerged from recurrent terms and which were then used to develop the categories of analysis. Findings The authors can affirm that the literature in this field is in a transition process, from the early studies of German academics to the current development of new impacts worldwide. Industry 4.0 is the central theme of the literature analyzed and is accomplished through the development of employment, qualifications, skills and learning frameworks. The results reveal that most papers are conceptual, with quantitative studies still lacking. Developed countries have a leading role in terms of research production, while Latin America and Asia are far behind. Clustering reveals four dominant themes (educational changes, employment scenario, work infrastructure resources and work meaning and proposal). The first refers to labor changes around working conditions, the work environment and new skills which are required. The second main theme concerns the potentially unstable shift in the labor market has toward a high-level context. The third is about the technical interface of humans and machines, and finally, the fourth understands the German industry as a starting point for global industrial improvements and work proposal changes. Furthermore, socio-technical systems cover the implications of HRM for SCM in three different dimensions: qualification and education (human competences), collaboration and integration of SCM (organizational competences) and data and information management (technical competences). Research limitations/implications - An original research agenda for further development of the topic. Additionally, the implications of the findings for SCM practitioners are presented. Practical implications - SCM managers can benefit from the results of this paper by developing adjusted polices for organizational and human aspects. Specially about training programs to improve technology skills and education programs for cyber-human new plataforms. Originality/value - So far, Industry 4.0, HRM- related topics and implications for SCM have generally been considered separately. This paper elucidates the few important studies on the impacts of Industry 4.0 on human-related topics, such as the labor market, building a research framework using the main contributions highlighted in the literature. An original research agenda is presented, as well as potential implications for SCM.</t>
  </si>
  <si>
    <t>[Liboni, Lara Bartocci; Oliveira, Bruno Garcia; Stefanelli, Nelson Oliveira] Univ Sao Paulo, Sch Econ Business Adm &amp; Accounting, Ribeirao Preto, Brazil; [Cezarino, Luciana Oranges] Univ Fed Uberlandia, Fac Business &amp; Management, Uberlandia, MG, Brazil; [Jabbour, Charbel Jose Chiappetta] Montpellier Business Sch, Montpellier, France; [Oliveira, Bruno Garcia] Univ Fed Goias, Dept Business &amp; Management, Catalao, Brazil</t>
  </si>
  <si>
    <t>Universidade de Sao Paulo; Universidade Federal de Uberlandia; Montpellier Business School; Universidade Federal de Goias</t>
  </si>
  <si>
    <t>Cezarino, LO (corresponding author), Univ Fed Uberlandia, Fac Business &amp; Management, Uberlandia, MG, Brazil.</t>
  </si>
  <si>
    <t>lara.liboni@gmail.com; lcezarino@gmail.com; c.chiappetta-jabbour@montpellier-bs.com; brunogarcia@fearp.usp.br; nelsonstefanelli@gmail.com</t>
  </si>
  <si>
    <t>CHIAPPETTA JABBOUR, Charbel Jose/F-3505-2010; Liboni, Lara Bartocci/AAI-9237-2020; Stefanelli, Nelson O/B-5955-2017; Cezarino, Luciana Oranges/B-7951-2017; Oliveira, Bruno/AAA-4425-2020</t>
  </si>
  <si>
    <t>CHIAPPETTA JABBOUR, Charbel Jose/0000-0002-6143-4924; Liboni, Lara Bartocci/0000-0002-4729-7943; Stefanelli, Nelson O/0000-0002-3695-9243; Cezarino, Luciana Oranges/0000-0001-5556-8275; Oliveira, Bruno/0000-0003-4257-5542</t>
  </si>
  <si>
    <t>10.1108/SCM-03-2018-0150</t>
  </si>
  <si>
    <t>HN4PY</t>
  </si>
  <si>
    <t>WOS:000460167200008</t>
  </si>
  <si>
    <t>Dong, CQ; Bi, KX</t>
  </si>
  <si>
    <t>Dong, Chaoqun; Bi, Kexin</t>
  </si>
  <si>
    <t>On Innovation Performance of Low-Carbon Technology Breakthrough Innovation Network in Manufacturing Industry Under the Global Value Chain: A Case Study Based on Chinese Manufacturing Industries</t>
  </si>
  <si>
    <t>Technological innovation; Manufacturing industries; Economics; Production; Carbon dioxide; Low-carbon technology breakthrough innovation; innovation network; innovation performance; Chinese manufacturing industries; AHP</t>
  </si>
  <si>
    <t>INVOLVEMENT</t>
  </si>
  <si>
    <t>The strengthening scientific and reasonable quantitative evaluation of innovation performance of low-carbon technology breakthrough innovation network in manufacturing industry under the background of economic globalization is of important significance, which can enrich relevant theoretical system of low-carbon technology breakthrough and improve the core competitiveness of Chinese manufacturing industries. In this paper, the scientific and reasonable quantitative evaluation of the innovation performance of low-carbon technology breakthrough innovation network is firstly determined as a dynamic (time-varying) evaluation problem, which involves multi-source influencing factors. Note that many evaluation objects in the innovation performance of an innovation network are gray, ambiguous and dynamic variables, which are difficult to be quantified and the collected industrial data has certain discreteness and fluctuation. Hence, a fuzzy clustering analysis on influencing variables of innovation performance of low-carbon technology innovation network is carried out via the sampling data from 28 manufacturing industries during 2011-2016. Moreover, an innovation performance evaluation model for low-carbon technology innovation network is constructed through analytic hierarchy process (AHP), grey theory and fuzzy clustering analysis. Based on this model, the qualitative and quantitative evaluations of innovation performances of the innovation network before and after low-carbon technology breakthrough are realized. The results show that the low-carbon technology breakthrough innovation has a positive effect on improving the development level of manufacturing industry. In addition, the construction performance evaluation model not only decreases the influences of subjective factors by combining qualitative analysis with quantitative analysis, but also applies the grey theory innovatively to determine the membership matrix. It realizes accurate, systematic and scientific evaluation of the innovation performance of the low-carbon technology breakthrough innovation network in the manufacturing industries. Finally, the research conclusions provide the theoretical and practical references to the strategic arrangement of the low-carbon technology breakthrough innovation in Chinese manufacturing industries.</t>
  </si>
  <si>
    <t>[Dong, Chaoqun; Bi, Kexin] Harbin Univ Sci &amp; Technol, Sch Econ &amp; Management, Harbin 150080, Peoples R China; [Bi, Kexin] Harbin Engn Univ, Sch Management, Harbin 150001, Peoples R China</t>
  </si>
  <si>
    <t>Harbin University of Science &amp; Technology; Harbin Engineering University</t>
  </si>
  <si>
    <t>Dong, CQ (corresponding author), Harbin Univ Sci &amp; Technol, Sch Econ &amp; Management, Harbin 150080, Peoples R China.</t>
  </si>
  <si>
    <t>dcq@hrbust.edu.cn</t>
  </si>
  <si>
    <t>National Natural Science Foundation of China [71774037, 71472057, 7127307]</t>
  </si>
  <si>
    <t>This work was supported by the National Natural Science Foundation of China under Grant 71774037, Grant 71472057, and Grant 7127307.</t>
  </si>
  <si>
    <t>10.1109/ACCESS.2020.3026062</t>
  </si>
  <si>
    <t>NX7GC</t>
  </si>
  <si>
    <t>WOS:000575873900001</t>
  </si>
  <si>
    <t>Encinas, F; De Herde, A</t>
  </si>
  <si>
    <t>Encinas, Felipe; De Herde, Andre</t>
  </si>
  <si>
    <t>Sensitivity analysis in building performance simulation for summer comfort assessment of apartments from the real estate market</t>
  </si>
  <si>
    <t>ENERGY AND BUILDINGS</t>
  </si>
  <si>
    <t>Sensitivity analysis; Passive cooling; Summer comfort; Real estate market; Building performance simulation; Cluster analysis</t>
  </si>
  <si>
    <t>UNCERTAINTY ANALYSIS; ENERGY-CONSUMPTION; CLUSTER-ANALYSIS; DESIGN; IDENTIFICATION; CLIMATE; OUTPUT</t>
  </si>
  <si>
    <t>Overheating appears as a recurrent problem in apartments of the real estate market of Santiago de Chile, since their architectural design frequently does not incorporate passive cooling techniques. This situation is encouraged by a Thermal Regulation that allows extensive glazing surfaces in the apartments and that does not propose any criteria for limiting the risk of overheating. Nine apartment typologies were defined using the k-means clustering method from a database that contains 21,902 units. Sensitivity analysis was carried out by means of both global and local approaches, in order to identify the most sensitive parameters with respect to the summer comfort and the net effect of each single parameter, respectively. The results obtained suggest that the best performance in terms of summer comfort can be obtained from the combination of diverse parameters that would be significant in respect to the reduction of overheating, such as solar protection and night ventilation. In this sense, the approach proposed for this study not only allows introducing improvements in terms of summer thermal conditions according to the specific requirements of the apartment typologies, but also suggests the integration of attributes with the aim of being developed at the level of their value chain. (c) 2013 Elsevier B.V. All rights reserved.</t>
  </si>
  <si>
    <t>[Encinas, Felipe] Pontificia Univ Catolica Chile, Escuela Arquitectura, Fac Arquitectura Diseno &amp; Estudios Urbanos, Santiago, Chile; [De Herde, Andre] Catholic Univ Louvain, B-1348 Louvain, Belgium</t>
  </si>
  <si>
    <t>Pontificia Universidad Catolica de Chile; Universite Catholique Louvain</t>
  </si>
  <si>
    <t>Encinas, F (corresponding author), Pontificia Univ Catolica Chile, Escuela Arquitectura, Fac Arquitectura Diseno &amp; Estudios Urbanos, El Comendador 1916, Santiago, Chile.</t>
  </si>
  <si>
    <t>felipe.encinas@uc.cl</t>
  </si>
  <si>
    <t>Encinas, Felipe/0000-0002-9428-3907</t>
  </si>
  <si>
    <t>Universite catholique de Louvain in Belgium</t>
  </si>
  <si>
    <t>The analyses contained in this article were carried out as part of a PHD Thesis at the Architecture et climat Research Centre of the Universite catholique de Louvain in Belgium. The study was funded by the Development Cooperation scholarship from the same university. The article was developed in the framework of the Center for Sustainable Urban Development (CEDEUS - Centro de Desarrollo Urbano Sustentable) of the Pontificia Universidad Catolica de Chile.</t>
  </si>
  <si>
    <t>0378-7788</t>
  </si>
  <si>
    <t>1872-6178</t>
  </si>
  <si>
    <t>ENERG BUILDINGS</t>
  </si>
  <si>
    <t>Energy Build.</t>
  </si>
  <si>
    <t>10.1016/j.enbuild.2013.05.047</t>
  </si>
  <si>
    <t>Construction &amp; Building Technology; Energy &amp; Fuels; Engineering, Civil</t>
  </si>
  <si>
    <t>Construction &amp; Building Technology; Energy &amp; Fuels; Engineering</t>
  </si>
  <si>
    <t>218RJ</t>
  </si>
  <si>
    <t>WOS:000324449800007</t>
  </si>
  <si>
    <t>Iqbal, N; Jamil, F; Ahmad, S; Kim, D</t>
  </si>
  <si>
    <t>Iqbal, Naeem; Jamil, Faisal; Ahmad, Shabir; Kim, DoHyeun</t>
  </si>
  <si>
    <t>A Novel Blockchain-Based Integrity and Reliable Veterinary Clinic Information Management System Using Predictive Analytics for Provisioning of Quality Health Services</t>
  </si>
  <si>
    <t>Information management system; blockchain technology; machine learning; smart contract; predictive analysis</t>
  </si>
  <si>
    <t>DRUG SUPPLY CHAIN; CARE; TECHNOLOGY; REGRESSION; INTERNET; SCIENCE; MODELS; SECURE</t>
  </si>
  <si>
    <t>The recent advances in information management systems coupled with machine learning algorithms paved the way for a significant revolution in animal healthcare industries. However, the data in such systems suffer from various challenges such as security, reliability, and convenience, to name a few. Traditional systems are not useful to meet these critical issues because these systems have not a consistent structure for data security and reliability policies. Therefore, a new solution is required to enhance data accessibility and should regulate government security policies to ensure the accountability of the usage of the medical records system. Moreover, it is also required to analyze historical data of veterinary clinic using data mining and machine learning techniques to predict the future appointments scheduling requests, which is essential for veterinary management to drive better future decisions, for instance, future demands of medical supplies and to plan veterinary medical staff, etc. This paper aims to fill the gap by proposing a novel blockchain-based reliable and intelligent veterinary information management system (RIVIMS) using smart contract and machine learning techniques. The proposed RIVIMS consists of two main modules; blockchain-based secured veterinary information management, data and predictive analytics modules. First, a blockchain-based secure and reliable veterinary clinic information management system is developed using Hyperledger Fabric. Second, a smart contract enabled data, and predictive analytics modules are developed using permissioned blockchain framework. The data and predictive modules aim to analyze veterinary clinic patients appointments data in order to discover underlying patterns and build a robust prediction model using machine learning algorithms. The data and predictive helps veterinary management to drive better future business decisions to provide better healthcare services to veterinary patients. Hyperledger Caliper is used as a benchmark tool to evaluate the performance of the developed blockchain-based system in terms of transaction per second, transaction success rate, transaction throughput, and transaction latency. Furthermore, machine learning performance measures have utilized, such as MAE, RMSE, and R2 score to evaluate the overall performance of the prediction model. The experimental results demonstrate the effectiveness and robustness of the proposed RIVIMS.</t>
  </si>
  <si>
    <t>[Iqbal, Naeem; Jamil, Faisal; Kim, DoHyeun] Jeju Natl Univ, Comp Engn Dept, Jeju City 63243, South Korea; [Ahmad, Shabir] Univ Engn &amp; Technol Mardan, Software Engn Dept, Mardan 23200, Pakistan; [Ahmad, Shabir] Gachon Univ, Dept IT Convergence Engn, Seongnam Si 461701, South Korea</t>
  </si>
  <si>
    <t>Jeju National University; Gachon University</t>
  </si>
  <si>
    <t>Kim, D (corresponding author), Jeju Natl Univ, Comp Engn Dept, Jeju City 63243, South Korea.</t>
  </si>
  <si>
    <t>kimdh@jejunu.ac.kr</t>
  </si>
  <si>
    <t>Jamil, Faisal/GSO-1371-2022; Iqbal, Naeem/ABG-1525-2021; Jamil, Faisal/AAV-4892-2021; Ahmad, Shabir/N-3850-2018; Jamil, Faisal/O-1755-2019</t>
  </si>
  <si>
    <t>Iqbal, Naeem/0000-0003-2749-6344; Ahmad, Shabir/0000-0002-8788-2717; Jamil, Faisal/0000-0003-1994-6907</t>
  </si>
  <si>
    <t>Energy Cloud R&amp;D Program through the National Research Foundation of Korea(NRF) - Ministry of Science, ICT [2019M3F2A1073387]; Basic Science Research Program through the National Research Foundation of Korea(NRF) - Ministry of Education [2018R1D1A1A09082919]; Institute for Information &amp; communications Technology Planning &amp; Evaluation(IITP) - Korea government(MSIT) [2018-0-01456]; Institute for Information &amp; Communication Technology Planning &amp; Evaluation (IITP), Republic of Korea [2018-0-01456-004] Funding Source: Korea Institute of Science &amp; Technology Information (KISTI), National Science &amp; Technology Information Service (NTIS); National Research Foundation of Korea [5199990414118] Funding Source: Korea Institute of Science &amp; Technology Information (KISTI), National Science &amp; Technology Information Service (NTIS)</t>
  </si>
  <si>
    <t>Energy Cloud R&amp;D Program through the National Research Foundation of Korea(NRF) - Ministry of Science, ICT(National Research Foundation of KoreaMinistry of Science, ICT &amp; Future Planning, Republic of Korea); Basic Science Research Program through the National Research Foundation of Korea(NRF) - Ministry of Education(National Research Foundation of KoreaMinistry of Education (MOE), Republic of KoreaNational Research Council for Economics, Humanities &amp; Social Sciences, Republic of Korea); Institute for Information &amp; communications Technology Planning &amp; Evaluation(IITP) - Korea government(MSIT)(Institute for Information &amp; Communication Technology Planning &amp; Evaluation (IITP), Republic of KoreaMinistry of Science &amp; ICT (MSIT), Republic of Korea); Institute for Information &amp; Communication Technology Planning &amp; Evaluation (IITP), Republic of Korea(Institute for Information &amp; Communication Technology Planning &amp; Evaluation (IITP), Republic of Korea); National Research Foundation of Korea(National Research Foundation of Korea)</t>
  </si>
  <si>
    <t>This research was supported by Energy Cloud R&amp;D Program through the National Research Foundation of Korea(NRF) funded by the Ministry of Science, ICT (2019M3F2A1073387), and this research was supported by Basic Science Research Program through the National Research Foundation of Korea(NRF) funded by the Ministry of Education(2018R1D1A1A09082919), and this research was supported by Institute for Information &amp; communications Technology Planning &amp; Evaluation(IITP) grant funded by the Korea government(MSIT) (No.2018-0-01456, AutoMaTa: Autonomous Management framework based on artificial intelligent Technology for adaptive and disposable IoT). Any correspondence related to this paper should be addressed to Dohyeun Kim.</t>
  </si>
  <si>
    <t>10.1109/ACCESS.2021.3049325</t>
  </si>
  <si>
    <t>PT4EK</t>
  </si>
  <si>
    <t>WOS:000608568100001</t>
  </si>
  <si>
    <t>Garcia, S; Cordeiro, A; Nääs, ID; Neto, PLDC</t>
  </si>
  <si>
    <t>Garcia, Solimar; Cordeiro, Alexandra; Naas, Irenilza de Alencar; de Oliveira Costa Neto, Pedro Luiz</t>
  </si>
  <si>
    <t>The sustainability awareness of Brazilian consumers of cotton clothing</t>
  </si>
  <si>
    <t>Textile supply chain; Cotton clothing; Sustainability indicators; Clothing production</t>
  </si>
  <si>
    <t>ECOLOGICAL FOOTPRINT; CARBON FOOTPRINT; DECISION TREES; TEXTILE; PERFORMANCE; INDICATOR; GREEN</t>
  </si>
  <si>
    <t>Clothing production is part of a large chain of businesses, ranging from agribusiness (production of various fibers and cotton) to textiles (spinning, dying), garment making and distribution. Manufacturing of apparel is an essential commercial chain for the developing countries Gross Domestic Product (GDP). Since the clothing industry presents several segments with potential pollution, the consumer vision of sustainability is necessary to promote an essential environmental balance. The present study aimed to evaluate the Brazilian consumer awareness about the impact of clothing production in the environment. An online questionnaire was distributed to an available sample that resulted in 503 responses. Questions were related to the consumers' lifestyle and consumption. Data were organized in a spreadsheet, and the Ecological Footprint (EF) was estimated. Data mining was applied to model the attributes that influence the EF of consumers, and to classify the consumer Ecological Footprint (Bad, Moderate or Good). After estimating the EF of all responses, we applied the cluster analysis to understand how the consumer's group. The results indicated that women spent more on cotton clothes than men. Most of the respondents (62%) are not aware of the clothing production chain and its potential for pollution. Although the consumers are generally concerned with sustainability (66%), most interviewees are not aware of the manufacturing processes of the worn garments neither the impact the cotton manufacturing might cause to the environment. The studied Brazilian consumers show that, although they wear clothes made of cotton, they are not aware of how the production is. Men do not know and do not care about this fact, as can be observed by the decision tree. Another point was that consumers (65%) seek to buy generic products from sustainable companies, but they do not know if the clothing manufacturer is sustainable. It is also observed that the values spent on clothes do not seem to be related to the Ecological Footprint. For the key questions of the questionnaire, the answers by income bracket were checked to verify the relationship with the lifestyle. We concluded that the Ecological Footprint of the consumers increase as their expenditure are greater also in the lifestyle requirements. (C) 2019 Elsevier Ltd. All rights reserved.</t>
  </si>
  <si>
    <t>[Garcia, Solimar; Cordeiro, Alexandra; Naas, Irenilza de Alencar; de Oliveira Costa Neto, Pedro Luiz] Univ Paulista, Sao Paulo, Brazil</t>
  </si>
  <si>
    <t>Garcia, S (corresponding author), Univ Paulista, Sao Paulo, Brazil.</t>
  </si>
  <si>
    <t>solimar.garcia@docente.unip.br</t>
  </si>
  <si>
    <t>jam, amir/O-6460-2019; Garcia, Solimar/P-5884-2019</t>
  </si>
  <si>
    <t>10.1016/j.jclepro.2019.01.069</t>
  </si>
  <si>
    <t>HM3FE</t>
  </si>
  <si>
    <t>WOS:000459358300124</t>
  </si>
  <si>
    <t>Tharewal, S; Ashfaque, MW; Banu, SS; Uma, P; Hassen, SM; Shabaz, M</t>
  </si>
  <si>
    <t>Tharewal, Sumegh; Ashfaque, Mohammed Waseem; Banu, Sayyada Sara; Uma, Perumal; Hassen, Samar Mansour; Shabaz, Mohammad</t>
  </si>
  <si>
    <t>Intrusion Detection System for Industrial Internet of Things Based on Deep Reinforcement Learning</t>
  </si>
  <si>
    <t>The Industrial Internet of Things has grown significantly in recent years. While implementing industrial digitalization, automation, and intelligence introduced a slew of cyber risks, the complex and varied industrial Internet of Things environment provided a new attack surface for network attackers. As a result, conventional intrusion detection technology cannot satisfy the network threat discovery requirements in today's Industrial Internet of Things environment. In this research, the authors have used reinforcement learning rather than supervised and unsupervised learning, because it could very well improve the decision-making ability of the learning process by integrating abstract thinking of complete understanding, using deep knowledge to perform simple and nonlinear transformations of large-scale original input data into higher-level abstract expressions, and using learning algorithm or learning based on feedback signals, in the lack of guiding knowledge, which is based on the trial-and-error learning model, from the interaction with the environment to find the best good solution. In this respect, this article presents a near-end strategy optimization method for the Industrial Internet of Things intrusion detection system based on a deep reinforcement learning algorithm. This method combines deep learning's observation capability with reinforcement learning's decision-making capability to enable efficient detection of different kinds of cyberassaults on the Industrial Internet of Things. In this manuscript, the DRL-IDS intrusion detection system is built on a feature selection method based on LightGBM, which efficiently selects the most attractive feature set from industrial Internet of Things data; when paired with deep learning algorithms, it effectively detects intrusions. To begin, the application is based on GBM's feature selection algorithm, which extracts the most compelling feature set from Industrial Internet of Things data; then, in conjunction with the deep learning algorithm, the hidden layer of the multilayer perception network is used as the shared network structure for the value network and strategic network in the PPO2 algorithm; and finally, the intrusion detection model is constructed using the PPO2 algorithm and ReLU (R). Numerous tests conducted on a publicly available data set of the Industrial Internet of Things demonstrate that the suggested intrusion detection system detects 99 percent of different kinds of network assaults on the Industrial Internet of Things. Additionally, the accuracy rate is 0.9%. The accuracy, precision, recall rate, F1 score, and other performance indicators are superior to those of the existing intrusion detection system, which is based on deep learning models such as LSTM, CNN, and RNN, as well as deep reinforcement learning models such as DDQN and DQN.</t>
  </si>
  <si>
    <t>[Tharewal, Sumegh] Dr Vishwanath Karad MIT World Peace Univ, Sch Comp Sci, Pune, Maharashtra, India; [Ashfaque, Mohammed Waseem] Al Buraimi Univ Coll, Dept IT, Buraimi, Oman; [Banu, Sayyada Sara; Uma, Perumal] Jazan Univ, Dept CS &amp; IT, Jazan, Saudi Arabia; [Hassen, Samar Mansour] Jazan Univ, Dept CS &amp; IT, MBA, Jazan, Saudi Arabia; [Shabaz, Mohammad] Arba Minch Univ, Arba Minch, Ethiopia</t>
  </si>
  <si>
    <t>Dr. Vishwanath Karad MIT World Peace University; Jazan University; Jazan University; Arba Minch University</t>
  </si>
  <si>
    <t>Tharewal, S (corresponding author), Dr Vishwanath Karad MIT World Peace Univ, Sch Comp Sci, Pune, Maharashtra, India.;Ashfaque, MW (corresponding author), Al Buraimi Univ Coll, Dept IT, Buraimi, Oman.;Shabaz, M (corresponding author), Arba Minch Univ, Arba Minch, Ethiopia.</t>
  </si>
  <si>
    <t>sumeghtharewal@gmail.com; waseem2000@gmail.com; mohammad.shabaz@amu.edu.et</t>
  </si>
  <si>
    <t>Shabaz, Mohammad/AAB-3168-2020; perumal, uma/HSG-4635-2023</t>
  </si>
  <si>
    <t>Shabaz, Mohammad/0000-0001-5106-7609; Tharewal, Dr. sumegh/0000-0002-5130-7358; Uma, Perumal/0000-0003-4630-8054</t>
  </si>
  <si>
    <t>MAR 7</t>
  </si>
  <si>
    <t>10.1155/2022/9023719</t>
  </si>
  <si>
    <t>0I5VH</t>
  </si>
  <si>
    <t>WOS:000779488000012</t>
  </si>
  <si>
    <t>Antoshchenkova, V; Onegina, V; Gutsul, T; Boblovskyi, O; Kravchenko, Y</t>
  </si>
  <si>
    <t>Antoshchenkova, Vitalina; Onegina, Viktoriya; Gutsul, Tetiana; Boblovskyi, Oleksandr; Kravchenko, Yuliia</t>
  </si>
  <si>
    <t>METHODOLOGICAL APPROACH FOR DETERMINING THE SIZE OF THE OPTIMAL RAW MATERIAL ZONE IN THE LOGISTICS SYSTEM OF DAIRY PROCESSING ENTERPRISE</t>
  </si>
  <si>
    <t>AGRICULTURAL AND RESOURCE ECONOMICS-INTERNATIONAL SCIENTIFIC E-JOURNAL</t>
  </si>
  <si>
    <t>logistic system; optimal raw material area; dairy sub-complex; supply chain; economic-mathematical modeling; cluster analysis</t>
  </si>
  <si>
    <t>MILK SUPPLY CHAIN</t>
  </si>
  <si>
    <t>Purpose. The purpose of the article is the improvement of the methodological approach for determining the optimal raw material area in the logistics system of a milk processing enterprise using economic-mathematical tools.Methodology / approach. The research is based on the applying such methods as analysis, synthesis, generalization, induction, deduction - to determine the content and subsystem of the logistic system of milk processing plant, factors of the size of the raw material area of the milk processing enterprise, formulating conclusions regarding the methodological approach to assessing its rational size; economic-mathematical modeling and cluster analysis - to determine the rational size of the raw material area of the milk processing enterprise; graphic - for a visual presentation of the cluster analysis of the raw material zone of the milk processing enterprise according to the Ward's method. The research was carried out on the basis of statistical data of the Main Department of Statistics in Chernihiv Region, reports of agricultural enterprises of Chernihiv Region and data of the authors' own observations for 2011-2021 (for the calculation of some indicators, data for 2020-2021 were used).Results. The peculiarities, role and tasks of logistics in the dairy sub-complex were determined, a conceptual model of the logistics system for the milk processing plant was developed, which consists of functional and provisional subsystems and covers production, purchasing, transport, certification, storage and processing processes, minimizes logistical risks. In order to identify reserves of the optimization of the raw material area, a cluster analysis was conducted (the Ward's method was chosen as the clustering method), based on data on the volume of milk purchases, distance from the factory and potential opportunities for expanding the raw material area. The economic-mathematical model was designed, which allows determining the optimal raw material area of the processing enterprise based on the criterion of minimum transport costs for the delivery of dairy raw materials, as well as determining the optimal structure of dairy production based on the criterion of minimum technological costs of processing raw materials in the production of various types of milk products, taking into account the volume of consumer demand. The economic-mathematical model was tested and used to determine the rational distance of milk producers from the milk processing enterprise at a distance of 46-56 km in the studied region.Originality / scientific novelty. The methodical approach to determine the optimal raw material area in the logistics system of a milk processing enterprise has been improved by using economic-mathematical tools and applying cluster analysis according to the Ward's method.Practical value / implications. The results of the study can be used to calculate the optimal raw material area of milk processing enterprises, which will contribute to the sustainable development of the dairy sub-complex, of all its participants, from producers of raw materials (milk) to the final consumer.</t>
  </si>
  <si>
    <t>[Antoshchenkova, Vitalina; Onegina, Viktoriya; Boblovskyi, Oleksandr; Kravchenko, Yuliia] State Biotechnol Univ, Kharkiv, Ukraine; [Onegina, Viktoriya] ESC Clermont Business Sch, Clermont Ferrand, France; [Gutsul, Tetiana] Natl Univ Life &amp; Environm Sci Ukraine, Kiev, Ukraine</t>
  </si>
  <si>
    <t>State Biotechnological University; National University of Life &amp; Environmental Sciences of Ukraine</t>
  </si>
  <si>
    <t>Antoshchenkova, V (corresponding author), State Biotechnol Univ, Kharkiv, Ukraine.</t>
  </si>
  <si>
    <t>Gutsul, Tetiana/T-1976-2017</t>
  </si>
  <si>
    <t>Gutsul, Tetiana/0000-0002-1826-240X</t>
  </si>
  <si>
    <t>INST EASTERN EUROPEAN RESEARCH &amp; CONSULTING</t>
  </si>
  <si>
    <t>KHARKIV</t>
  </si>
  <si>
    <t>EDUC CAMPUS KNAU, KHARKIV, UKRAINE</t>
  </si>
  <si>
    <t>2414-584X</t>
  </si>
  <si>
    <t>AGR RESOUR EC INT SC</t>
  </si>
  <si>
    <t>Agric. Resour. Econ.: Int. Sci. E-J</t>
  </si>
  <si>
    <t>F2NK7</t>
  </si>
  <si>
    <t>WOS:000980762100006</t>
  </si>
  <si>
    <t>Tsai, MC; Liao, CH; Han, CS</t>
  </si>
  <si>
    <t>Tsai, Ming-Chih; Liao, Chun-Hua; Han, Chia-shing</t>
  </si>
  <si>
    <t>Risk perception on logistics outsourcing of retail chains: model development and empirical verification in Taiwan</t>
  </si>
  <si>
    <t>Distribution management; Risk management; Analytical hierarchy process</t>
  </si>
  <si>
    <t>TRANSACTION COST APPROACH; INFORMATION; BENEFITS; DECISION; PERFORMANCE; CAPABILITY</t>
  </si>
  <si>
    <t>Purpose - This paper aims to develop a qualitative risk model to empirically identify the important outsourcing risks of logistical functions using the data of Taiwanese retail chains. Design/methodology/approach - Transaction cost theory (TCT) and resourced based view (RBV) were combined to develop risk events. Analytical hierarchy process was used for risk calibration. Valid data from 75 outsourcer chains and 41 in-house chains were collected through a three-stage survey. Outsourcers were further clustered by risk perception using Wards' and K-mean clustering and examined by an ANOVA. Results of outsourcers and in-house chains were compared using nonparametric Spearman rank correlation test. Findings - The risk perception increases as the number of functions outsourced increases. Risks related to transaction costs and strategic resources were both significant. Of the three main risks identified, asset risk and competence risk are more serious concerns than relationship risk. The values of information risk and loss of control account for the bulk of asset risk, while those of poor competence leverage and poor competence in supporting customer service comprise competence risk. Finally, in terms of risk priority, in-house chains showed no significant difference from outsourcers. Research limitation/implication - interrelationships between risk events were limited to avoid complication. Also, due to the sample limit, the risks calibrated may be more associated with outsourcing execution than outsourcing building/abandoning. Practical implication - The risk structure developed herein can be used as a systematic checklist for outsourcing decision-making. The qualitative results may provide specific indications for further risk analysis and future risk control. Originality/value - The study fills a gap in the literature, where prior work has seldom used empirical research to compare how well TCT and the RBV predict logistics outsourcing risk, in particular for the distribution side of the supply chain.</t>
  </si>
  <si>
    <t>[Tsai, Ming-Chih; Liao, Chun-Hua; Han, Chia-shing] Natl Chung Hsing Univ, Dept Marketing, Taichung 40227, Taiwan</t>
  </si>
  <si>
    <t>National Chung Hsing University</t>
  </si>
  <si>
    <t>Tsai, MC (corresponding author), Natl Chung Hsing Univ, Dept Marketing, Taichung 40227, Taiwan.</t>
  </si>
  <si>
    <t>mctsai@dragon.nchu.edu.tw</t>
  </si>
  <si>
    <t>10.1108/13598540810905679</t>
  </si>
  <si>
    <t>370OV</t>
  </si>
  <si>
    <t>WOS:000260772400004</t>
  </si>
  <si>
    <t>Spanu, V; Scarano, C; Virdis, S; Melito, S; Spanu, C; De Santis, EPL</t>
  </si>
  <si>
    <t>Spanu, Vincenzo; Scarano, Christian; Virdis, Salvatore; Melito, Sara; Spanu, Carlo; De Santis, Enrico Pietro Luigi</t>
  </si>
  <si>
    <t>Population Structure of Staphylococcus aureus Isolated from Bulk Tank Goat's Milk</t>
  </si>
  <si>
    <t>FOODBORNE PATHOGENS AND DISEASE</t>
  </si>
  <si>
    <t>FIELD GEL-ELECTROPHORESIS; MICROBIOLOGICAL QUALITY; INTRAMAMMARY INFECTIONS; VIRULENCE FACTORS; STRAINS; PROFILES; SAMPLES; BOVINE; GENES</t>
  </si>
  <si>
    <t>The presence of Staphylococcus aureus in raw milk can represent a potential threat to human health, due to the introduction of pathogenic strains into dairy food supply chain. The present study was performed to investigate the genetic variation among S. aureus strains isolated from bulk tank goat's milk. The virulence profiles were also assessed to link the isolates with the potential source of milk contamination. A population study was performed on 60 strains using distance-based methods such as pulsed-field gel electrophoresis (PFGE), and the output was analyzed using Structure statistical software (University of Chicago; http://pritch.bsd.uchicago.edu/structure.html). This Bayesian clustering model tool allows one to assign individuals into a population with no predefined structure. In order to assess partition of genetic variability among isolates, groups obtained by Structure were also investigated using analysis of molecular variance. S. aureus was recovered in 60 out of 78 samples (76.9%) collected from 26 farms. According to PFGE analysis, the strains were divided into 25 different pulsotypes and grouped into two main clusters. Restriction profiles, analyzed by Structure, allowed us to identify two distinct S. aureus genetic groups. Within each group, the strains showed a high coefficient of membership. A great part of genetic variability was attributable to within-groups variation. On the basis of the virulence profile, 45% of the isolates were linked to animal biovar, while 6.7% could be assigned to human biovar. Out of 60 strains, 27 were characterized by in vitro production of either enterotoxins A (5.0%), C (38.3%), or D (1.7%). The present study showed a high prevalence of bulk tank goat's milk contamination with S. aureus of animal origin. The presence in goat's milk of S. aureus strains able to produce enterotoxins and their potential introduction into dairy chain may represent a serious threat to human health.</t>
  </si>
  <si>
    <t>[Spanu, Vincenzo; Scarano, Christian; Virdis, Salvatore; Spanu, Carlo; De Santis, Enrico Pietro Luigi] Univ Sassari, Dept Vet Med, I-07100 Sassari, Italy; [Melito, Sara] Univ Sassari, Dipartimento Agr, I-07100 Sassari, Italy</t>
  </si>
  <si>
    <t>University of Sassari; University of Sassari</t>
  </si>
  <si>
    <t>Spanu, C (corresponding author), Univ Sassari, Dept Vet Med, Via Vienna 2, I-07100 Sassari, Italy.</t>
  </si>
  <si>
    <t>cspanu@uniss.it</t>
  </si>
  <si>
    <t>Spanu, Carlo/F-8557-2012; Spanu, Vincenzo/AAP-4701-2020; De Santis, Enrico/L-1237-2019; De Santis, Enrico Pietro Luigi/I-7176-2019</t>
  </si>
  <si>
    <t>De Santis, Enrico Pietro Luigi/0000-0003-4276-0342; Melito, Sara/0000-0002-4910-2353; SPANU, Carlo/0000-0001-9065-1277; Spanu, Vincenzo/0000-0002-5723-9587; SCARANO, Christian/0000-0001-7882-1632</t>
  </si>
  <si>
    <t>Fondanzione Banco di Sardegna; Programma Operativo FSE Sardegna; Legge Regionale</t>
  </si>
  <si>
    <t>Fondanzione Banco di Sardegna(Fondazione Banco di Sardegna); Programma Operativo FSE Sardegna; Legge Regionale</t>
  </si>
  <si>
    <t>This work was funded by Fondanzione Banco di Sardegna 2010 and Programma Operativo FSE Sardegna 2007-2013, Legge Regionale, 7 Agosto 2007 (No. 7, Research Progress and Technological Innovation in Sardinia).</t>
  </si>
  <si>
    <t>1535-3141</t>
  </si>
  <si>
    <t>1556-7125</t>
  </si>
  <si>
    <t>FOODBORNE PATHOG DIS</t>
  </si>
  <si>
    <t>Foodborne Pathog. Dis.</t>
  </si>
  <si>
    <t>10.1089/fpd.2012.1356</t>
  </si>
  <si>
    <t>122YB</t>
  </si>
  <si>
    <t>WOS:000317353400003</t>
  </si>
  <si>
    <t>Toanoglou, M; Chemli, S; Valeri, M</t>
  </si>
  <si>
    <t>Toanoglou, Michail; Chemli, Samiha; Valeri, Marco</t>
  </si>
  <si>
    <t>The organizational impact of Covid-19 crisis on travel perceived risk across four continents</t>
  </si>
  <si>
    <t>JOURNAL OF ORGANIZATIONAL CHANGE MANAGEMENT</t>
  </si>
  <si>
    <t>Covid-19; Perceived risk; Tourism destination; Crisis growth; Governance; Multilevel linear regression; Across countries research</t>
  </si>
  <si>
    <t>SOCIAL MEDIA; NEWS MEDIA; TOURISM; PERCEPTION; KNOWLEDGE; FRAMEWORK; EBOLA; FLOWS</t>
  </si>
  <si>
    <t>Purpose It became a fact, and the world's countries went under confinement due to the pandemic of the Covid19. There are severe impacts on tourism with the supply chain experiencing a full pause. This research investigates the influence of governance, media coverage, crisis severity, former travel practice and Covid-19 incidences on the perceived risk related to travel and tourism during the pandemic and in cross-countries. Design/methodology/approach We collected the data from a sample of 1845 individuals from more than 12 countries and four continents representing quarantined and most impacted areas in the world in March and April 2020. A multilevel linear model was applied to predict the perceived risk across countries as a level 2 research unit. Findings The finding confirms the clustering in the data with media coverage, governance and crisis growth affecting the outcome. There are cross-level interaction effects, as the growth rate of the pandemic per country and media coverage impact tourists' perception of risk. Finally, there are lower-level direct effects, with lower-level variables affecting tourists' perceived risks. Research limitations/implications The survey is randomly administered online due to the nearly complete quarantine implemented in the studied areas. Besides, and considering the latter, the responses might have been subjective due to the non-containment of the crisis by the study's time, directing to possible alteration of feelings and responses from respondents. This leads to suggest a future extension of this research, similarly, post-crisis. Originality/value This research pinpointed the impacts of predictors, concerning the countries' level, during the crisis phase on the perceived risk. Therefore, it gives insights into professional bodies on future concerns to be considered during the recovery phase.</t>
  </si>
  <si>
    <t>[Toanoglou, Michail] Woosong Univ, Int Hospitality &amp; Tourism Management, Daejeon, South Korea; [Chemli, Samiha] Univ Deusto, Tourism, Bilbao, Spain; [Valeri, Marco] Niccolo Cusano Univ, Org Behav, Rome, Italy</t>
  </si>
  <si>
    <t>Woosong University; University of Deusto; Niccolo Cusano Online University</t>
  </si>
  <si>
    <t>Chemli, S (corresponding author), Univ Deusto, Tourism, Bilbao, Spain.</t>
  </si>
  <si>
    <t>toanogloum@icloud.com; s.chemli@deusto.es</t>
  </si>
  <si>
    <t>Chemli, Samiha/AAC-2234-2020</t>
  </si>
  <si>
    <t>Chemli, Samiha/0000-0002-5307-4850; VALERI, Marco/0000-0002-9744-506X</t>
  </si>
  <si>
    <t>0953-4814</t>
  </si>
  <si>
    <t>1758-7816</t>
  </si>
  <si>
    <t>J ORGAN CHANGE MANAG</t>
  </si>
  <si>
    <t>J. Organ. Chang. Manage.</t>
  </si>
  <si>
    <t>10.1108/JOCM-12-2020-0369</t>
  </si>
  <si>
    <t>0B4CJ</t>
  </si>
  <si>
    <t>WOS:000624093600001</t>
  </si>
  <si>
    <t>Gordon, P; Cho, J</t>
  </si>
  <si>
    <t>Gordon, Peter; Cho, John</t>
  </si>
  <si>
    <t>Agglomeration near and far, the case of Southern California: supply chains for goods and ideas</t>
  </si>
  <si>
    <t>ANNALS OF REGIONAL SCIENCE</t>
  </si>
  <si>
    <t>R1; R3</t>
  </si>
  <si>
    <t>KNOWLEDGE; CONSTRAINTS</t>
  </si>
  <si>
    <t>Prosperity and economic growth require robust specialization and exchange. This means the formation and maintenance of numerous complex supply chains. These are emergent and include supply chains for things and supply chains for ideas. The former involve transactions; the latter can be via transactions and/or realized positive externalities. All supply chains have a geographic dimension which is also emergent. Firms carefully choose what to make vs what to buy and also where to sell or buy it, near or far. The whole system tends to be a pattern of locations that denote realized transactions (and transactions costs) as well as realized externalities. The city remains a competitive producer if these relationships are encouraged with the attendant costs contained. Cities are engines of growth. They offer attractive supply chain formation and management opportunities, including the various spatially situated supply chains for things and ideas. The latter are more complex than textbook discussions of non-rival goods suggest. People are keen to identify and acquire useful knowledge. Consider (1) the advantages of open-source knowledge sharing have been acknowledged; (2) ideas often denote complex tacit knowledge exchange, and (3) access to useful knowledge is priced in land markets and impacts location choice. Favorable networking and location opportunities are significant. Flexible land markets facilitate the availability of such opportunities. Access to pools of human capital is clearly beneficial, but the ability to tailor access to the peculiar requirements of the firm is even better. Detailed firm location data for various sectors for the Los Angeles metropolitan areas are analyzed to support our claims. We estimate Ripley k-functions and note differences by industry as well as firm size. There is agglomeration that is near as well as far. This finding complicates death of distance as well as clustering discussions.</t>
  </si>
  <si>
    <t>[Gordon, Peter] Univ Southern Calif, Los Angeles, CA 90007 USA; [Cho, John] Southern Calif Assoc Govt, Los Angeles, CA USA</t>
  </si>
  <si>
    <t>University of Southern California</t>
  </si>
  <si>
    <t>Gordon, P (corresponding author), Univ Southern Calif, Los Angeles, CA 90007 USA.</t>
  </si>
  <si>
    <t>pgordon@usc.edu; joongkoo.cho@gmail.com</t>
  </si>
  <si>
    <t>0570-1864</t>
  </si>
  <si>
    <t>1432-0592</t>
  </si>
  <si>
    <t>ANN REGIONAL SCI</t>
  </si>
  <si>
    <t>Ann. Reg. Sci.</t>
  </si>
  <si>
    <t>10.1007/s00168-018-0881-6</t>
  </si>
  <si>
    <t>HD7VT</t>
  </si>
  <si>
    <t>WOS:000452762400006</t>
  </si>
  <si>
    <t>Dutta, P; Talaulikar, S; Xavier, V; Kapoor, S</t>
  </si>
  <si>
    <t>Dutta, Pankaj; Talaulikar, Sahil; Xavier, Vinay; Kapoor, Shubham</t>
  </si>
  <si>
    <t>Fostering reverse logistics in India by prominent barrier identi fi cation and strategy implementation to promote circular economy</t>
  </si>
  <si>
    <t>Reverse logistics; Circular economy; Barriers and strategies; Grey-DEMATEL; Sustainability; India</t>
  </si>
  <si>
    <t>SUPPLY CHAIN MANAGEMENT; DECISION-MAKING APPROACH; FUZZY DEMATEL; SUSTAINABLE DEVELOPMENT; MULTIPLE-CRITERIA; DESIGN; CHINA; INDUSTRY; DRIVERS; MODEL</t>
  </si>
  <si>
    <t>Reverse Logistics (RL) is becoming a critical strategic differentiator among organisations and business entities for a sustainable environment, value creation, and promoting a Circular Economy (CE). Hence, this topic is relevant in the current Indian context. This paper explores the RL practices that drive operational efficiency while promoting cleaner production. This study aims to identify the barriers to RL implementation and bring together a practical approach to overcome all the relevant barriers in the RL sector in the Indian context. The survey of previous literature suggests that researchers have tried to prioritise barriers to RL implementation. However, this paper intends to analyse the barriers from a CE perspective and propose a framework for developing strategies with a structured implementation for managers in India's RL industry. Effects of these barriers have been analysed, while concurrently developing strategies to mitigate them and gauge the impact of strategies on the system of barriers using an evaluation model developed by incorporating quantitative techniques-grey-DEMATEL (Decision making trial and evaluation laboratory), agglomerative hierarchical clustering, fuzzy measure and fuzzy integral. The study aims to serve as a guiding framework for decision-makers to identify the barriers in their organisations and map the barriers to contemporary strategies to tackle them. The insights from the analysis show difficulty in managing quality of circular goods as the prominent barrier followed by a lack of responsibility and initiation by top management. Key strategies identified to mitigate the barriers are classified into priority, long-term, contingency, and non-priority zones. Consumer education, proper logistics network utilisation and efficient warehousing are key strategies that companies should adopt on a priority basis. (C) 2021 Elsevier Ltd. All rights reserved.</t>
  </si>
  <si>
    <t>[Dutta, Pankaj; Xavier, Vinay; Kapoor, Shubham] Indian Inst Technol, Shailesh J Mehta Sch Management, Mumbai 400076, Maharashtra, India; [Talaulikar, Sahil] Manipal Acad Higher Educ, Manipal Inst Technol, Manipal 576104, Karnataka, India</t>
  </si>
  <si>
    <t>Indian Institute of Technology System (IIT System); Indian Institute of Technology (IIT) - Bombay; Manipal Academy of Higher Education (MAHE)</t>
  </si>
  <si>
    <t>Dutta, P (corresponding author), Indian Inst Technol, Shailesh J Mehta Sch Management, Mumbai 400076, Maharashtra, India.</t>
  </si>
  <si>
    <t>pdutta@iitb.ac.in</t>
  </si>
  <si>
    <t>Dutta, Pankaj/0000-0001-7607-6472; Talaulikar, Sahil/0000-0003-3365-6228</t>
  </si>
  <si>
    <t>APR 20</t>
  </si>
  <si>
    <t>10.1016/j.jclepro.2021.126241</t>
  </si>
  <si>
    <t>RK0MM</t>
  </si>
  <si>
    <t>WOS:000637999600008</t>
  </si>
  <si>
    <t>Jain, A; Darbari, JD; Kaul, A; Ramanathan, U; Jha, PC</t>
  </si>
  <si>
    <t>Jain, Akansha; Darbari, Jyoti Dhingra; Kaul, Arshia; Ramanathan, Usha; Jha, P. C.</t>
  </si>
  <si>
    <t>Facility Selection Model for BOPS Service for an Omnichannel Retail Chain</t>
  </si>
  <si>
    <t>Supply chains; Sociology; Statistics; Technological innovation; Mortar; Companies; Analytical hierarchy process (AHP)-complex proportional assessment-grey (COPRAS-G); Buy Online Pickup in Store (BOPS); location selection; omnichannel (OC) retailing</t>
  </si>
  <si>
    <t>IN-STORE STRATEGY; BUY-ONLINE; SUPPLY CHAIN; CHANNEL; LOCATION; PERFORMANCE; PICKUP; PERSPECTIVE; SITE; SUSTAINABILITY</t>
  </si>
  <si>
    <t>Retail sector around the world is going through a transition due to digitalization. Customers now demand convenience of online channel with instant fulfillment of offline channel. As a result, the concept of omnichannel retailing has come into existence. In omnichannel retailing, both the channels of a firm are fully or partially integrated. There are many strategies that may be developed by retailers for efficient functioning of the omnichannel retail chain. The choice of such a strategy depends upon the comparative benefits that can be derived from them. One such strategy gaining immense attention of retailers is the Buy Online Pickup in Store (BOPS) strategy. In order to understand this BOPS, we conducted a detail case study of an Indian multichannel retail chain who is considering the option of launching BOPS option in few of its retail stores. The focus is to evaluate and select a fixed number of operational retail stores to also act as pick-up points for online deliveries. K-means clustering is utilized for the formation of retail zones as per the number of retail stores to be selected. The retail stores in each zone are evaluated on the basis of a number of criteria such as demand, inventory carrying capacity, cost, and population characteristics using analytical hierarchy process and complex proportional assessment-grey. Based on these evaluations, the best suitable retail store is selected for expansion from each zone. The result implications drawn in the study can provide an understanding of the future strategies that can be developed by the decision makers of the firm for launching the BOPS option. This article can also be beneficial to other Indian retail firms who can derive meaningful insights from the findings.</t>
  </si>
  <si>
    <t>[Jain, Akansha; Jha, P. C.] Univ Delhi, Fac Math Sci, Dept Operat Res, New Delhi 110007, India; [Darbari, Jyoti Dhingra] Univ Delhi, Lady Shri Ram Coll Women, Dept Math, New Delhi 110024, India; [Darbari, Jyoti Dhingra] Univ Southern Denmark, Fac Engn, Ctr Sustainable Supply Chain Engn, Dept Technol &amp; Innovat, DK-5230 Odense, Denmark; [Kaul, Arshia] NMIMS Univ, Anil Surendra Modi Sch Commerce, Mumbai 400056, Maharashtra, India; [Ramanathan, Usha] Nottingham Trent Univ, Nottingham Business Sch, Dept Management, Nottingham NG1 4FQ, England</t>
  </si>
  <si>
    <t>University of Delhi; University of Delhi; University of Southern Denmark; SVKM's NMIMS (Deemed to be University); University of Nottingham; Nottingham Trent University</t>
  </si>
  <si>
    <t>Jain, A (corresponding author), Univ Delhi, Fac Math Sci, Dept Operat Res, New Delhi 110007, India.</t>
  </si>
  <si>
    <t>akansha.269@gmail.com; jydbr@hotmail.com; arshia.kaul@gmail.com; usha.ramanathan@ntu.ac.uk; pcjhadu@gmail.com</t>
  </si>
  <si>
    <t>; Ramanathan, Usha/I-3120-2012</t>
  </si>
  <si>
    <t>Jain, Akansha/0000-0002-0503-8142; Ramanathan, Usha/0000-0002-7473-4643</t>
  </si>
  <si>
    <t>10.1109/TEM.2020.3018912</t>
  </si>
  <si>
    <t>WOS:000879054100033</t>
  </si>
  <si>
    <t>Assi, S; Arafat, B; Abbas, I; Evans, K</t>
  </si>
  <si>
    <t>Assi, Sulaf; Arafat, Basel; Abbas, Ismail; Evans, Kieran</t>
  </si>
  <si>
    <t>Evaluation of portable near-infrared spectroscopy for authentication of mRNA based COVID-19 vaccines</t>
  </si>
  <si>
    <t>TEMPERATURE; PREDICTION; SPECTRUM; BIOMASS; MODELS; DRUGS</t>
  </si>
  <si>
    <t>Since its identification in 2019, Covid-19 has spread to become a global pandemic. Until now, vaccination in its different forms proves to be the most effective measure to control the outbreak and lower the burden of the disease on healthcare systems. This arena has become a prime target to criminal networks that spread counterfeit Covid-19 vaccines across the supply chain mainly for profit. Counterfeit vaccines provide false sense of security to individuals, heightens the risk of exposure and outbreak of the virus, and increase the risk of harm linked to Covid-19 infection. Moreover, the increase in counterfeit vaccines feeds hesitancy towards vaccination and erodes the trust in mass immunisation programmes. It is therefore of paramount importance to work on rapid and reliable methods for vaccine authentication. Subsequently this work utilised a portable and non-destructive near infrared (NIR) spectroscopic method for authentication of Covid-19 vaccines. A total of 405 Covid-19 vaccines samples, alongside their main constituents, were measured as received through glass vials. Spectral quality and bands were inspected by considering the raw spectra of the vaccines. Authentication was explored by applying principal component analysis (PCA) to the multiplicative scatter correction-first derivative spectra. The results showed that NIR spectra of the vaccine featured mainly bands corresponding to the mRNA active ingredient. Fewer bands corresponded to the excipients and protein spectra. The vaccines NIR spectra were strongly absorbing with maximum absorbances up to 2.7 absorbance units and that differentiated them from samples containing normal saline only (constituent reported for counterfeit Covid-19 vaccines). Clustering based on PCA offered optimal authentication of Covid-19 vaccines when applied over the range of 9000-4000 cm(-1)These findings shed light on the potential of using NIR for analysing Covid-19 vaccines and presents a rapid and effective initial technique for Covid-19 vaccine authentication.</t>
  </si>
  <si>
    <t>[Assi, Sulaf] Liverpool John Moores Univ, Pharm &amp; Biomol Sci, Liverpool, Merseyside, England; [Arafat, Basel] Fac Hlth Educ Med &amp; Social Care, Chelmsford, Essex, England; [Abbas, Ismail] Lebanese Univ, Fac Sci, Beirut, Lebanon; [Evans, Kieran] Perkin Elmer, Seer Green, Bucks, England</t>
  </si>
  <si>
    <t>Liverpool John Moores University; Lebanese University</t>
  </si>
  <si>
    <t>Assi, S (corresponding author), Liverpool John Moores Univ, Pharm &amp; Biomol Sci, Liverpool, Merseyside, England.</t>
  </si>
  <si>
    <t>s.assi@ljmu.ac.uk</t>
  </si>
  <si>
    <t>Assi, Sulaf/AAG-8773-2020</t>
  </si>
  <si>
    <t>Assi, Sulaf/0000-0002-5142-9179; Abbas, Ismail/0000-0002-7591-2296</t>
  </si>
  <si>
    <t>e0267214</t>
  </si>
  <si>
    <t>10.1371/journal.pone.0267214</t>
  </si>
  <si>
    <t>2O1HN</t>
  </si>
  <si>
    <t>Green Accepted, Green Published, gold</t>
  </si>
  <si>
    <t>WOS:000818817800030</t>
  </si>
  <si>
    <t>Rejeb, A; Keogh, JG; Martindale, W; Dooley, D; Smart, E; Simske, S; Wamba, SF; Breslin, JG; Bandara, KY; Thakur, S; Liu, K; Crowley, B; Desaraju, S; Ospina, A; Bradau, H</t>
  </si>
  <si>
    <t>Rejeb, Abderahman; Keogh, John G.; Martindale, Wayne; Dooley, Damion; Smart, Edward; Simske, Steven; Wamba, Samuel Fosso; Breslin, John G.; Bandara, Kosala Yapa; Thakur, Subhasis; Liu, Kelly; Crowley, Bridgette; Desaraju, Sowmya; Ospina, Angela; Bradau, Horia</t>
  </si>
  <si>
    <t>Charting Past, Present, and Future Research in the Semantic Web and Interoperability</t>
  </si>
  <si>
    <t>semantic web; interoperability; ontology; internet of things; semantic web services; bioinformatics; building information modeling; bibliometric</t>
  </si>
  <si>
    <t>OF-THE-ART; EDUCATIONAL RESOURCES; BIBLIOMETRIC ANALYSIS; KNOWLEDGE MANAGEMENT; INFORMATION-SYSTEMS; BRINGING SEMANTICS; ONTOLOGY; INTERNET; THINGS; CHALLENGES</t>
  </si>
  <si>
    <t>Huge advances in peer-to-peer systems and attempts to develop the semantic web have revealed a critical issue in information systems across multiple domains: the absence of semantic interoperability. Today, businesses operating in a digital environment require increased supply-chain automation, interoperability, and data governance. While research on the semantic web and interoperability has recently received much attention, a dearth of studies investigates the relationship between these two concepts in depth. To address this knowledge gap, the objective of this study is to conduct a review and bibliometric analysis of 3511 Scopus-registered papers on the semantic web and interoperability published over the past two decades. In addition, the publications were analyzed using a variety of bibliometric indicators, such as publication year, journal, authors, countries, and institutions. Keyword co-occurrence and co-citation networks were utilized to identify the primary research hotspots and group the relevant literature. The findings of the review and bibliometric analysis indicate the dominance of conference papers as a means of disseminating knowledge and the substantial contribution of developed nations to the semantic web field. In addition, the keyword co-occurrence network analysis reveals a significant emphasis on semantic web languages, sensors and computing, graphs and models, and linking and integration techniques. Based on the co-citation clustering, the Internet of Things, semantic web services, ontology mapping, building information modeling, bioinformatics, education and e-learning, and semantic web languages were identified as the primary themes contributing to the flow of knowledge and the growth of the semantic web and interoperability field. Overall, this review substantially contributes to the literature and increases scholars' and practitioners' awareness of the current knowledge composition and future research directions of the semantic web field.</t>
  </si>
  <si>
    <t>[Rejeb, Abderahman] Univ Roma Tor Vergata, Fac Econ, Dept Management &amp; Law, Via Columbia 2, I-00133 Rome, Italy; [Keogh, John G.; Bradau, Horia] McGill Ctr Convergence Hlth &amp; Econ MCCHE, Montreal, PQ H3C 3J7, Canada; [Martindale, Wayne] Univ Lincoln, Natl Ctr Food Mfg, Ctr Excellence Technol Pk, Holbeach PE12 7LD, Spalding, England; [Dooley, Damion] Simon Fraser Univ, Ctr Infect Dis Genom &amp; Hlth 1, Burnaby, BC V5A 1S6, Canada; [Smart, Edward] Univ Portsmouth, Inst Ind Res, Portsmouth PO1 2DY, Hants, England; [Simske, Steven] Colorado State Univ, Syst Engn Dept, Ft Collins, CO 80523 USA; [Wamba, Samuel Fosso] Toulouse Business Sch, Dept Informat Operat &amp; Management Sci, F-31068 Toulouse, France; [Breslin, John G.; Bandara, Kosala Yapa; Thakur, Subhasis] Natl Univ Ireland Galway, Data Sci Inst, Galway H91 TK33, Ireland; [Liu, Kelly; Crowley, Bridgette; Desaraju, Sowmya] McGill MCCHE Summer Res Intern Program, Montreal, PQ H2Y 2E7, Canada; [Ospina, Angela] Univ Libre Bruxelles, Inst Etud Europeennes IEE, B-1050 Brussels, Belgium</t>
  </si>
  <si>
    <t>University of Rome Tor Vergata; University of Lincoln; Simon Fraser University; University of Portsmouth; Colorado State University; Universite Federale Toulouse Midi-Pyrenees (ComUE); Universite de Toulouse; TBS Education; Universite Libre de Bruxelles</t>
  </si>
  <si>
    <t>Keogh, JG (corresponding author), McGill Ctr Convergence Hlth &amp; Econ MCCHE, Montreal, PQ H3C 3J7, Canada.</t>
  </si>
  <si>
    <t>abderahman.rejeb@students.uniroma2.eu; john@shantalla.org; wmartindale@lincoln.ac.uk; dooley@sfu.ca; edward.smart@port.ac.uk; steve.simske@colostate.edu; s.fosso-wamba@tbs-education.fr; john.breslin@nuigalway.ie; kosalayb@gmail.com; subhasis.thakur@insight-centre.org; crkellyliu@gmail.com; bridgette.crowley@icloud.com; sowmyad96@gmail.com; ajospinae@gmail.com; horia.bradau@nutriscope.ca</t>
  </si>
  <si>
    <t>Keogh, John G./HNJ-3346-2023; Breslin, John G/B-7025-2015; Fosso Wamba, Samuel/AAB-4953-2019; MARTINDALE, WAYNE/R-8135-2017; Smart, Edward/H-8245-2012</t>
  </si>
  <si>
    <t>Keogh, John G./0000-0002-7332-110X; Breslin, John G/0000-0001-5790-050X; Fosso Wamba, Samuel/0000-0002-1073-058X; Liu, Kelly/0000-0003-0804-9098; MARTINDALE, WAYNE/0000-0003-0117-1875; Smart, Edward/0000-0003-4089-7476; Dooley, Damion/0000-0002-8844-9165; Simske, Steven/0000-0002-6937-1956</t>
  </si>
  <si>
    <t>Science Foundation Ireland [16/RC/3918, 12/RC/2289_P2, 16/RC/3835]; European Union [958371]; Colorado State University; McGill Center for the Convergence of health and Economics (MCCHE)</t>
  </si>
  <si>
    <t>Science Foundation Ireland(Science Foundation Ireland); European Union(European Union (EU)); Colorado State University; McGill Center for the Convergence of health and Economics (MCCHE)</t>
  </si>
  <si>
    <t>This publication has emanated from research supported in part by grants from Science Foundation Ireland under Grant Numbers 16/RC/3918, 12/RC/2289_P2 and 16/RC/3835, and by a grant from the European Union's Horizon 2020 research and innovation programme under Grant Number 958371. Further grants supporting this research were provided by Colorado State University and the McGill Center for the Convergence of health and Economics (MCCHE). Author John G. Keogh was partially funded as chairman of Trace Alliance (1 June 2021 to 31 December 2021).</t>
  </si>
  <si>
    <t>10.3390/fi14060161</t>
  </si>
  <si>
    <t>2K0JZ</t>
  </si>
  <si>
    <t>WOS:000816032900001</t>
  </si>
  <si>
    <t>Joffre, OM; Poortvliet, PM; Klerkx, L</t>
  </si>
  <si>
    <t>Joffre, Olivier M.; Poortvliet, P. Marijn; Klerkx, Laurens</t>
  </si>
  <si>
    <t>To cluster or not to cluster farmers? Influences on network interactions, risk perceptions, and adoption of aquaculture practices</t>
  </si>
  <si>
    <t>Shrimp farming; Vietnam; Adoption; Risk perception; farmers' interactions; Group farming</t>
  </si>
  <si>
    <t>CONSERVATION PRACTICES; SHRIMP AQUACULTURE; MEKONG DELTA; ECONOMICS; CERTIFICATION; TECHNOLOGIES; UNCERTAINTY; MANAGEMENT; INDONESIA; PROVINCE</t>
  </si>
  <si>
    <t>Over the course of just a few years, shrimp farming has become a major aquaculture production system in coastal areas of several developing countries across the globe. However, farmers are facing a variety of risks related to disease, market, and climate, which influence risk management strategies and adoption of new technologies. This paper looks at three practices related to pond management: (1) water quality management to ensure a good environment for shrimp growth; (2) adequate feed input; and (3) disease control practices in order to mitigate the risk of disease outbreak in the pond. We investigated adoption of these three practices in smallholder shrimp farms in the Mekong Delta, by exploring how and whether membership into a producer's cluster influences access to knowledge and perception of risk in the adoption process. The results show that, after controlling for farm characteristics, farm clustering has a positive relationship with the adoption of water quality management, feed inputs, and disease control practices. Results also indicate that increasing interaction frequency with public sector and private sector's actors, as well as the perceived degree of market risk, positively influences the adoption of the three pond management practices under study. Mediation analyses show that being a member of a farmer cluster influences adoption of farming practices via two underlying processes: frequency of interaction with public and private sector's actors, and perception of market risk, both of which ultimately promote the adoption of practices. We conclude that clustering is a promising avenue for fostering interactions between farmers and key supporting actors in aquaculture, and impacts both the formation of specific aqua-related risk perceptions and subsequent practice adoption. As such, clusters - by fostering linkages and facilitating interactions between different knowledge sources - can promote adoption of practices toward sustainable intensification. However, to more effectively deploy a cluster approach a key policy and practice implication is to take into consideration local idiosyncrasies defined by their social interactions, risk perception and spatial dimensions in order to better facilitate local linkages between farms (horizontal coordination) and a better integration with the value chain (vertical coordination).</t>
  </si>
  <si>
    <t>[Joffre, Olivier M.] WorldFish, Phnom Penh, Cambodia; [Poortvliet, P. Marijn] Wageningen Univ, Strateg Commun Grp, Wageningen, Netherlands; [Joffre, Olivier M.; Klerkx, Laurens] Wageningen Univ, Knowledge Technol &amp; Innovat Grp, Wageningen, Netherlands</t>
  </si>
  <si>
    <t>CGIAR; Worldfish; Wageningen University &amp; Research; Wageningen University &amp; Research</t>
  </si>
  <si>
    <t>Poortvliet, PM (corresponding author), Wageningen Univ, Subdept Commun Philosophy &amp; Technol, Strateg Commun Grp, POB 8130, NL-6700 EW Wageningen, Netherlands.</t>
  </si>
  <si>
    <t>marijn.poortvliet@wur.nl</t>
  </si>
  <si>
    <t>Klerkx, Laurens/ABD-4957-2021</t>
  </si>
  <si>
    <t>Joffre, Olivier M./0000-0002-7857-5766</t>
  </si>
  <si>
    <t>Netherlands Organization for Scientific Research (WOTRO); Science for Global Development (NWO-WOTRO); CGIAR Research Program on Fish Agri-Food Systems (FISH)</t>
  </si>
  <si>
    <t>This study forms part of the Nutritious-system pond farming in Vietnam Project. Funding support for this study was provided by the Netherlands Organization for Scientific Research (WOTRO), Science for Global Development (NWO-WOTRO), and the CGIAR Research Program on Fish Agri-Food Systems (FISH).</t>
  </si>
  <si>
    <t>10.1016/j.agsy.2019.02.011</t>
  </si>
  <si>
    <t>HX8NE</t>
  </si>
  <si>
    <t>WOS:000467661800013</t>
  </si>
  <si>
    <t>Soukissian, TH; Adamopoulos, C; Prospathopoulos, A; Karathanasi, F; Stergiopoulou, L</t>
  </si>
  <si>
    <t>Soukissian, Takvor H.; Adamopoulos, Christos; Prospathopoulos, Aristides; Karathanasi, Flora; Stergiopoulou, Lydia</t>
  </si>
  <si>
    <t>Marine Renewable Energy Clustering in the Mediterranean Sea: The Case of PELAGOS Project</t>
  </si>
  <si>
    <t>FRONTIERS IN ENERGY RESEARCH</t>
  </si>
  <si>
    <t>marine renewables; Blue Growth; value chain; Greek Hub for Blue Energy; clusters; financial policy; innovation</t>
  </si>
  <si>
    <t>OFFSHORE WIND</t>
  </si>
  <si>
    <t>The main ideas presented in this work are an outcome of the Interreg MED project PELAGOS (Promoting innovative nEtworks and cLusters for mArine renewable energy synerGies in Mediterranean cOasts and iSlands). Since Blue Energy development is at its very beginning in the Mediterranean Sea, the aim of the paper is to present and discuss in depth the key-issues for a Marine Renewable Energy (MRE) cluster development in the Mediterranean and reveal its necessity for the commercial and sustainable development of Blue Energy in the area. This cluster is expected to stimulate the relevant Blue Energy sectors under the perspective of smart and sustainable growth. A healthy cluster is based on an efficient cluster policy. The main policy constituents (innovation, legislation and financial frameworks) are discussed taking into account the interrelated characteristics that are expected to specify the commercial development of MRE in the area. Key issues that can contribute to the establishment and acceleration of deployment of the related technological innovation are identified, and existent hindrances and challenges encountered in MRE sector are determined. The importance of solid financing instruments and strong collaborations among interested stakeholders is also highlighted for the viability of the MRE cluster. Finally, as an example of the cluster activities at a national level, the Greek Hub for Blue Energy is introduced. In this respect, aspects in terms of its structure and the services provided to its members are analyzed.</t>
  </si>
  <si>
    <t>[Soukissian, Takvor H.; Adamopoulos, Christos; Prospathopoulos, Aristides; Karathanasi, Flora; Stergiopoulou, Lydia] Natl Tech Univ Athens, Sch Naval Architecture &amp; Marine Engn, Athens, Greece</t>
  </si>
  <si>
    <t>National Technical University of Athens</t>
  </si>
  <si>
    <t>Soukissian, TH (corresponding author), Natl Tech Univ Athens, Sch Naval Architecture &amp; Marine Engn, Athens, Greece.</t>
  </si>
  <si>
    <t>tsouki@hcmr.gr</t>
  </si>
  <si>
    <t>Prospathopoulos, Aristides M./G-9216-2011; Karathanasi, Flora/AAH-3923-2021; Soukissian, Takvor/H-4380-2011</t>
  </si>
  <si>
    <t>Prospathopoulos, Aristides M./0000-0002-3150-6966; Karathanasi, Flora/0000-0002-6734-1948</t>
  </si>
  <si>
    <t>Interreg MED Modular Project PELAGOS - European Regional Development Fund; national contribution under the Funding Programme Interreg MED</t>
  </si>
  <si>
    <t>Interreg MED Modular Project PELAGOS - European Regional Development Fund(Interreg Europe); national contribution under the Funding Programme Interreg MED</t>
  </si>
  <si>
    <t>This work was supported by the Interreg MED Modular Project PELAGOS co-financed by the European Regional Development Fund and national contribution under the Funding Programme Interreg MED 2014-2020. Website: https://pelagos.interregmed.eu/.</t>
  </si>
  <si>
    <t>2296-598X</t>
  </si>
  <si>
    <t>FRONT ENERGY RES</t>
  </si>
  <si>
    <t>Front. Energy Res.</t>
  </si>
  <si>
    <t>10.3389/fenrg.2019.00016</t>
  </si>
  <si>
    <t>HW9IT</t>
  </si>
  <si>
    <t>WOS:000467005200001</t>
  </si>
  <si>
    <t>Foster, K; Penninti, P; Shang, J; Kekre, S; Hegde, GG; Venkat, A</t>
  </si>
  <si>
    <t>Foster, Krista; Penninti, Pooja; Shang, Jennifer; Kekre, Sunder; Hegde, Gajanan G.; Venkat, Arvind</t>
  </si>
  <si>
    <t>Leveraging Big Data to Balance New Key Performance Indicators in Emergency Physician Management Networks</t>
  </si>
  <si>
    <t>big data analytics; physician performance; patient satisfaction; managing value chain networks</t>
  </si>
  <si>
    <t>HEALTH RECORD IMPLEMENTATION; PATIENT SATISFACTION; PRODUCTIVITY; MEDICINE; SYSTEMS; EFFICIENCY; ANALYTICS; FUTURE</t>
  </si>
  <si>
    <t>Managing emergency physicians is a complex task and has increasingly intensified with the recent consolidation of many emergency departments (EDs). Large-scale physician groups are facing challenges in resource deployment and performance evaluation. To objectively evaluate physicians across facilities, we leverage big data from an emergency physician management network and propose data-driven metrics using a large-scale database consisting of 84 hospitals, 1,079 physicians, and 10,615,879 patient visits in 14 states over 600,000 clinical shifts from 2010 to 2014. To ensure physicians are fairly evaluated and compensated within diverse facilities, we propose an index system and use clustering to help identify factors which might impact physician performance. The proposed indices benchmark physicians from the perspectives of revenue potential, patient volume, patient complexity, and patient experience by controlling for exogenous factors at the facility level. We empirically show the volume and complexity indices are key elements of the revenue potential index, and use two-stage least squares regression to relate volume and complexity and uncover their drivers. Revenue potential and patient experience are found to be positively correlated, which suggests productive physicians are often liked by their patients. Through implementing the proposed evaluation system, administrators can better manage and incentivize physicians and provide directions for performance improvement, while controlling for location idiosyncrasies. The proposed framework can also be adapted to non-medical professional settings such as value chains, where employees often provide services in various profit- and cost-centers.</t>
  </si>
  <si>
    <t>[Foster, Krista; Shang, Jennifer; Hegde, Gajanan G.] Univ Pittsburgh, Katz Grad Sch Business, Pittsburgh, PA 15260 USA; [Penninti, Pooja] Carnegie Mellon Univ, Dietrich Sch, Pittsburgh, PA 15213 USA; [Kekre, Sunder] Carnegie Mellon Univ, Tepper Sch Business, Pittsburgh, PA 15213 USA; [Venkat, Arvind] Allegheny Hlth Network, Dept Emergency Med, Pittsburgh, PA 15212 USA; [Venkat, Arvind] US Acute Care Solut, Canton, OH 44718 USA</t>
  </si>
  <si>
    <t>Pennsylvania Commonwealth System of Higher Education (PCSHE); University of Pittsburgh; Carnegie Mellon University; Carnegie Mellon University</t>
  </si>
  <si>
    <t>Foster, K (corresponding author), Univ Pittsburgh, Katz Grad Sch Business, Pittsburgh, PA 15260 USA.</t>
  </si>
  <si>
    <t>Kmf88@pitt.edu; ppennint@andrew.cmu.edu; shang@katz.pitt.edu; skekre@cmu.edu; hegde@pitt.edu; avenkat@ahn-emp.com</t>
  </si>
  <si>
    <t>Center for Health Care Management at the University of Pittsburgh</t>
  </si>
  <si>
    <t>This research was partially supported by the Center for Health Care Management at the University of Pittsburgh. The authors acknowledge US Acute Care Solutions for their help in compiling the data used in this study and thank Dominic Bagnoli, MD, Michael Osmundson, MD, James Augustine, MD, Amer Aldeen, MD, and the leadership of US Acute Care Solutions for their collaboration. The authors also acknowledge the critical review of the manuscript by Jestin N. Carlson, MD, Michael J. Ward, MD, MBA and Jesse M. Pines, MD, MBA, MSCE and the support of this project by Christopher Corbit, MD, Suzi Fix, JD, Paul Dietzen, and Jesse Eterovich, BS. Finally, the authors are grateful to the Editor and two anonymous reviewers for their constructive comments.</t>
  </si>
  <si>
    <t>10.1111/poms.12835</t>
  </si>
  <si>
    <t>WOS:000447161000005</t>
  </si>
  <si>
    <t>Naims, H</t>
  </si>
  <si>
    <t>Naims, Henriette</t>
  </si>
  <si>
    <t>Economic aspirations connected to innovations in carbon capture and utilization value chains</t>
  </si>
  <si>
    <t>JOURNAL OF INDUSTRIAL ECOLOGY</t>
  </si>
  <si>
    <t>carbon capture and utilization; carbon dioxide; industrial ecology; industrial symbiosis; technological innovation; value chains</t>
  </si>
  <si>
    <t>CO2 UTILIZATION; TECHNOECONOMIC ASSESSMENT; DIOXIDE UTILIZATION; CONVERSION; FUELS; H-2</t>
  </si>
  <si>
    <t>International authorities are increasingly recognizing that utilizing the carbon dioxide (CO2) emissions from various industries can assist strategies for mitigating climate change. In developing novel carbon capture and utilization (CCU) technologies they aspire to contribute to circular economy targets and reduce consumption of fossil-based raw materials. However, the potential economic effects of CCU on industrial value chains remain unclear. Hence, this study investigates the economic expectations placed on those actors currently conducting research and development (R&amp;D) in CCU. The aspired levels of economic performance are identified through a systematic literature review of 19 policy advice reports and 15 scientific papers. Qualitative directed content analysis is conducted, based on an R&amp;D input-output-outcome system. First, we identify three relevant groups of value chain actors by clustering industrial sectors: (a) equipment manufacturers, (b) high-emitting producers, and (c) producers of materials and fuels. Then, we derive a criteria list from the review. Finally, the analysis reveals how CCU innovations are anticipated to impact different industries: Equipment manufacturers could contribute to economic growth. For high-emitting producers, CCU provides one option for surviving sustainability transitions. Meanwhile, material and fuel producers need to act as problem solvers by offering competitive ways of utilizing CO2. We conclude by identifying research gaps that should be addressed to better understand the economic and social dimensions of CCU and to increase the chances of such innovations contributing to broader sustainability transformations of industrial and energy systems.</t>
  </si>
  <si>
    <t>[Naims, Henriette] Inst Adv Sustainabil Studies eV, Berliner Str 130, D-14467 Potsdam, Germany; [Naims, Henriette] Free Univ Berlin, Sch Business &amp; Econ, Berlin, Germany</t>
  </si>
  <si>
    <t>Free University of Berlin</t>
  </si>
  <si>
    <t>Naims, H (corresponding author), Inst Adv Sustainabil Studies eV, Berliner Str 130, D-14467 Potsdam, Germany.</t>
  </si>
  <si>
    <t>henriette.naims@iass-potsdam.de</t>
  </si>
  <si>
    <t>1088-1980</t>
  </si>
  <si>
    <t>1530-9290</t>
  </si>
  <si>
    <t>J IND ECOL</t>
  </si>
  <si>
    <t>J. Ind. Ecol.</t>
  </si>
  <si>
    <t>10.1111/jiec.13003</t>
  </si>
  <si>
    <t>OB8FL</t>
  </si>
  <si>
    <t>WOS:000524297300001</t>
  </si>
  <si>
    <t>Zeller, C</t>
  </si>
  <si>
    <t>Clustering biotech: A recipe for success? Spatial patterns of growth of biotechnology in Munich, Rhineland and Hamburg</t>
  </si>
  <si>
    <t>REGIONAL-DEVELOPMENT; INNOVATION; GOVERNANCE</t>
  </si>
  <si>
    <t>The dynamic growth of biotechnology in Germany in recent years has an obviously spatial pattern. Some regions show a substantial potential for start-ups and young firms of this new industry whereas others lag behind. The paper is discussing this unequal spatial development elaborating perspectives which derive from recent debates about regional innovation systems. The biotech regions Munich and Rhineland, both winner regions of the BioRegio Competition are described and compared with the situation in Hamburg where biotechnology is much less important. We analyze the degree and relevance of locally integrated input-output relations of innovation systems based on typologies of the wide range of firms within the biotechnological value chain and the forms of co-operation. Moreover, a qualitative estimate is given with respect to the significance of untraded relationships and regional knowledge spillovers. Factors favoring local integration are compared with those favoring input-output systems on a transatlantic scale. The paper discusses the question whether the biotech industries in the regions of Munich, Rhineland and Hamburg represent identifiable regional systems of innovation. Our findings show that the spatial concentration does not necessarily imply a close network of input-output relations within a cluster. Knowledge and technology transfer often happens on a international, mostly on the North Atlantic scale. The exchange of tacit knowledge, however, is facilitated by spatial proximity. This underlines the importance of untraded relations and relational assets in a region. Political and institutional support for building a business community can reduce barriers to launch risky commercialization processes.</t>
  </si>
  <si>
    <t>Univ Hamburg, Inst Geog, Arbeitsbereich Wirtschaftsgeog, D-20148 Hamburg, Germany</t>
  </si>
  <si>
    <t>Zeller, C (corresponding author), Univ Hamburg, Inst Geog, Arbeitsbereich Wirtschaftsgeog, Bundesstr 55, D-20148 Hamburg, Germany.</t>
  </si>
  <si>
    <t>zeller@geowiss.uni-hamburg.de</t>
  </si>
  <si>
    <t>Zeller, Christian/C-8281-2013</t>
  </si>
  <si>
    <t>10.1023/A:1011182624329</t>
  </si>
  <si>
    <t>446PB</t>
  </si>
  <si>
    <t>WOS:000169520700010</t>
  </si>
  <si>
    <t>Tolentino-Zondervan, F; Zondervan, NA</t>
  </si>
  <si>
    <t>Tolentino-Zondervan, Frazen; Zondervan, Niels A.</t>
  </si>
  <si>
    <t>Sustainable fishery management trends in Philippine fisheries</t>
  </si>
  <si>
    <t>OCEAN &amp; COASTAL MANAGEMENT</t>
  </si>
  <si>
    <t>Fishery management; Philippines; PRISMA; Sustainability; Text-mining</t>
  </si>
  <si>
    <t>MARINE PROTECTED AREAS; INTEGRATED COASTAL MANAGEMENT; SMALL-SCALE FISHERIES; CENTRAL VISAYAS REGION; RESOURCE-MANAGEMENT; CALAMIANES ISLANDS; DANAJON BANK; ARTISANAL FISHERY; FISHING EFFORT; VALUE CHAIN</t>
  </si>
  <si>
    <t>Sustainable production of fish and seafood products contributes to achieving the economic, social, and environmental goals in fisheries. Different sustainability strategies are applied to achieve these three goals. This paper presents a meta-analysis of the status and implementation of various sustainable fishery management strategies in the Philippines over the past 20 years. We identified various management themes and the extent these themes are related to economic, social and environmental sustainability goals using Preferred Reporting Items for Systematic Reviews and Meta Analyses (PRISMA) and text mining. Six sustainability management themes were identified. The analysis shows that overall, the sustainability management themes appear to be socio-economic in nature based on the relative occurrences of indicators belonging to the three sustainability goals. When comparing the strength of the three sustainability goals in each management theme, the social goal appears to be most prominent in four management themes, the economic goal in one theme, and a balance of the three sustainability goals in another theme. Furthermore, this study shows which fishery management themes are most (dis-)similar based on clustering. Policy makers and other fishery management bodies can use these insights to optimize the sustainability goals in fisheries by not only relying on a single management theme in each fishery, by improving focus on large scale fishers, by incorporating underexplored sustainability indicators, and by adapting current trends and proven-to-be effective management themes.</t>
  </si>
  <si>
    <t>[Tolentino-Zondervan, Frazen] HAN Univ Appl Sci, Res Grp Logist &amp; Alliances, Arnhem, Netherlands; [Tolentino-Zondervan, Frazen] HAN Univ Appl Sci, Int Sch Business, Arnhem, Netherlands; [Zondervan, Niels A.] Wallet Recovery NL, Wageningen, Netherlands</t>
  </si>
  <si>
    <t>Tolentino-Zondervan, F (corresponding author), HAN Univ Appl Sci, Res Grp Logist &amp; Alliances, Arnhem, Netherlands.</t>
  </si>
  <si>
    <t>frazentolentino@gmail.com</t>
  </si>
  <si>
    <t>Zondervan, Niels/HOA-6330-2023; Tolentino-Zondervan, Frazen/GRJ-2337-2022</t>
  </si>
  <si>
    <t>Zondervan, Niels/0000-0001-7049-5334; Tolentino-Zondervan, Frazen/0000-0002-3818-4031</t>
  </si>
  <si>
    <t>0964-5691</t>
  </si>
  <si>
    <t>1873-524X</t>
  </si>
  <si>
    <t>OCEAN COAST MANAGE</t>
  </si>
  <si>
    <t>Ocean Coastal Manage.</t>
  </si>
  <si>
    <t>10.1016/j.ocecoaman.2022.106149</t>
  </si>
  <si>
    <t>Oceanography; Water Resources</t>
  </si>
  <si>
    <t>1V9DX</t>
  </si>
  <si>
    <t>WOS:000806385600004</t>
  </si>
  <si>
    <t>Everingham, Y; Sexton, J; Skocaj, D; Inman-Bamber, G</t>
  </si>
  <si>
    <t>Everingham, Yvette; Sexton, Justin; Skocaj, Danielle; Inman-Bamber, Geoff</t>
  </si>
  <si>
    <t>Accurate prediction of sugarcane yield using a random forest algorithm</t>
  </si>
  <si>
    <t>AGRONOMY FOR SUSTAINABLE DEVELOPMENT</t>
  </si>
  <si>
    <t>APSIM; Agriculture; Nitrogen; Fertilizer; Value chain; Random forest</t>
  </si>
  <si>
    <t>SELECTION; CITIES</t>
  </si>
  <si>
    <t>Foreknowledge about sugarcane crop size can help industry members make more informed decisions. There exists many different combinations of climate variables, seasonal climate prediction indices, and crop model outputs that could prove useful in explaining sugarcane crop size. A data mining method like random forests can cope with generating a prediction model when the search space of predictor variables is large. Research that has investigated the accuracy of random forests to explain annual variation in sugarcane productivity and the suitability of predictor variables generated from crop models coupled with observed climate and seasonal climate prediction indices is limited. Simulated biomass from the APSIM (Agricultural Production Systems sIMulator) sugarcane crop model, seasonal climate prediction indices and observed rainfall, maximum and minimum temperature, and radiation were supplied as inputs to a random forest classifier and a random forest regression model to explain annual variation in regional sugarcane yields at Tully, in northeastern Australia. Prediction models were generated on 1 September in the year before harvest, and then on 1 January and 1 March in the year of harvest, which typically runs from June to November. Our results indicated that in 86.36 % of years, it was possible to determine as early as September in the year before harvest if production would be above the median. This accuracy improved to 95.45 % by January in the year of harvest. The R-squared of the random forest regression model gradually improved from 66.76 to 79.21 % from September in the year before harvest through to March in the same year of harvest. All three sets of variables-(i) simulated biomass indices, (ii) observed climate, and (iii) seasonal climate prediction indices-were typically featured in the models at various stages. Better crop predictions allows farmers to improve their nitrogen management to meet the demands of the new crop, mill managers could better plan the mill's labor requirements and maintenance scheduling activities, and marketers can more confidently manage the forward sale and storage of the crop. Hence, accurate yield forecasts can improve industry sustainability by delivering better environmental and economic outcomes.</t>
  </si>
  <si>
    <t>[Everingham, Yvette; Sexton, Justin] James Cook Univ, Ctr Trop Environm &amp; Sustainabil Sci, Townsville, Qld 4811, Australia; [Everingham, Yvette; Sexton, Justin; Skocaj, Danielle; Inman-Bamber, Geoff] James Cook Univ, Coll Sci Technol &amp; Engn, James Cook Dr, Townsville, Qld 4811, Australia; [Skocaj, Danielle] Sugar Res Australia, Tully, Qld 4068, Australia; [Inman-Bamber, Geoff] Crop Sci Consulting, Townsville, Qld 4811, Australia</t>
  </si>
  <si>
    <t>James Cook University; James Cook University</t>
  </si>
  <si>
    <t>Everingham, Y (corresponding author), James Cook Univ, Ctr Trop Environm &amp; Sustainabil Sci, Townsville, Qld 4811, Australia.;Everingham, Y (corresponding author), James Cook Univ, Coll Sci Technol &amp; Engn, James Cook Dr, Townsville, Qld 4811, Australia.</t>
  </si>
  <si>
    <t>yvette.everingham@jcu.edu.au</t>
  </si>
  <si>
    <t>Sexton, Justin/Y-5271-2019; Inman-Bamber, Geoff/B-8985-2016</t>
  </si>
  <si>
    <t>Sexton, Justin/0000-0003-4477-844X; Inman-Bamber, Geoff/0000-0001-9897-0846</t>
  </si>
  <si>
    <t>Sugar Research Australia</t>
  </si>
  <si>
    <t>Sugar Research Australia(Sugar Research Australia)</t>
  </si>
  <si>
    <t>The authors would like to thank Tully Sugar Limited for providing access to the productivity data. This research was funded by Sugar Research Australia.</t>
  </si>
  <si>
    <t>SPRINGER FRANCE</t>
  </si>
  <si>
    <t>PARIS</t>
  </si>
  <si>
    <t>22 RUE DE PALESTRO, PARIS, 75002, FRANCE</t>
  </si>
  <si>
    <t>1774-0746</t>
  </si>
  <si>
    <t>1773-0155</t>
  </si>
  <si>
    <t>AGRON SUSTAIN DEV</t>
  </si>
  <si>
    <t>Agron. Sustain. Dev.</t>
  </si>
  <si>
    <t>10.1007/s13593-016-0364-z</t>
  </si>
  <si>
    <t>Agronomy; Green &amp; Sustainable Science &amp; Technology</t>
  </si>
  <si>
    <t>Agriculture; Science &amp; Technology - Other Topics</t>
  </si>
  <si>
    <t>DL2EV</t>
  </si>
  <si>
    <t>WOS:000375447100004</t>
  </si>
  <si>
    <t>Bi, YQ; Bao, HY; Zhang, CH; Yao, RY; Li, MH</t>
  </si>
  <si>
    <t>Bi, Yaqiong; Bao, Haiying; Zhang, Chunhong; Yao, Ruyu; Li, Minhui</t>
  </si>
  <si>
    <t>Quality Control of Radix Astragali (The Root of Astragalus membranaceus var. mongholicus) Along Its Value Chains</t>
  </si>
  <si>
    <t>radix astragali; daodi herb; value chain; quality; grade</t>
  </si>
  <si>
    <t>CHALLENGES; ASSURANCE; TRADE</t>
  </si>
  <si>
    <t>Radix Astragali (RA), the root of Astragalus membranaceus var. mongholicus (Bunge) P.K. Hsiao, known as Huangqi in Chinese, has been used as a traditional herbal medicine or food in China for more than 2,000 years and is now consumed globally. Unfortunately, the increasing demand for RA has led to the overexploitation of its wild stock, as well as quality problems, including adulteration and contamination. Therefore, the sustainable cultivation of RA is urgently needed. In the present research, semi-structured interviews and key informant interviews were conducted, over a 2-year period, to collect data from stakeholders in the main production areas; moreover, a targeted chemical analysis-based quality assessment strategy was applied to understand the quality of RA. Accordingly, 10 different types of value chains (VCs) were identified in RA production; meanwhile, the contents of the main active ingredients (astragaloside and calycosin-7-O-beta-D-glucoside) were analyzed by HPLC-ELSD-UV and the yield of medicinal material was demined and further analyzed using k-means clustering analysis. The results show that the tight relationship between quality of the RA and stakeholders' revenues among the VCs, which reflects a more general trend in the production system. Over the past few decades, vertical coordination has emerged increasingly in VCs of RA, which leads to a more coherent traceability system and rigorous regulations in the supply chains. Daodi herbs can be considered to be a standard that is distinctive with good quality characteristics that emphasize the origins of the medicinal plants. We find that the suitability of geographical areas and vertical integration can improve the VCs of RA, which further contributes to its quality control, as well as its sustainable production.</t>
  </si>
  <si>
    <t>[Bi, Yaqiong; Li, Minhui] Inner Mongolia Autonomous Reg Acad Tradit Med, Hohhot, Peoples R China; [Bi, Yaqiong; Bao, Haiying; Li, Minhui] Jilin Agr Univ, Changchun, Peoples R China; [Zhang, Chunhong; Li, Minhui] Baotou Med Coll, Baotou, Peoples R China; [Zhang, Chunhong; Li, Minhui] Inner Mongolia Engn Res Ctr Planting &amp; Dev Astrag, Baotou, Peoples R China; [Yao, Ruyu] Chinese Acad Med Sci &amp; Peking Union Med Coll, Inst Med Plant Dev, Beijing, Peoples R China</t>
  </si>
  <si>
    <t>Jilin Agricultural University; Baotou Medical College; Chinese Academy of Medical Sciences - Peking Union Medical College; Peking Union Medical College; Institute of Medicinal Plant Development - CAMS</t>
  </si>
  <si>
    <t>Li, MH (corresponding author), Inner Mongolia Autonomous Reg Acad Tradit Med, Hohhot, Peoples R China.;Li, MH (corresponding author), Jilin Agr Univ, Changchun, Peoples R China.;Li, MH (corresponding author), Baotou Med Coll, Baotou, Peoples R China.;Li, MH (corresponding author), Inner Mongolia Engn Res Ctr Planting &amp; Dev Astrag, Baotou, Peoples R China.;Yao, RY (corresponding author), Chinese Acad Med Sci &amp; Peking Union Med Coll, Inst Med Plant Dev, Beijing, Peoples R China.</t>
  </si>
  <si>
    <t>yry0255@126.com; prof_liminhui@yeah.net</t>
  </si>
  <si>
    <t>zhang, cl/JDW-6549-2023; zhang, chunmei/IUQ-7038-2023; Yao, Ruyu/AAX-8432-2020</t>
  </si>
  <si>
    <t>Science and technology innovation guidance project in Inner Mongolia [KCBJ2018040]; Science and technology program in Inner Mongolia [201701040]; Medicine standardization project in Inner Mongolia [2018-008]; Science and technology achievements transformation project in Inner Mongolia [CGZH2018174]; China Agriculture Research System [CARS-21]; Chinese medicine public health service subsidy special the fourth survey on Chinese material medica resource [Finance Society (2019) 43]; Science and Technology Project of Inner Mongolia Autonomous Region [2020GG0144]</t>
  </si>
  <si>
    <t>Science and technology innovation guidance project in Inner Mongolia; Science and technology program in Inner Mongolia; Medicine standardization project in Inner Mongolia; Science and technology achievements transformation project in Inner Mongolia; China Agriculture Research System; Chinese medicine public health service subsidy special the fourth survey on Chinese material medica resource; Science and Technology Project of Inner Mongolia Autonomous Region</t>
  </si>
  <si>
    <t>This work was supported by Science and technology innovation guidance project in Inner Mongolia (grant No. KCBJ2018040), Science and technology program in Inner Mongolia (grant No. 201701040), Medicine standardization project in Inner Mongolia (grant No. 2018-008), Science and technology achievements transformation project in Inner Mongolia (grant No. CGZH2018174), China Agriculture Research System (grant No. CARS-21), 2019 Chinese medicine public health service subsidy special the fourth survey on Chinese material medica resource (grant No. Finance Society (2019) 43), Science and Technology Project of Inner Mongolia Autonomous Region (grant No. 2020GG0144).</t>
  </si>
  <si>
    <t>DEC 4</t>
  </si>
  <si>
    <t>10.3389/fphar.2020.562376</t>
  </si>
  <si>
    <t>PL3HI</t>
  </si>
  <si>
    <t>WOS:000603016700001</t>
  </si>
  <si>
    <t>Khokher, MR; Liao, QY; Smith, AL; Sun, CM; Mackenzie, D; Thomas, MR; Wang, DD; Edwards, EJ</t>
  </si>
  <si>
    <t>Khokher, Muhammad Rizwan; Liao, Qiyu; Smith, Adam L.; Sun, Changming; Mackenzie, Donald; Thomas, Mark R.; Wang, Dadong; Edwards, Everard J.</t>
  </si>
  <si>
    <t>Early Yield Estimation in Viticulture Based on Grapevine Inflorescence Detection and Counting in Videos</t>
  </si>
  <si>
    <t>Videos; Yield estimation; Detectors; Pipelines; Australia; Task analysis; Feature extraction; Grapevine; inflorescence detection; inflorescence tracking; early yield estimation; viticulture; computer vision; deep learning</t>
  </si>
  <si>
    <t>FLOWER ESTIMATION; IMAGE-ANALYSIS; NUMBER</t>
  </si>
  <si>
    <t>In viticulture, yield estimation is a key activity, which is important throughout the wine industry value chain. The earlier that an accurate yield estimation can be made the greater its value, increasing management options for grape growers and commercial options for winemakers. For the yield estimate based on in- field measurements at scale, the number of inflorescences emerging after bud-burst offers the earliest practical signal, allowing a yield potential to be determined months before harvest. This paper presents an approach to automatically count the inflorescence number at the phenological stage E-L 12 using RGB video data and demonstrates its use for estimating yield. A dataset consisting of RGB videos was collected shortly after bud-burst from multiple vineyards, in conjunction with hand counts to produce a manual ground-truth for the inflorescence counting task. The video frames were annotated using bounding-boxes around the inflorescences to produce a digital ground-truth. A deep learning architecture was developed to learn features from the video frames during training and detect the inflorescences at the later inference stage. The detection results were fed to a tracking pipeline built using computer vision and deep learning techniques to generate numbers of inflorescences present in test videos. The visual and quantitative results are presented and evaluated for the inflorescence detection and counting tasks. The developed inflorescence detector achieves an average precision of 80.00%, a recall of 83.92%, and an F1-score of 80.48%, through a five-fold cross-validation on the annotated dataset. For the test videos, the developed automatic inflorescence counting model reports an absolute error of 11.03 inflorescences per panel, a normalized mean absolute error of 10.80%, and an R(2 )of 0.86, when the predicted per-panel counts were compared to the corresponding manual ground-truth. Based on the counting results, we estimate an early yield that is within 4% to 11% error when compared to the actual yield after harvest. Based on these results and a separate analysis of the relationship between hand counts of inflorescences and harvest yields in three vineyards over three growing seasons, we conclude that computer vision and machine learning based methods have the potential to provide early yield estimation in viticulture with a commercially viable accuracy.</t>
  </si>
  <si>
    <t>[Khokher, Muhammad Rizwan; Liao, Qiyu; Sun, Changming; Wang, Dadong] CSIRO Data61, Marsfield, NSW 2122, Australia; [Smith, Adam L.; Mackenzie, Donald; Thomas, Mark R.; Edwards, Everard J.] CSIRO Agr &amp; Food, Waite Campus, Urrbrae, SA 5064, Australia</t>
  </si>
  <si>
    <t>Commonwealth Scientific &amp; Industrial Research Organisation (CSIRO); Commonwealth Scientific &amp; Industrial Research Organisation (CSIRO)</t>
  </si>
  <si>
    <t>Khokher, MR (corresponding author), CSIRO Data61, Marsfield, NSW 2122, Australia.</t>
  </si>
  <si>
    <t>rizwan.khokher@data61.csiro.au</t>
  </si>
  <si>
    <t>Sun, Changming/A-3276-2008; Wang, Dadong/A-5173-2009</t>
  </si>
  <si>
    <t>Sun, Changming/0000-0001-5943-1989; Wang, Dadong/0000-0003-0409-2259</t>
  </si>
  <si>
    <t>Department of Agriculture, Fisheries and Forestry; Wine Australia</t>
  </si>
  <si>
    <t>Department of Agriculture, Fisheries and Forestry(Australian GovernmentDepartment of Agriculture and Water Resources); Wine Australia(Australian Grape and Wine Authority)</t>
  </si>
  <si>
    <t>This work was supported by the Department of Agriculture, Fisheries and Forestry, through their Rural Research and Development for Profit Scheme and Wine Australia.</t>
  </si>
  <si>
    <t>10.1109/ACCESS.2023.3263238</t>
  </si>
  <si>
    <t>E6OP8</t>
  </si>
  <si>
    <t>WOS:000976716600001</t>
  </si>
  <si>
    <t>Benninga, J; Hennen, W; Schans, J</t>
  </si>
  <si>
    <t>Benninga, J.; Hennen, W.; Schans, J.</t>
  </si>
  <si>
    <t>Supply chain risk model for quantifying the cost-effectiveness of phytosanitary measures</t>
  </si>
  <si>
    <t>CROP PROTECTION</t>
  </si>
  <si>
    <t>Clustering of organisms; Negative binomial distribution; Product chain; Generic economic model; Potato spindle tuber viroid; Clavibacter michicanensis subsp michicanensis</t>
  </si>
  <si>
    <t>TRANSMISSION; DISEASE</t>
  </si>
  <si>
    <t>A chain risk model (CRM) has been developed to calculate the cost-effectiveness of phytosanitary measures. The CRM is a quantitative model for phytosanitary assessments of all kinds of agricultural product chains. In the CRM, chain stages are connected by the product volume streams at which infections of pests can be spread from one stage to another. The arrangement of the stages in the chain can be varied by the model's user. Primary infection of a pest in the chain stages can take place by imported commodities, from a former chain stage and from outside. Spread of pests is simulated by a spread factor and the multiplying factor of the product itself, estimated by the model user. The costs of measurements assessed and their effect on the pest or detection of the pest have to be entered in the model. The result of the model calculations is the cost effectiveness of a measurement or set of measurements. An additional result is an overview of the distribution of infected lots in the chain. Experience with the CRM has been gained by applying it to two actual problems: Clavibacter michicanensis subsp. michicanensis, which causes bacterial wilt and canker of tomato (Lycopersicon esculentum L) and Potato spindle tuber viroid (PSTVd) in potato (Solanum tuberosum L), which is also called tomato bunchy top virus. Both cases confirm the hypothesis that CRM is applicable for the assessment of various sets of measurements, like checks in different chain stages and application of a quality care system in some stages. The CRM is primarily intended for use by the Dutch Plant Protection Service (nVWA) but can also be used by other national plant protection organizations. The generic and flexible model can be used for calculations on topics as assessment of new detection techniques, assessment of risk reduction measurements on pathways and assessment of different alternatives of sampling in relation to different kinds of phytosanitary checks. (C) 2011 Elsevier Ltd. All rights reserved.</t>
  </si>
  <si>
    <t>[Benninga, J.; Hennen, W.] Agr Econ Res Inst Wageningen UR LEI, NL-2502 LS The Hague, Netherlands; [Schans, J.] Dutch Plant Protect Serv nVWA, NL-6706 EA Wageningen, Netherlands</t>
  </si>
  <si>
    <t>Benninga, J (corresponding author), Agr Econ Res Inst Wageningen UR LEI, POB 29703, NL-2502 LS The Hague, Netherlands.</t>
  </si>
  <si>
    <t>jan.benninga@WUR.nl</t>
  </si>
  <si>
    <t>0261-2194</t>
  </si>
  <si>
    <t>1873-6904</t>
  </si>
  <si>
    <t>CROP PROT</t>
  </si>
  <si>
    <t>Crop Prot.</t>
  </si>
  <si>
    <t>10.1016/j.cropro.2011.11.001</t>
  </si>
  <si>
    <t>892FB</t>
  </si>
  <si>
    <t>WOS:000300271000011</t>
  </si>
  <si>
    <t>Wang, Y; Luo, SY; Fan, JX; Xu, MZ; Wang, HZ</t>
  </si>
  <si>
    <t>Wang, Yong; Luo, Siyu; Fan, Jianxin; Xu, Maozeng; Wang, Haizhong</t>
  </si>
  <si>
    <t>Compensation and profit allocation for collaborative multicenter vehicle routing problems with time windows</t>
  </si>
  <si>
    <t>Compensation mechanism; Profit allocation; Collaborative multicenter vehicle routing; problems with time windows; NSGA-III; Pareto optimal solution</t>
  </si>
  <si>
    <t>HORIZONTAL COOPERATION; SUPPLY CHAIN; NSGA-III; DEPOT; OPTIMIZATION; LOGISTICS; SYSTEM; ALGORITHMS; SERVICE; MODEL</t>
  </si>
  <si>
    <t>With the growing interest in win-win cooperation within the logistics industry recently, collaborative multicenter logistics networks have witnessed the establishment of numerous alliances aimed at achieving cost savings. However, alliance members may choose to withdraw from an alliance due to changes in market positioning strategies and short-term profit considerations. Such withdraws often lead to the disintegration of the alliance and result in financial losses for the remaining non-defaulting members. This study focuses on addressing the issues of compensation and profit allocation in a specific scenario known as the collaborative multicenter vehicle routing problem with time windows and defaulting members withdrawal (CMVRPTWDMW). The objective is to ensure alliance stability and fair profit distribution among its members. To achieve this, a tri-objective mathematical model is proposed to optimize the re-formed alliances by considering the total operating cost, number of vehicles, and service waiting time. Additionally, an improved minimum cost remaining saving method is introduced to accurately quantify the deserved profits of non-defaulting members. Compensation quantification and default cost allocation models are then developed based on this analysis. To solve the CMVRPTWDMW and obtain Pareto optimal solutions, a hybrid heuristic algorithm is designed. This algorithm combines a 3D k-means clustering algorithm for customer reassignment after the withdrawal of defaulting members, effectively reducing the complexity of the problem. Furthermore, the algorithm employs a Clarke-Wright saving method-based nondominated sorting genetic algorithm-III (CW-NSGA-III) to search for optimal solutions. To enhance the algorithm's search ability, an elite alteration strategy and a penalty-based boundary intersection approach are incorporated into CW-NSGA-III. Finally, a real-world case study conducted in Chongqing City, China, is presented to demonstrate the feasibility of the proposed models and solution algorithms. The study contributes valuable insights into the sustainable operation of urban logistics networks that may experience unpredictable defaults, providing guidance for the stability of logistics alliances in the transportation sector.</t>
  </si>
  <si>
    <t>[Wang, Yong; Luo, Siyu; Xu, Maozeng] Chongqing Jiaotong Univ, Sch Econ &amp; Management, Chongqing 400074, Peoples R China; [Fan, Jianxin] Chongqing Jiaotong Univ, Sch River &amp; Ocean Engn, Chongqing 400074, Peoples R China; [Wang, Haizhong] Oregon State Univ, Sch Civil &amp; Construct Engn, Corvallis, OR 97330 USA</t>
  </si>
  <si>
    <t>Chongqing Jiaotong University; Chongqing Jiaotong University; Oregon State University</t>
  </si>
  <si>
    <t>Wang, Y (corresponding author), Chongqing Jiaotong Univ, Sch Econ &amp; Management, Chongqing 400074, Peoples R China.</t>
  </si>
  <si>
    <t>yongwx@cqjtu.edu.cn</t>
  </si>
  <si>
    <t>National Natural Science Foundation of China [71871035]; Major Science and Technology Research Project of Chongqing Municipal Education Commission [KJZD-M202300704]; Natural Science Foundation of Chongqing [CSTB2022NSCQ-MSX0535, CSTB2022NSCQ-MSX0394]; Chongqing Bayu Scholar Youth Project [YS2021058]</t>
  </si>
  <si>
    <t>National Natural Science Foundation of China(National Natural Science Foundation of China (NSFC)); Major Science and Technology Research Project of Chongqing Municipal Education Commission; Natural Science Foundation of Chongqing(Natural Science Foundation of Chongqing); Chongqing Bayu Scholar Youth Project</t>
  </si>
  <si>
    <t>This research is supported by National Natural Science Foundation of China (71871035) , Major Science and Technology Research Project of Chongqing Municipal Education Commission (KJZD-M202300704) , Natural Science Foundation of Chongqing in 2022 (CSTB2022NSCQ-MSX0535, CSTB2022NSCQ-MSX0394) , Chongqing Bayu Scholar Youth Project (YS2021058) .</t>
  </si>
  <si>
    <t>10.1016/j.eswa.2023.120988</t>
  </si>
  <si>
    <t>P0SE6</t>
  </si>
  <si>
    <t>WOS:001047816600001</t>
  </si>
  <si>
    <t>Forti, AW; Ramos, CC; Muniz , JM</t>
  </si>
  <si>
    <t>Forti, Antonio Wagner; Ramos, Cesar Coutinho; Muniz Jr, Jorge</t>
  </si>
  <si>
    <t>Integration of design structure matrix and modular function deployment for mass customization and product modularization: a case study on heavy vehicles</t>
  </si>
  <si>
    <t>Design techniques; Hierarchical clustering; Module design; Product development; Quality function deployment</t>
  </si>
  <si>
    <t>FAMILY DESIGN; COMPLEXITY; IMPACT; VARIETY; SYSTEMS</t>
  </si>
  <si>
    <t>This work presents the integrating process of two modularization methods: design structure matrix (DSM) and modular function deployment (MFD), to products with many components commonly found in the automotive industry. To validate this process, the authors and a cross-functional team worked on the modularization process of an air rear suspension system for heavy vehicles with 44 components. The DSM method was used first as a screening method. Its application generated the first modules reducing the number of components, since the fewer components the product has, the less laborious the application of the MFD method, and the more suitable the results (final set of modules). Therefore, the modularization process started with the DSM method base on a binary square matrix that shows the presence or absence of relationships between pairs of components in a system. A DSM algorithm reordered the binary square matrix elements to generate the preliminary modules. That way, 26 of the 44 components were grouped into eight modules that became new components, reducing the initial number of components from 44 to 26 (44 - 26 + 8). The MFD method incorporated the customer requirements using the quality function deployment (QFD), the engineering point of view utilizing the design property matrix (DPM), and the strategies of the company employing the module indication matrix (MIM) in the modularization process. The QFD matrix, DPM, and MIM union formed the product management matrix (PMM). A dendrogram helped the cross-functional team visualize the hierarchical relationship between the DPM and MIM components and analyze the modules' set. The cross-functional team chose seven final suitable modules considering components mounting in the assembly line and the supply chain of components too. This systematic modularization process showed up efficiently and made the work of the cross-functional team easy. Finally, the cross-functional team recommended the company board invest in knowledge management tools to assist the future cross-functional teams in replicating this modularization process in other heavy vehicle systems.</t>
  </si>
  <si>
    <t>[Forti, Antonio Wagner; Muniz Jr, Jorge] Sao Paulo State Univ Unesp, Sch Engn, Guaratingueta, Brazil; [Ramos, Cesar Coutinho] C ECC Chassis, Volkswagen Caminhoes &amp; Onibus, Resende, RJ, Brazil</t>
  </si>
  <si>
    <t>Universidade Estadual Paulista</t>
  </si>
  <si>
    <t>Forti, AW (corresponding author), Sao Paulo State Univ Unesp, Sch Engn, Guaratingueta, Brazil.</t>
  </si>
  <si>
    <t>aw.forti@unesp.br</t>
  </si>
  <si>
    <t>Forti, Antonio Wagner/ACQ-6298-2022</t>
  </si>
  <si>
    <t>Forti, Antonio Wagner/0000-0003-4675-4687</t>
  </si>
  <si>
    <t>10.1007/s00170-022-10615-3</t>
  </si>
  <si>
    <t>P2TD4</t>
  </si>
  <si>
    <t>WOS:000897730800003</t>
  </si>
  <si>
    <t>Thakur, KK; Revie, CW; Hurnik, D; Poljak, Z; Sanchez, J</t>
  </si>
  <si>
    <t>Thakur, K. K.; Revie, C. W.; Hurnik, D.; Poljak, Z.; Sanchez, J.</t>
  </si>
  <si>
    <t>Analysis of Swine Movement in Four Canadian Regions: Network Structure and Implications for Disease Spread</t>
  </si>
  <si>
    <t>TRANSBOUNDARY AND EMERGING DISEASES</t>
  </si>
  <si>
    <t>swine; movement; network analysis; two-mode network; infectious diseases</t>
  </si>
  <si>
    <t>RESPIRATORY SYNDROME VIRUS; POTENTIAL EPIDEMIC SIZE; PORK SUPPLY CHAIN; INFECTIOUS-DISEASES; ANIMAL MOVEMENTS; TRADE PATTERNS; TRANSPORT VEHICLES; CATTLE MOVEMENTS; NORTHERN GERMANY; CONTACT</t>
  </si>
  <si>
    <t>Direct and indirect contacts among animal holdings are important in the spread of infectious diseases. The objectives of this study were to describe networks of pig movements and the sharing of trucks used for those movements between swine farms in four Canadian regions using network analysis tools and to obtain contact parameters for infectious disease spread simulation models. Four months of swine movement data from a pilot pig traceability programme were used. Two types of networks were created using three time scales (weekly, monthly and the full study period): one-mode networks of farm-to-farm direct contact representing animal shipments and two-mode networks representing the sharing of trucks between farms. Contact patterns among farms were described by estimating a range of relevant network measures. The overall network neglecting the four regions consisted of 145 farms, which were connected by 261 distinct links. A total of 184 trucks were used to transport 2043 shipments of pigs during the study period. The median in-and out-degree for the overall one-mode network was 1 and ranged from 0 to 26 and 0 to 10, respectively. The overall one-mode network had heterogeneous degree distribution, a high clustering coefficient and shorter average path length than would be expected for randomly generated networks of similar size. On average one truck was shared by four farms in the overall network, or by three farms when considered the monthly and weekly networks. Degree distribution of the two-mode overall network demonstrated characteristics of power-law distribution. For more than 50% of shipments on any given day, the same truck was used for at least one other shipment. Findings from this study are in agreement with previous work, which suggested that swine movement networks exhibit small-world and scale-free topologies. Furthermore, trucks used for the shipment of pigs can play an important role in connecting otherwise unconnected farms and may increase the spread of disease.</t>
  </si>
  <si>
    <t>[Thakur, K. K.; Revie, C. W.; Hurnik, D.; Sanchez, J.] Univ Prince Edward Isl, Atlantic Vet Coll, Dept Hlth Management, Charlottetown, PE C1A 4P3, Canada; [Poljak, Z.] Univ Guelph, Ontario Vet Coll, Dept Populat Med, Guelph, ON N1G 2W1, Canada</t>
  </si>
  <si>
    <t>University of Prince Edward Island; University of Guelph</t>
  </si>
  <si>
    <t>Thakur, KK (corresponding author), 550 Univ Ave, Charlottetown, PE C1A 4P3, Canada.</t>
  </si>
  <si>
    <t>kthakur@upei.ca</t>
  </si>
  <si>
    <t>sanchez, javier/AAA-4179-2022; Thakur, Krishna/H-8736-2019; Revie, Crawford/B-5002-2011</t>
  </si>
  <si>
    <t>Thakur, Krishna/0000-0002-9964-4273; Revie, Crawford/0000-0002-5018-0340</t>
  </si>
  <si>
    <t>Canadian Swine Health Board</t>
  </si>
  <si>
    <t>The authors acknowledge the Canadian Swine Health Board for funding support for this study. The authors also like to thank the anonymous reviewers for their constructive review.</t>
  </si>
  <si>
    <t>1865-1674</t>
  </si>
  <si>
    <t>1865-1682</t>
  </si>
  <si>
    <t>TRANSBOUND EMERG DIS</t>
  </si>
  <si>
    <t>Transbound. Emerg. Dis.</t>
  </si>
  <si>
    <t>E14</t>
  </si>
  <si>
    <t>E26</t>
  </si>
  <si>
    <t>10.1111/tbed.12225</t>
  </si>
  <si>
    <t>Infectious Diseases; Veterinary Sciences</t>
  </si>
  <si>
    <t>DA8YV</t>
  </si>
  <si>
    <t>WOS:000368093800002</t>
  </si>
  <si>
    <t>Theodorou, P; Florou, G</t>
  </si>
  <si>
    <t>Theodorou, Petros; Florou, Giannoula</t>
  </si>
  <si>
    <t>Manufacturing strategies and financial performance - The effect of advanced information technology: CAD/CAM systems</t>
  </si>
  <si>
    <t>information systems; MIS; flexible manufacturing; statistics; cost benefit analysis</t>
  </si>
  <si>
    <t>Nowadays, the business environment is characterized by great uncertainty and variability. In this environment, information technology (IT) has proved to be an important strategic ingredient for the creation of competitive advantage. This role of IT has been widely accepted during the past few years [Feeny D. Creating and sustaining competitive advantage with IT. In: Earl M, editor. Information management the strategic direction. Oxford, 1990; Ives B. Wingtip Courtiers, Southern Methodist University Case Study #SMY/MIS/90-01, Edwin L. Cox School of Business, Dallas, TX, January 1990]. In the new era of production, strategic priorities rather than a cost contained focus have proved to be important for competition, namely: quality, dependability, flexibility, customer service, after sale service, supply chain management, etc. IT proved to be vital for successful competition as it can facilitate the attainment of these strategic targets. In this paper, the impact of IT on financial performance for the different types and levels of business strategy is examined. After the clustering of firms according to their strategic priorities, the effect of IT on financial performance is estimated. To do this a cross-sectional study was held in the field of Greek manufacturing firms that apply advanced IT, in order to explore which, how and in what level manufacturing priorities have been adopted. For that purpose, cluster analysis and VACOR algorithm were used, to distinguish clusters of firms and estimate the effect of IT on financial performance, for each type and level of strategic choice. Return on invested capital (ROIC) has been used as a criterion of performance in order to incorporate the effect of cost, revenues and profits. It was found that the effect of IT on financial performance was observed to be greater for firms which emphasize the higher level of flexibility strategy and the middle level of cost strategy. On the contrary, the effect of IT on performance, was observed to be greater for firms which emphasize a lower level of quality and innovation strategy. Further discussion of these results and conclusions were drawn. (c) 2006 Elsevier Ltd. All rights reserved.</t>
  </si>
  <si>
    <t>Athens Univ Econ &amp; Business, Dept Econ, Athens, Greece; Technol Educ Inst Kavala, Accountancy Dept, Ag Loukas, Kavala, Greece</t>
  </si>
  <si>
    <t>Athens University of Economics &amp; Business</t>
  </si>
  <si>
    <t>Theodorou, P (corresponding author), Athens Univ Econ &amp; Business, Dept Econ, 76 Patiss Str, Athens, Greece.</t>
  </si>
  <si>
    <t>theodoroupetros@go.com; gflorou@ierd.duth.gr</t>
  </si>
  <si>
    <t>Theodorou, Petros/R-7046-2017</t>
  </si>
  <si>
    <t>Theodorou, Petros/0000-0001-9964-5674; Florou, Giannoula/0000-0002-2621-2832</t>
  </si>
  <si>
    <t>10.1016/j.omega.2005.10.005</t>
  </si>
  <si>
    <t>220WU</t>
  </si>
  <si>
    <t>WOS:000250188800009</t>
  </si>
  <si>
    <t>Lee, PTW; Lee, SW; Hu, ZH; Choi, KS; Choi, NYH; Shin, SH</t>
  </si>
  <si>
    <t>Lee, Paul Tae-Woo; Lee, Sung-Woo; Hu, Zhi-Hua; Choi, Kyoung-Suk; Choi, Na Young Hwan; Shin, Sung-Ho</t>
  </si>
  <si>
    <t>Promoting Korean international trade in the East Sea Economic Rim in the context of the Belt and Road Initiative</t>
  </si>
  <si>
    <t>JOURNAL OF KOREA TRADE</t>
  </si>
  <si>
    <t>Big data; Complex network; Belt and Road Initiative; East Sea Economic Rim; Korea international trade; Port connectivity</t>
  </si>
  <si>
    <t>Purpose The purpose of this paper is to analyze maritime logistics connectivity of ports and shipping networks in the East Sea Economic Rim (ESER) to promote international trade in the context of China's Belt and Road Initiative (BRI), considering centrality, primary flow and clustering interaction. Design/methodology/approach The paper applies a complex network model, using a big data system consisting of an automated identification system, electronic data interchange and distributive and complex data. Three perspectives, including connectivity in trading ports and regions, centralities in the realm of complex network and potential marketing and regional impacts, and sixteen criteria are considered for this analysis. A visual approach has been also applied to highlight port connectivity and ship flows for the reader's convenience. Findings The paper shows that port connectivity and maritime logistics are enablers to promote Korean international trade in Northeast China through the ESER, and 25 major ports are well connected to promote international trade in the region with visual data of ship flows by ship type and by flag. Research limitations/implications Owing to the lack of port management information systems among the countries in the ESER except Korea and Japan, this paper could not capture cargo types and amounts on board. Port connectivity analysis shows links of the ports in the ESER to major ports in southeast Asia along the Twenty-first Century Maritime Silk Road (MSR). These results contribute to drawing policy implications to promote the ESER and provide suggestions for promoting Korean international trade by enhancing maritime logistics connectivity. Originality/value Unlike the existing literature showing descriptive and policy-oriented research related to ESER, this paper applied a vigorous method with a big amount of data to analyze port connectivity and ship flows in the ESER, considering China's BRI affecting the global supply chain system, maritime transportation, and logistics. In addition, the paper shows how the seaports in the ESER are connected along the MSR.</t>
  </si>
  <si>
    <t>[Lee, Paul Tae-Woo] Zhejiang Univ, Ocean Coll, Zhoushan, Peoples R China; [Lee, Sung-Woo; Choi, Na Young Hwan] Korea Maritime Inst, Busan, South Korea; [Hu, Zhi-Hua] Shanghai Maritime Univ, Shanghai, Peoples R China; [Choi, Kyoung-Suk] Shandong Normal Univ, Jinan, Shandong, Peoples R China; [Shin, Sung-Ho] Pyeongtaek Univ, Dept Int Logist, Pyeongtaek, South Korea</t>
  </si>
  <si>
    <t>Zhejiang University; Korea Maritime Institute; Shanghai Maritime University; Shandong Normal University; Pyeongtaek University</t>
  </si>
  <si>
    <t>Hu, ZH (corresponding author), Shanghai Maritime Univ, Shanghai, Peoples R China.</t>
  </si>
  <si>
    <t>zhhu@shmtu.edu.cn</t>
  </si>
  <si>
    <t>Choi, Kyoung-Suk/AAY-5143-2021; Hu, Zhi-Hua/HHS-8850-2022; Lee, Paul/AAM-2919-2021</t>
  </si>
  <si>
    <t>Hu, Zhi-Hua/0000-0003-4099-3310; Shin, Sungho/0000-0002-9724-1112</t>
  </si>
  <si>
    <t>National Nature Science of China [71471109]; Science and Technology Commission of Shanghai [16040501800]; Korea Maritime Institute (KMI)</t>
  </si>
  <si>
    <t>National Nature Science of China; Science and Technology Commission of Shanghai(Science &amp; Technology Commission of Shanghai Municipality (STCSM)); Korea Maritime Institute (KMI)</t>
  </si>
  <si>
    <t>The authors are thankful to the editors and the anonymous referees for their valuable comments and suggestions. This work is supported by research grant (title: A study on cooperation strategy of regional development and logistics market for the growth of the East Sea Rim, PI: Professor Paul Tae-Woo Lee) of Korea Maritime Institute (KMI). It is also partially supported by the National Nature Science of China (No. 71471109), the Science and Technology Commission of Shanghai (No. 16040501800).</t>
  </si>
  <si>
    <t>1229-828X</t>
  </si>
  <si>
    <t>J KOREA TRADE</t>
  </si>
  <si>
    <t>J. Korea. Trade.</t>
  </si>
  <si>
    <t>10.1108/JKT-03-2018-0015</t>
  </si>
  <si>
    <t>HA9IV</t>
  </si>
  <si>
    <t>WOS:000450615000002</t>
  </si>
  <si>
    <t>Chu, MY; Muhamad, HB; Mustapha, MB; San, OT; Zan, FF; Jia, XX</t>
  </si>
  <si>
    <t>Chu, Mingyue; Muhamad, Haslinah Binti; Mustapha, Mazlina Binti; San, Ong Tze; Zan, Fangfang; Jia, Xiaoxiao</t>
  </si>
  <si>
    <t>Research Trends in Corporate Social Responsibility and Innovation: A Bibliometric Analysis</t>
  </si>
  <si>
    <t>corporate social responsibility; innovation; bibliometric analysis; research trends</t>
  </si>
  <si>
    <t>GREEN INNOVATION; MANAGEMENT; SUSTAINABILITY; PERFORMANCE; TECHNOLOGY; DEVELOP; MODEL</t>
  </si>
  <si>
    <t>The relationship between corporate social responsibility (CSR) and innovation has received considerable attention in the last two decades. While several studies have explored the impact of CSR on innovation. While several studies have explored the impact of CSR on innovation, few studies have attempted to use bibliometric methods to analyze and visualize the evolution and trends in the CSR and innovation fields. In this research, 1279 Web of Science (WoS) published papers on CSR and innovation were collected and analyzed using VOSviwer, CiteSpace, and Bibliometrix R-package and the MK trend test. The analysis was conducted in terms of the number of articles published per year, most productive journals, authors, and countries, as well as collaboration between countries and authors, keyword analysis, co-citation clustering analysis, and research frontiers. The results showed that: (a) The MK trend test shows that the amount of CSR and innovation research is increasing. The top three journals in terms of productivity are Sustainability, Journal of Cleaner Production, and Corporate Social Responsibility and Environmental Management. The collaboration between authors forms a loose network and Ahmad, N has the most extensive network of international collaborations. There is close cooperation between countries, with a predominance of Asian, European, and North American collaborations, and the MK trend test shows that each country's publications on the relationship between corporate social responsibility and innovation in the past 20 years have an obvious upward trend. (b) Through the analysis of keywords, it is necessary to research corporate social responsibility, sustainability, innovation, financial performance , and other topics associated with these themes. (c) The intellectual structure of CSR and innovation establishes five core clusters, including social innovation, CSR practice, sustainable global value chain, sustainable business model, and buyer-supplier collaboration. (d) Two forward-looking directions for future CSR and innovation research are proposed, and the limitations of the research are discussed.</t>
  </si>
  <si>
    <t>[Chu, Mingyue; Muhamad, Haslinah Binti; Mustapha, Mazlina Binti; San, Ong Tze; Zan, Fangfang; Jia, Xiaoxiao] Univ Putra Malaysia, Sch Business &amp; Econ, Serdang 43400, Malaysia</t>
  </si>
  <si>
    <t>Chu, MY (corresponding author), Univ Putra Malaysia, Sch Business &amp; Econ, Serdang 43400, Malaysia.</t>
  </si>
  <si>
    <t>chumingyue217@gmail.com</t>
  </si>
  <si>
    <t>Zan, Fangfang/0009-0000-2620-0949; Ong, Tze San/0000-0001-7756-9404</t>
  </si>
  <si>
    <t>10.3390/su142114185</t>
  </si>
  <si>
    <t>6C8FL</t>
  </si>
  <si>
    <t>WOS:000882242700001</t>
  </si>
  <si>
    <t>Sangwa, NR; Sangwan, KS</t>
  </si>
  <si>
    <t>Sangwa, Narpat Ram; Sangwan, Kuldip Singh</t>
  </si>
  <si>
    <t>Prioritization and ranking of lean practices: a case study</t>
  </si>
  <si>
    <t>Lean practices; Lean implementation; Case study; ISM; IRP; Automotive industry</t>
  </si>
  <si>
    <t>CRITICAL SUCCESS FACTORS; MANUFACTURING PRACTICES; BUSINESS PERFORMANCE; IMPLEMENTATION; FRAMEWORK; BARRIERS; INDUSTRY; MODEL; ENTERPRISES; STRATEGY</t>
  </si>
  <si>
    <t>Purpose The paper aims to identify, prioritize and rank lean practices in the context of an Indian automotive component manufacturing organization using interpretive ranking process (IRP) and interpretive structural modeling (ISM) approaches. Design/methodology/approach Lean practices are identified from the literature. Then, two hierarchical models were are developed using two distinct modeling approaches - ISM and IRP with expert opinions from an Indian automotive component manufacturing organization to analyze the contextual relationships among the various lean practices and to prioritize and rank them with respect to performance dimensions. Findings In the study, the hierarchical structural models are developed using ISM and IRP approaches for an Indian automotive component manufacturing organization. In ISM-based modeling, lean practices can be categorized into five levels. Top priority should be given to the motivators followed by value chain, system/technology and organization centric practices. IRP model shows the dominance relationship among the various lean practices with respect to performance dimensions. Practical implications The models are constructed from the organizational standpoint to evaluate their impact to the implementation of lean manufacturing. The study leverages the organizations to prioritize limited resources as per the hierarchy. Managers get the inter-linkages and ranking of various lean practices, which leads to a better perspective for the effective implementation of lean. The structural models also assist management to assign proper roles to employees/departments for effective lean implementation. Originality/value There is hardly any structural model of lean practices in the literature for clustering, prioritizing and ranking of lean practices. The study fills this gap and develops the hierarchical models of lean practices through IRP and ISM approaches for an Indian automotive component manufacturing organization. The results from both approaches are compared for illustrating the benefits of one over the other.</t>
  </si>
  <si>
    <t>[Sangwa, Narpat Ram] Indian Inst Technol Ropar, Dept Mech Engn, Rupnagar, India; [Sangwan, Kuldip Singh] Birla Inst Technol &amp; Sci Pilani, Mech Engn, Pilani, Rajasthan, India</t>
  </si>
  <si>
    <t>Indian Institute of Technology System (IIT System); Indian Institute of Technology (IIT) - Ropar; Birla Institute of Technology &amp; Science Pilani (BITS Pilani)</t>
  </si>
  <si>
    <t>Sangwan, KS (corresponding author), Birla Inst Technol &amp; Sci Pilani, Mech Engn, Pilani, Rajasthan, India.</t>
  </si>
  <si>
    <t>kss@pilani.bits-pilani.ac.in</t>
  </si>
  <si>
    <t>Sangwa, Narpat Ram/IUM-5932-2023</t>
  </si>
  <si>
    <t>Sangwa, Narpat Ram/0000-0002-0459-1851; Sangwan, Kuldip Singh/0000-0003-4838-734X</t>
  </si>
  <si>
    <t>JUN 26</t>
  </si>
  <si>
    <t>10.1108/IJPPM-04-2021-0214</t>
  </si>
  <si>
    <t>K2PQ7</t>
  </si>
  <si>
    <t>WOS:000748391000001</t>
  </si>
  <si>
    <t>Cottle, D; Fleming, E</t>
  </si>
  <si>
    <t>Cottle, David; Fleming, Euan</t>
  </si>
  <si>
    <t>Do price premiums for wool characteristics vary for different end products, processing routes and fibre diameter categories?</t>
  </si>
  <si>
    <t>ANIMAL PRODUCTION SCIENCE</t>
  </si>
  <si>
    <t>hedonic models; value chain; wool sales</t>
  </si>
  <si>
    <t>NONLINEAR PROFIT-FUNCTIONS; SELECTION INDEXES; CLIP PREPARATION</t>
  </si>
  <si>
    <t>No Australian wool price hedonic studies have separated auction data into different end product-processing groups (PPR) on the basis of all fibre attributes that affect the suitability of wool sale lots for PPR. This study was conducted to assess: (1) whether including information about PPR groupings is more useful in understanding price than clustering by broad fibre diameter (FD) categories, and (2) if the 'noise' of macroeconomic effects on price can be reduced by using a clean price relative to the market indicator (RelPrice) formula or a log RelPrice formula compared with log price or clean price. Hedonic models using data derived from 369 918 Australian auction sale lots in 2010-2011 were estimated for these four dependent price variables. Linear FD models predicted less of price's variance than quadratic or exponential models. Segmenting wool sale lots into 10 PPR before wool price analyses was found to increase the proportion of price variance explained and thus be worthwhile. The change in price with a change in FD, staple length and staple strength differs significantly between PPR. Calculating RelPrice or log RelPrice appears a better price parameter than clean price or log price. Comparing the RelPrice and clean price models, the mean absolute percentage errors were 6.3% and 16.2%, respectively. The differences in price sensitivity to FD, staple length and staple strength across PPR implies a complex set of price-setting mechanisms for wool as different users place different values on these wool properties. These price-setting mechanisms need to be incorporated in hedonic models for agricultural products that possess this characteristic. The wool price premiums can be used to estimate relative economic values when constructing sheep breeding selection indexes and can help determine the most profitable wool clip preparation strategies.</t>
  </si>
  <si>
    <t>[Cottle, David] Univ New England, Sch Environm &amp; Rural Sci, Armidale, NSW 2351, Australia; [Fleming, Euan] Univ New England, Sch Business Econ &amp; Publ Policy, Armidale, NSW 2351, Australia</t>
  </si>
  <si>
    <t>University of New England; University of New England</t>
  </si>
  <si>
    <t>Cottle, D (corresponding author), Univ New England, Sch Environm &amp; Rural Sci, Armidale, NSW 2351, Australia.</t>
  </si>
  <si>
    <t>david.cottle@une.edu.au</t>
  </si>
  <si>
    <t>Cottle, David/0000-0003-3875-3465</t>
  </si>
  <si>
    <t>CSIRO PUBLISHING</t>
  </si>
  <si>
    <t>CLAYTON</t>
  </si>
  <si>
    <t>UNIPARK, BLDG 1, LEVEL 1, 195 WELLINGTON RD, LOCKED BAG 10, CLAYTON, VIC 3168, AUSTRALIA</t>
  </si>
  <si>
    <t>1836-0939</t>
  </si>
  <si>
    <t>1836-5787</t>
  </si>
  <si>
    <t>ANIM PROD SCI</t>
  </si>
  <si>
    <t>Anim. Prod. Sci.</t>
  </si>
  <si>
    <t>10.1071/AN14744</t>
  </si>
  <si>
    <t>EB7BA</t>
  </si>
  <si>
    <t>WOS:000387538800021</t>
  </si>
  <si>
    <t>Said, FF; Roslan, SNAS; Zaidi, MAS; Yaakub, MR</t>
  </si>
  <si>
    <t>Said, Fathin Faizah; Roslan, Sharifah Nur Ainn Syed; Zaidi, Mohd Azlan Shah; Yaakub, Mohd Ridzwan</t>
  </si>
  <si>
    <t>A Probe into the Status of the Oil Palm Sector in the Malaysian Value Chain</t>
  </si>
  <si>
    <t>ECONOMIES</t>
  </si>
  <si>
    <t>network analysis; input-output model; oil palm sector</t>
  </si>
  <si>
    <t>INTERNATIONAL-TRADE; NETWORK; INPUT; GLOBALIZATION; SYSTEM</t>
  </si>
  <si>
    <t>A ban on palm oil imports by the European Union has become a problematic issue, especially for palm oil producers' countries. Oil palm has been widely used in many sub-sectors, and any changes in the production side may affect many sectors that use oil palm as an input factor in their productions. This study explores the chain of the oil palm sector on the other sub-sectors in Malaysia by using a value-added multiplier method and network modeling. The study focuses on the specific oil palm sub-sector and oils and fats sub-sector in the Malaysian economic structure based on the Malaysian Input-Output 2015 Table. Network visualization and all the analyses involving network methods were developed and performed using UCINET and GEPHI software. The value-added multiplier results explained that the net value between output multiplier and import multiplier is vital to depict the real impact of net resources used as an input factor in the oils and fats and oil palm sub-sectors. The high-density value level shows that the Malaysian oil palm sector has high connectivity in the economic system. From the network visualization analysis, the oils and fats sub-sector has a high level of integration with other sectors within the network. Meanwhile, the oil palm sub-sector categorized in the periphery structure group has a low level of integration in the input-output network. This is due to the high value-added demand for oil palm in the oils and fats sub-sector in the manufacturing sector. Overall, most of the sub-sectors in Malaysia are highly interconnected due to the high clustering ratio. Therefore, ensuring sufficient oil palm production is vital for sustainable production of other sub-sectors.</t>
  </si>
  <si>
    <t>[Said, Fathin Faizah; Zaidi, Mohd Azlan Shah] Univ Kebangsaan Malaysia, Fac Econ &amp; Management, Ctr Sustainable &amp; Inclus Dev Studies, Bangi 43600, Selangor, Malaysia; [Roslan, Sharifah Nur Ainn Syed] Univ Kebangsaan Malaysia, Fac Econ &amp; Management, Bangi 43600, Selangor, Malaysia; [Yaakub, Mohd Ridzwan] Univ Kebangsaan Malaysia, Fac Informat Sci &amp; Technol, Ctr Artificial Intelligence &amp; Technol, Bangi 43600, Selangor, Malaysia</t>
  </si>
  <si>
    <t>Universiti Kebangsaan Malaysia; Universiti Kebangsaan Malaysia; Universiti Kebangsaan Malaysia</t>
  </si>
  <si>
    <t>Said, FF (corresponding author), Univ Kebangsaan Malaysia, Fac Econ &amp; Management, Ctr Sustainable &amp; Inclus Dev Studies, Bangi 43600, Selangor, Malaysia.</t>
  </si>
  <si>
    <t>fatin@ukm.edu.my; sharifahnurainn@yahoo.com.my; azlan@ukm.edu.my; ridzwanyaakub@ukm.edu.my</t>
  </si>
  <si>
    <t>Said, Fathin/HTN-8384-2023</t>
  </si>
  <si>
    <t>Said, Fathin Faizah/0000-0001-6137-8451</t>
  </si>
  <si>
    <t>MPOB-UKM Endowed Chair [EP-2019-052]</t>
  </si>
  <si>
    <t>MPOB-UKM Endowed Chair</t>
  </si>
  <si>
    <t>The authors greatly acknowledged the financial support from The MPOB-UKM Endowed Chair under the grant EP-2019-052.</t>
  </si>
  <si>
    <t>2227-7099</t>
  </si>
  <si>
    <t>Economies</t>
  </si>
  <si>
    <t>10.3390/economies9030106</t>
  </si>
  <si>
    <t>UV5EJ</t>
  </si>
  <si>
    <t>WOS:000699501200001</t>
  </si>
  <si>
    <t>Joshi, P; Tewari, V; Kumar, S; Singh, A</t>
  </si>
  <si>
    <t>Joshi, Parikshit; Tewari, Vijaishri; Kumar, Shailendra; Singh, Anshu</t>
  </si>
  <si>
    <t>Blockchain technology for sustainable development: a systematic literature review</t>
  </si>
  <si>
    <t>Sustainable development; Blockchain technology; Systematic literature review; Triple bottom line; Bibliometric analysis</t>
  </si>
  <si>
    <t>BUSINESS MODEL INNOVATION; SUPPLY CHAIN; SOCIAL COMMERCE; CLIMATE-CHANGE; MANAGEMENT; OPERATIONS; AGRICULTURE; FRAMEWORK; CREATION; ECONOMY</t>
  </si>
  <si>
    <t>Purpose - Blockchain technology (BCT) is one of the latest disruptive innovations, brought along with-it immense scope of diverse applications contributing towards sustainable development (SD). The consistent increase in the publications reveal that the application of BCT for SD has become popular among researchers and practitioners in past few years, in turn, urged for a systematic literature review (SLR) to get an insight into the research journey travelled so far and setting directions for future research in this area. Therefore, this study aims to identify, map and synthesize the available literature on application of BCT for SD. Design/methodology/approach - The automatic and manual search resulted into 1,277 studies from Scopus and Web of Science database. Further applying inclusion and exclusion criterion resulted in bringing out total of 157 studies, which were termed as primary studies. Based on the results of descriptive analysis, conducted through Bibliometric and VOSviewer software, the characteristics of BCT and its key capabilities, contributing towards shaping the recent SD literature, were critically examined. Identified research themes for clustering primary studies were aligned with United Nations Sustainability Development Goals (UNSDG). A mind-map was also prepared on the basis of thematic classification of primary studies. Findings - The research themes business practice and economic sustainability, agriculture and food security and business practice and environment sustainability were found to be the focal points of scholarly attention. Synthesis and analysis of primary studies resulted into classification of research gaps under four categories - theoretical foundation, methodological limitation, research themes and technology implementation challenges. The study was concluded by sensitizing and sanitizing the concrete research questions for future research. Research limitations/implications - The research findings shall be a roadmap for research scholars, academicians and practitioners to comprehend the present state of knowledge in the domain of BCT application for SD and decide upon adopting the future course of action to attain the UNSDGs by the year 2030. Originality/value - To the best of the authors' knowledge, the current study is the first attempt in its own sense to analyse and synthesize the available literature on attaining SD through BCT using SLR approach.</t>
  </si>
  <si>
    <t>[Joshi, Parikshit; Tewari, Vijaishri; Kumar, Shailendra] Indian Inst Informat Technol, Dept Management Studies, Prayagraj, India; [Singh, Anshu] Amity Univ, Amity Business Sch, Noida, India</t>
  </si>
  <si>
    <t>Indian Institute of Information Technology Allahabad; Amity University Noida</t>
  </si>
  <si>
    <t>Joshi, P (corresponding author), Indian Inst Informat Technol, Dept Management Studies, Prayagraj, India.</t>
  </si>
  <si>
    <t>f14parikshitj@iima.ac.in; vijayshri@iita.ac.in; shailendrak@iita.ac.in; asingh42@amity.edu</t>
  </si>
  <si>
    <t>Singh, Anshu/GNP-4477-2022; Kumar, Shailendra/JBS-3100-2023</t>
  </si>
  <si>
    <t>Joshi, Parikshit/0000-0003-4512-5459</t>
  </si>
  <si>
    <t>AUG 9</t>
  </si>
  <si>
    <t>10.1108/JGOSS-06-2022-0054</t>
  </si>
  <si>
    <t>O0WY3</t>
  </si>
  <si>
    <t>WOS:000931180600001</t>
  </si>
  <si>
    <t>Wright, LT; Robin, R; Stone, M; Aravopoulou, E</t>
  </si>
  <si>
    <t>Wright, Len Tiu; Robin, Robin; Stone, Merlin; Aravopoulou, Eleni</t>
  </si>
  <si>
    <t>Adoption of Big Data Technology for Innovation in B2B Marketing</t>
  </si>
  <si>
    <t>JOURNAL OF BUSINESS-TO-BUSINESS MARKETING</t>
  </si>
  <si>
    <t>Big data; analytics; innovation; market leadership; businesses; customers; platforms; cloud computing</t>
  </si>
  <si>
    <t>BUSINESS-TO-BUSINESS; FIRM PERFORMANCE; DATA ANALYTICS; TRAIT COMPETITIVENESS; INFORMATION; ANTECEDENTS; STRATEGY; DETERMINANTS; PERCEPTIONS; CHALLENGES</t>
  </si>
  <si>
    <t>Purpose of the paper: The paper explores use of big data in innovation and market leadership in B2B relationships. It provides a framework to analyze the impact of big data, supported by four case studies. Methodology/approach: This is a conceptual paper, supported by case studies, offering the opportunity for concept generalization. The case study organizations are innovating to stay ahead in the market and to expand activity, using big data to exploit marketing opportunities and create new offerings. Findings: Organizations are recipients of and are collectors of big data, partly created by the increasing volume of business and customer transactions online. The qualitative exploration of the cases shows that big data and its analytics and applications can be taken as indicators of organizations' ability to innovate to respond to market opportunities. Research limitations/implications: The online marketing environment is a dynamic one, where organizations must innovate to survive. A limitation is that the cases in the paper do not deal with those lagging in innovation, for whom survival is an issue. The paper's examples are limited to successful organizations where big data, data mining and analytics led to strategic business success. Practical Implications: B2B organizations that operate in markets where their own products or services have a significant impact on how the products and services of their B2B customers provide value to end (B2C) customers should, in their innovation activity, engage fully with the end B2C market, together with their B2B customers. This has implications in every area from strategy to human resources. If the B2B organization's pedigree includes B2C activity parallel to that of their customers but not competitive, this can give them an advantage in marketing, but if their B2C activities start to encroach on the B2C activities of their customers, this may cause conflict and loss of business. This implies that if marketing strategy becomes siloed between the different branches of the business, the potential for conflict increases. Originality/value of the paper: The paper's value is in contributing to understanding big data's role in business innovation, specifically in business to business organizations and where their innovation can transform customer experience at the end of the value chain, i.e., with final consumers. Therefore, the paper helps to address a research gap in the literature, which tends to focus on how such innovation affects business-to-business relationships.</t>
  </si>
  <si>
    <t>[Wright, Len Tiu] De Montfort Univ, Leicester, Leics, England; [Robin, Robin] Edge Hill Univ, Ormskirk, Lancs, England; [Stone, Merlin; Aravopoulou, Eleni] St Marys Univ, Twickenham, England</t>
  </si>
  <si>
    <t>De Montfort University; Edge Hill University; St Mary's University Twickenham London</t>
  </si>
  <si>
    <t>Wright, LT (corresponding author), High Wynard,Old Farm Lane, Birmingham B46 2DL, W Midlands, England.</t>
  </si>
  <si>
    <t>lentiu11@outlook.com</t>
  </si>
  <si>
    <t>benites, sebastian/JCN-4799-2023; Stone, Merlin/AAC-9082-2019; Wright, Len/AAI-4294-2020; Robin, Robin/HHN-5207-2022</t>
  </si>
  <si>
    <t>Stone, Merlin/0000-0003-4687-0629; ARAVOPOULOU, ELENI/0000-0002-8780-919X; Robin, Robin/0000-0002-7690-4984; Wright, Len Tiu/0000-0001-8171-175X</t>
  </si>
  <si>
    <t>1051-712X</t>
  </si>
  <si>
    <t>1547-0628</t>
  </si>
  <si>
    <t>J BUS-BUS MARK</t>
  </si>
  <si>
    <t>J. Bus.-Bus. Mark.</t>
  </si>
  <si>
    <t>10.1080/1051712X.2019.1611082</t>
  </si>
  <si>
    <t>JW4LP</t>
  </si>
  <si>
    <t>WOS:000503025200005</t>
  </si>
  <si>
    <t>Nogueira, G; Stigter, TY; Zhou, Y; Mussa, F; Juizo, D</t>
  </si>
  <si>
    <t>Nogueira, G.; Stigter, T. Y.; Zhou, Y.; Mussa, F.; Juizo, D.</t>
  </si>
  <si>
    <t>Understanding groundwater salinization mechanisms to secure freshwater resources in the water-scarce city of Maputo, Mozambique</t>
  </si>
  <si>
    <t>SCIENCE OF THE TOTAL ENVIRONMENT</t>
  </si>
  <si>
    <t>Saltwater intrusion; Old trapped seawater; Evaporation; Extreme rainfall recharge; Hydrochemistry; Semi-arid coastal aquifer</t>
  </si>
  <si>
    <t>COASTAL AQUIFERS; CHEMICAL EVOLUTION; POTENTIAL ZONES; STABLE-ISOTOPES; MARINE WATER; BASIN; INTRUSION; ORIGIN; VALLEY; SALINITY</t>
  </si>
  <si>
    <t>In this study hydrochemical, isotopic and multivariate statistical tools are combined with a recharge analysis and existing geophysical data to improve understanding of major factors controlling freshwater occurrence and the origins of high salinities in the multi-layered coastal aquifer system of the Great Maputo area in Mozambique. Access to freshwater in this semi-arid area is limited by an inefficient public supply network, scarce surface waters, long droughts and an increasing population growth. Groundwater has a large potential to enhance water security, but its exploitation is threatened by both coastal and inland salinization mechanisms that are poorly understood. A GIS approach is utilized to classify potential recharge zones based on hydrogeological properties and land use/cover, whereas potential recharge rates are estimated through a root zone water balance method. In combination with water stable isotope data results reveal that extreme rainfall events provide the most relevant contributions to recharge, and interception and evaporation play an important role in the low recharge areas. Hierarchical clustering of hydrochemical and isotopic data allows the classification of six water groups, varying from fresh to brackish/salt waters. Corresponding scatter plots and PHREEQC modelling show evaporation and mixing with seawater (up to 5%) as major processes affecting salinity in the area. The co-occurrence of high alkalinity and Cl concentrations, in combination with piezometric and geo-electrical data, suggests that: 1) inland brackish/salt groundwater is caused by mixing with seawater trapped within clay layers; and 2) brackish/salt surface waters result from seepage of brackish groundwater into rivers and wetlands, followed by evaporation, hence increasing salinity and delta O-18 values. Mixing with small fractions of trapped seawater as main salinity source, rather than halite dissolution, is further corroborated by Br/Cl ratios of brackish/salt water samples near the ocean ratio. Cation exchange upon salinization is mainly observed in the semi-confined aquifer, while freshening takes place in the phreatic aquifer, particularly in areas presenting high recharge rates. (C) 2019 Elsevier B.V. All rights reserved.</t>
  </si>
  <si>
    <t>[Nogueira, G.; Stigter, T. Y.; Zhou, Y.] IHE Delft Inst Water Educ, Dept Water Sci &amp; Engn, NL-2611 AX Delft, Netherlands; [Mussa, F.; Juizo, D.] Univ Eduardo Mondlane, Dept Engn, Maputo 3453, Mozambique; [Nogueira, G.] Helmholtz Zentrum Umweltforsch, Dept Hydrogeol, D-04318 Leipzig, Germany</t>
  </si>
  <si>
    <t>IHE Delft Institute for Water Education; Eduardo Mondlane University; Helmholtz Association; Helmholtz Center for Environmental Research (UFZ)</t>
  </si>
  <si>
    <t>Nogueira, G (corresponding author), IHE Delft Inst Water Educ, Dept Water Sci &amp; Engn, NL-2611 AX Delft, Netherlands.;Nogueira, G (corresponding author), Helmholtz Zentrum Umweltforsch, Dept Hydrogeol, D-04318 Leipzig, Germany.</t>
  </si>
  <si>
    <t>guilherme.nogueira@ufz.de</t>
  </si>
  <si>
    <t>TIDJANI, Mathias/AAT-2808-2021; Zhou, Yangxiao/C-6922-2009; Stigter, Tibor/M-9243-2013</t>
  </si>
  <si>
    <t>Zhou, Yangxiao/0000-0002-0856-7007; Juizo, Dinis/0000-0001-5792-1693; Stigter, Tibor/0000-0003-4096-2055; Nogueira, Guilherme/0000-0002-7802-5414</t>
  </si>
  <si>
    <t>Dutch Ministry of Foreign Affairs (DUPC); Erasmus+ Mundus Joint Master Programme in Groundwater and Global Change -Impacts and Adaptation (GroundwatCh)</t>
  </si>
  <si>
    <t>This study was financially supported by the Dutch Ministry of Foreign Affairs (DUPC) under the SALINPROVE Project led by IHE Delft, and the Erasmus+ Mundus Joint Master Programme in Groundwater and Global Change -Impacts and Adaptation (GroundwatCh). Assistance during field work by ARA-SUL and UEM staff is gratefully acknowledged. The authors also would like to thank Philippa Higgins, Dioni Cendon and a third anonymous reviewer for detailed comments on previous versions of this manuscript.</t>
  </si>
  <si>
    <t>0048-9697</t>
  </si>
  <si>
    <t>1879-1026</t>
  </si>
  <si>
    <t>SCI TOTAL ENVIRON</t>
  </si>
  <si>
    <t>Sci. Total Environ.</t>
  </si>
  <si>
    <t>10.1016/j.scitotenv.2018.12.343</t>
  </si>
  <si>
    <t>HL0TY</t>
  </si>
  <si>
    <t>WOS:000458408200067</t>
  </si>
  <si>
    <t>Chen, Y; Lei, LJ; Bi, YQ; Jiang, LL; Guo, WF; Wang, JH; Li, MH</t>
  </si>
  <si>
    <t>Chen, Yuan; Lei, Lujing; Bi, Yaqiong; Jiang, Linlin; Guo, Wenfang; Wang, Jianhua; Li, Minhui</t>
  </si>
  <si>
    <t>Quality Control of Glehniae Radix, the Root of Glehnia Littoralis Fr. Schmidt ex Miq., Along its Value Chains</t>
  </si>
  <si>
    <t>glehniae radix; value chain; quality; stakeholder; traditional Chinese medicine</t>
  </si>
  <si>
    <t>HERBAL MEDICINE; SAFETY; STANDARDS; CHALLENGES; TRADE</t>
  </si>
  <si>
    <t>Glehniae Radix (GR) is one of the major medicinal materials in China. The global demand for GR, especially in Asian countries, is constantly increasing, and the supply of wild medicinal materials falls short of the demand. Previous studies have shown that the production and processing modes of different value chains (VCs) impact the quality of medicinal materials. After 4 years of field and market research, this study includes interviews with stakeholders in the VCs, integrates different types of VCs, and further analyzes the VCs. GR characteristics were also assessed; the length and upper-middle diameter of the collected samples were measured, and the effective components of the samples were determined to rank the GR samples according to their quality. The effective components were further analyzed by the K-means clustering method. Concomitantly, the local price (the sales price of the place where the medicinal materials are produced) and market price (the sale price of medicinal materials in the market) of GR in Chifeng, Inner Mongolia, and Anguo, Hebei, were documented, and the ARIMA (Autoregressive Integrated Moving Average) method was used to predict the GR price. Ten VCs are summarized in this article. The results showed that the income of the staff at the beginning of the VC is inadequate. Regarding GR origin, Inner Mongolia GR showed higher quality than that of other areas. As a result, the price of medicinal materials is relatively high, which corresponds to the market price of the survey. The forecast results showed that the market price of GR would increase slightly in the future, which could provide reference for the selection of medicinal materials cultivation in the future. Through the study, it was found that the vertical integration in the VCs of GR could guarantee not only the benefit of the growers but also the traceability of the medicinal materials, which further guarantees the quality of the medicinal materials. However, the complex relationship between the cultivation area and the quality of the medicinal materials is not clear, which should be addressed in future research.</t>
  </si>
  <si>
    <t>[Chen, Yuan; Jiang, Linlin; Wang, Jianhua; Li, Minhui] Inner Mongolia Med Univ, Dept Pharm, Hohhot, Peoples R China; [Lei, Lujing; Bi, Yaqiong; Guo, Wenfang; Li, Minhui] Inner Mongolia Inst Tradit Chinese Med, Hohhot, Peoples R China; [Li, Minhui] Inner Mongolia Key Lab Characterist Geoherbs Reso, Baotou, Peoples R China; [Li, Minhui] Baotou Med Coll, Baotou, Peoples R China</t>
  </si>
  <si>
    <t>Inner Mongolia Medical University; Baotou Medical College</t>
  </si>
  <si>
    <t>Wang, JH; Li, MH (corresponding author), Inner Mongolia Med Univ, Dept Pharm, Hohhot, Peoples R China.;Li, MH (corresponding author), Inner Mongolia Inst Tradit Chinese Med, Hohhot, Peoples R China.;Li, MH (corresponding author), Inner Mongolia Key Lab Characterist Geoherbs Reso, Baotou, Peoples R China.;Li, MH (corresponding author), Baotou Med Coll, Baotou, Peoples R China.</t>
  </si>
  <si>
    <t>ny_wjh513@163.com; prof_liminhui@yeah.net</t>
  </si>
  <si>
    <t>wang, jian/HRB-9588-2023</t>
  </si>
  <si>
    <t>National Traditional Chinese Medicine Standardization ProjectStandardization construction project of Glehniae Radix [ZYY-2017-069]</t>
  </si>
  <si>
    <t>National Traditional Chinese Medicine Standardization ProjectStandardization construction project of Glehniae Radix</t>
  </si>
  <si>
    <t>Funding National Traditional Chinese Medicine Standardization Project (ZYY-2017-069)Standardization construction project of Glehniae Radix.</t>
  </si>
  <si>
    <t>10.3389/fphar.2021.729554</t>
  </si>
  <si>
    <t>WV1WE</t>
  </si>
  <si>
    <t>WOS:000717027200001</t>
  </si>
  <si>
    <t>Jo, S; Lee, S</t>
  </si>
  <si>
    <t>Jo, Sungsu; Lee, Sangho</t>
  </si>
  <si>
    <t>Development and Application of Smart SPIN Model: Measuring the Spectrum, Penetration, Impact and Network of Smart City Industries in South Korea</t>
  </si>
  <si>
    <t>smart city industry; industrial ecosystem; spectrum; penetration; impact; network; input-output table</t>
  </si>
  <si>
    <t>CITIES</t>
  </si>
  <si>
    <t>The research agenda on smart cities has increasingly extended not only on perspectives of social-economic relations between technologies and cities but also on the industrial economic ecosystem. The purpose of this study is to focus on an analytical method for the characteristics of a smart city's ecology and industry. With that thought, we have developed a smart SPIN (Spectrum, Penetration, Impact and Network) model and applied it to analyze the ecology of the Korean smart city industry in general. This model consists of smart spectrum model, smart penetration model, smart impact path model and smart network clustering model. The smart SPIN model shows great potential as an analytical method for the smart city industry ecosystem. As a source of data for analyses from 1960, 1985 and 2015 via input-output table, we revised these data into 25 and 8 industries related to the smart city ecosystem. Additionally, we applied the 2015 GDP deflator. The results of analysis are as follows: First, spectrum, the number of smart industries is increasing. This means that the smart city industry scope and area are expanding. Second, analysis of the smart penetration model and smart ecological industry can be applied into other industries. In other words, traditional industries can crossover and utilize smart technology. Third, with the results of our analysis of the smart impact path model, production paths are increasing while parameter paths did not show a triple parameter path. This means the value chain of the smart city industry is highly divested, but the structure of the industry is weakening. Fourth, smart network analysis shows important clusters to be centered on traditional industries: the clusters do not appear in smart industry centers. This means the impact of the smart city is not strong. Our analysis shows that, today, the Korean industrial ecosystem of smart cities is interacting with existing industries and raising it to a more intelligent and smarter level. Thus, there is a need for this kind of analysis study in order to find optimized smart city industry ecosystem.</t>
  </si>
  <si>
    <t>[Jo, Sungsu] Univ New South Wales, Sch Built Environm, City Futures Res Ctr, Sydney, NSW 2052, Australia; [Lee, Sangho] Hanbat Natl Univ, Dept Urban Engn, Daejeon 34158, South Korea</t>
  </si>
  <si>
    <t>University of New South Wales Sydney; Hanbat National University</t>
  </si>
  <si>
    <t>Lee, S (corresponding author), Hanbat Natl Univ, Dept Urban Engn, Daejeon 34158, South Korea.</t>
  </si>
  <si>
    <t>sungsu.jo@unsw.edu.au; lshsw@hanbat.ac.kr</t>
  </si>
  <si>
    <t>National Research Foundation of Korea - Korea government (Ministry of Science and ICT) [2021R1F1A1049301]; National Research Foundation of Korea [2021R1F1A1049301] Funding Source: Korea Institute of Science &amp; Technology Information (KISTI), National Science &amp; Technology Information Service (NTIS)</t>
  </si>
  <si>
    <t>National Research Foundation of Korea - Korea government (Ministry of Science and ICT)(National Research Foundation of Korea); National Research Foundation of Korea(National Research Foundation of Korea)</t>
  </si>
  <si>
    <t>This work was supported by the National Research Foundation of Korea grant funded by the Korea government (Ministry of Science and ICT) (No. 2021R1F1A1049301).</t>
  </si>
  <si>
    <t>10.3390/buildings12070973</t>
  </si>
  <si>
    <t>3H2FA</t>
  </si>
  <si>
    <t>WOS:000831854700001</t>
  </si>
  <si>
    <t>Jesenko, B; Schlögl, C</t>
  </si>
  <si>
    <t>Jesenko, Berndt; Schloegl, Christian</t>
  </si>
  <si>
    <t>The effect of web of science subject categories on clustering: the case of data-driven methods in business and economic sciences</t>
  </si>
  <si>
    <t>Data-driven; Business and economic sciences; Management; Science mapping; Research fronts; WoS subject categories</t>
  </si>
  <si>
    <t>REMAINING USEFUL LIFE; BIG DATA; NEWSVENDOR PROBLEM; RESEARCH FRONTS; CLASSIFICATION; ENSEMBLE; SYSTEMS; PREDICTION; MANAGEMENT</t>
  </si>
  <si>
    <t>The primary goal of this article is to identify the research fronts on the application of data-driven methods in business and economics. For this purpose, the research literature of the business and economic sciences Subject Categories from the Web of Science is mapped using BibExcel and VOSviewer. Since the assignment to subject categories is done at the journal level and since a journal is often assigned to several subject categories in Web of Science, two mappings are performed: one without considering multiple assignments (broad view) and one considering only those (articles from) journals that have been assigned exclusively to the business and economic sciences subject categories and no others (narrow view). A further aim of this article is therefore to identify differences in the two mappings. Surprisingly, engineering sciences play a major role in the broad mapping, in addition to the economic sciences. In the narrow mapping, however, only the following clusters with a clear business-management focus emerge: (i) Data-driven methods in management in general and data-driven supply chain management in particular, (ii) Data-driven operations research analyses with different business administration/management focuses, (iii) Data-driven methods and processes in economics and finance, and (iv) Data-driven methods in Information Systems. One limitation of the narrow mapping is that many relevant documents are not covered since the journals in which they appear are assigned to multiple subject categories in WoS. The paper comes to the conclusion that the multiple assignments of subject categories in Web of Science may lead to massive changes in the results. Adjacent subject areas-in this specific case the application of data-driven methods in engineering and more mathematically oriented contributions in economics (econometrics) are considered in the broad mapping (not excluding subject categories from neighbouring disciplines) and are even over-represented compared to the core areas of business and economics. If a mapping should only consider the core aspects of particular research fields, it is shown in this use case that the exclusion of Web of Science-subject categories that do not belong to the core areas due to multiple assignments (narrow view), may be a valuable alternative. Finally, it depends on the reader to decide which mapping is more beneficial to them.</t>
  </si>
  <si>
    <t>[Jesenko, Berndt; Schloegl, Christian] Karl Franzens Univ Graz, Inst Operat &amp; Informat Syst, Univ Str 15-F3, A-8010 Graz, Austria</t>
  </si>
  <si>
    <t>University of Graz</t>
  </si>
  <si>
    <t>Jesenko, B (corresponding author), Karl Franzens Univ Graz, Inst Operat &amp; Informat Syst, Univ Str 15-F3, A-8010 Graz, Austria.</t>
  </si>
  <si>
    <t>berndt.jesenko@campus02.at; christian.schloegl@uni-graz.at</t>
  </si>
  <si>
    <t>Jesenko, Berndt/0000-0001-6274-9859</t>
  </si>
  <si>
    <t>10.1007/s11192-021-04060-4</t>
  </si>
  <si>
    <t>TM5GC</t>
  </si>
  <si>
    <t>WOS:000664849500012</t>
  </si>
  <si>
    <t>Pépin, A; Morel, K; van der Werf, HMG</t>
  </si>
  <si>
    <t>Pepin, Antonin; Morel, Kevin; van der Werf, Hayo M. G.</t>
  </si>
  <si>
    <t>Conventionalised vs. agroecological practices on organic vegetable farms: Investigating the influence of farm structure in a bifurcation perspective</t>
  </si>
  <si>
    <t>Agroecology; Horticulture; Farming diversity; Conventionalisation hypothesis; Small farms; Adoption</t>
  </si>
  <si>
    <t>CARBON FOOTPRINT; AGRICULTURE; INTENSIFICATION; FRAMEWORK; TYPOLOGY; SYSTEMS; VALUES</t>
  </si>
  <si>
    <t>CONTEXT: According to the bifurcation hypothesis, a gap may be growing between ?agroecological? organic farms, which rely mostly on ecosystem services, and ?conventionalised? ones, which rely more on external inputs, related to contrasting evolutions in farm structure (e.g. size, specialisation) and supply chains. OBJECTIVE: The objectives of this study were to 1) analyse the diversity of organic vegetable farming systems in France, 2) investigate the extent to which bifurcation can be observed among organic vegetable farms in France and 3) investigate the extent to which structural factors that can reflect bifurcation (e.g. profiles of ?new organic farmers?, marketing channels, farm size) are related to conventionalised or agroecological OF. METHODS: We developed a farm typology based on Factor Analysis of Mixed Data (FAMD) and agglomerative hierarchical clustering (AHC) using information obtained from an online survey with 165 complete answers. We used composite indexes that aggregated primary indicators to compare the biotechnical and socio-economic dimensions of farms among clusters. RESULTS AND CONCLUSIONS: The diversity that exists in organic vegetable farms, with large differences among farm clusters, can be interpreted as a snapshot sign of bifurcation, which is a temporal process, and support hypotheses that relate farming structure to farming practices in this perspective. Our study suggests that 1) the dichotomy that contrasts ?agroecological? to ?conventionalised? organic farms should be considered as a conceptual perspective with two poles and a gradient of farms between them; 2) farms that were created as organic tended to be more agroecological than farms that were converted from conventional farming; 3) new entrants to organic farming had the best agroecological performances; 4) the best agroecological performances were associated with short supply chains, although good agroecological performances did occur with some long supply chains; and 5) the smallest farms were more likely to implement agroecological practices, but farm size did not have the same influence on all agroecological practices. SIGNIFICANCE: These findings confirm the influence of structural factors that reflect bifurcation of the degree of conventionalisation or agroecology of organic vegetable farming. For a given set of structural factors (i.e. farmer profile, farm size and supply chain), however, agroecological performances varied greatly. This suggests levels of freedom to develop more agroecological organic practices for a given farm size or supply chain that should be further investigated.</t>
  </si>
  <si>
    <t>[Pepin, Antonin] CTIFL Ctr St Remy, Route Molleges, F-13210 St Remy De Provence, France; [Pepin, Antonin; van der Werf, Hayo M. G.] Inst Agro, INRAE, UMR SAS, F-35000 Rennes, France; [Morel, Kevin] Univ Paris Saclay, AgroParisTech, INRAE, UMR SADAPT, F-75005 Paris, France</t>
  </si>
  <si>
    <t>Institut Agro; INRAE; AgroParisTech; INRAE; UDICE-French Research Universities; Universite Paris Saclay</t>
  </si>
  <si>
    <t>Pépin, A (corresponding author), CTIFL, Route Molleges, F-13210 St Remy De Provence, France.</t>
  </si>
  <si>
    <t>antonin.pepin@inrae.fr</t>
  </si>
  <si>
    <t>van der Werf, Hayo/L-7764-2013</t>
  </si>
  <si>
    <t>van der Werf, Hayo/0000-0003-3561-3352; Pepin, Antonin/0000-0001-7798-9345</t>
  </si>
  <si>
    <t>Centre Technique Interprofessionnel des Fruits et Legumes (CTIFL); Association Nationale Recherche Technologie (ANRT)</t>
  </si>
  <si>
    <t>Centre Technique Interprofessionnel des Fruits et Legumes (CTIFL); Association Nationale Recherche Technologie (ANRT)(Agence Nationale de la Recherche (ANR))</t>
  </si>
  <si>
    <t>The authors are grateful to the farmers who answered the survey and to the people who helped disseminate it. They also thank Mathieu Conseil (ITAB) and Vincent Faloya (INRAE), the vegetable experts who helped them develop the first hypothesis about the typology, and Goulven Marechal (FRAB) for the opportunity to present these results to farmers to obtain their feedback. The research was supported by the Centre Technique Interprofessionnel des Fruits et Legumes (CTIFL) and the Association Nationale Recherche Technologie (ANRT).</t>
  </si>
  <si>
    <t>10.1016/j.agsy.2021.103129</t>
  </si>
  <si>
    <t>RW0SU</t>
  </si>
  <si>
    <t>WOS:000646235500002</t>
  </si>
  <si>
    <t>Alvarez-Meaza, I; Zarrabeitia-Bilbao, E; Rio-Belver, RM; Garechana-Anacabe, G</t>
  </si>
  <si>
    <t>Alvarez-Meaza, Izaskun; Zarrabeitia-Bilbao, Enara; Rio-Belver, Rosa-Maria; Garechana-Anacabe, Gaizka</t>
  </si>
  <si>
    <t>Green scheduling to achieve green manufacturing: Pursuing a research agenda by mapping science</t>
  </si>
  <si>
    <t>TECHNOLOGY IN SOCIETY</t>
  </si>
  <si>
    <t>Scheduling; Green scheduling; Bibliometric analysis; Network analysis; Green manufacturing</t>
  </si>
  <si>
    <t>FLEXIBLE JOB-SHOP; TOTAL-ENERGY CONSUMPTION; SUPPLY CHAIN MANAGEMENT; TOTAL WEIGHTED TARDINESS; FLOW-SHOP; MULTIOBJECTIVE OPTIMIZATION; POWER-CONSUMPTION; GENETIC ALGORITHM; WOLF OPTIMIZER; MODEL</t>
  </si>
  <si>
    <t>The strengthening of measures to reduce greenhouse gas emissions meant that manufacturing scheduling had to acquire a green approach. The need to reduce energy consumption becomes necessary for companies to achieve sustainable development. Therefore, a new challenge for the scientific community was foreseen, researching new algorithms or knowledge hubs to achieve green scheduling. Green scheduling may be considered one of the principles of green manufacturing, aimed at minimizing environmental damage and energy waste. A review of the literature shows that there are no research works that analyze the scientific development carried out in green scheduling through methodologies based on bibliometric analysis, thus the need and the novelty of this research. Based on a dataset formed by 420 scientific documents published from 2006 to 2020 a bibliometric and network analysis is carried out to find the scientific trends, the main relationships according to collaborations and intermediaries, and the research hubs that help to establish the research agenda. The results show that green scheduling is a growing research area in the scientific community and in recent years the number of new research topics has experienced considerable growth. This research is developed in Asia, Europe and America, but China stands out as the most productive, collaborative, intermediary, influential and active country at present, through its organizations which are mainly universities, such as Huanzhong University of Science and Technology and Tongji University. However, research development related to green scheduling is carried out in a collaborative environment between institutions located in different countries, allowing countries that are not scientific powerhouses to develop research in the area. The network analysis makes it possible to define the research framework through the clustering of the dataset's research keywords, highlighting that the main areas of research focus on the development of new methods through algorithms aimed at improving energy efficiency in production environments, in areas of computational development such as cloud computing, and in transportation. The most cited research papers, considered the main drivers of knowledge, are published in high-quality research journals, and are mainly developments in scheduling algorithms for different work environments with a green approach. Research findings can provide the academic community with relevant information about green scheduling to make appropriate decisions and become a research agenda for future research.</t>
  </si>
  <si>
    <t>[Alvarez-Meaza, Izaskun; Zarrabeitia-Bilbao, Enara] Univ Basque Country, Ind Org &amp; Management Engn Dept, Fac Engn, Pl Ingeniero Torres Quevedo, Bilbao, Spain; [Rio-Belver, Rosa-Maria] Univ Basque Country, Ind Org &amp; Management Engn Dept Vitoria Gasteiz, Fac Engn, Nieves Cano 12, Vitoria, Gasteiz, Spain; [Garechana-Anacabe, Gaizka] Univ Basque Country, Fac Econ &amp; Business, Ind Org &amp; Management Engn Dept, Elcano 21, Bilbao, Spain</t>
  </si>
  <si>
    <t>University of Basque Country; University of Basque Country; University of Basque Country</t>
  </si>
  <si>
    <t>Alvarez-Meaza, I (corresponding author), Univ Basque Country, Ind Org &amp; Management Engn Dept, Fac Engn, Pl Ingeniero Torres Quevedo, Bilbao, Spain.</t>
  </si>
  <si>
    <t>izaskun.alvarez@ehu.eus; enara.zarrabeitia@ehu.eus; rosamaria.rio@ehu.eus; gaizka.garechana@ehu.eus</t>
  </si>
  <si>
    <t>Zarrabeitia-Bilbao, Enara/L-4671-2017; Alvarez-Meaza, Izaskun/B-7109-2013; Rio-Belver, Rosa M/C-9742-2009</t>
  </si>
  <si>
    <t>Zarrabeitia-Bilbao, Enara/0000-0002-2347-3885; Alvarez-Meaza, Izaskun/0000-0002-2110-0719; Rio-Belver, Rosa M/0000-0002-4244-9098; Garechana, Gaizka/0000-0002-1913-3239</t>
  </si>
  <si>
    <t>0160-791X</t>
  </si>
  <si>
    <t>1879-3274</t>
  </si>
  <si>
    <t>TECHNOL SOC</t>
  </si>
  <si>
    <t>Technol. Soc.</t>
  </si>
  <si>
    <t>10.1016/j.techsoc.2021.101758</t>
  </si>
  <si>
    <t>Social Issues; Social Sciences, Interdisciplinary</t>
  </si>
  <si>
    <t>Social Issues; Social Sciences - Other Topics</t>
  </si>
  <si>
    <t>WC8OG</t>
  </si>
  <si>
    <t>WOS:000704511300040</t>
  </si>
  <si>
    <t>Eligüzel, IM; Özceylan, E</t>
  </si>
  <si>
    <t>Eliguzel, Ibrahim Mirac; Ozceylan, Eren</t>
  </si>
  <si>
    <t>A bibliometric, social network and clustering analysis for a comprehensive review on end-of-life wind turbines</t>
  </si>
  <si>
    <t>Literature review; Remanufacturing; Recycling; Wind turbine; End-of-life</t>
  </si>
  <si>
    <t>CYCLE ASSESSMENT; FARMS; COMPOSITES; IMPACT</t>
  </si>
  <si>
    <t>Green energy production has gained significance during recent years due to the Paris agreement considering carbon emissions. One of the leading sources of energy production in the aforementioned aspects is wind energy. Even though the service life of a wind turbine (WT) is considered long (20-40 years), it is expected to confront a significant number of end-of-life (EOL) WTs in the medium term. In order to acquire maximum value, operations for EOL WTs have a crucial place. These operations are mainly referred as recycling, decommissioning, rema-nufacturing, and disposal. There are several key factors confronted during these processes such as transportation, center attendance, route decision, integration into circular economy, and disassembly of WTs etc. Therefore, a sustainable process is required for dealing with WTs at the EOL in order to maximize the environmental benefits of wind power and value creation. A comprehensive literature review was conducted in this study in order to accomplish the aforementioned aim, demonstrate the state-of-art-applications, and detect gaps. Almost 530 studies, which were conducted till January of 2022, are taken into consideration in the proposed study. Ac-cording to the results of the implemented analysis in the proposed study, the examined studies focused on WT blade integration into the circular economy, regulations, mechanical properties of recycled materials, supply chain issues, and so on. However, total life cycle assessment is not entirely considered as a whole. In addition, some critical gaps in the literature are detected, which are given as follows: combining the entire dismantling and repowering, investigating the variables that can help or hinder WT recovery in the long run, requirement for investigating the roles of technological breakthroughs, regulatory measures, and incentives in renewable tech-nology investment and production, and infrastructure and transportation data must be factored in to solve location allocation difficulties for disposal or disassembly plants. The proposed literature review consists of three main parts; the first part demonstrates bibliometric analysis of considered literature. The second part includes the descriptive analysis, and the third part comprehends the details of the received studies. In the third part, a detailed analysis of the studies is conducted. In the fourth part, interpretation of examined studies is proposed. At the end, gaps in the considered literature are detected and proposals for potential study subjects are indicated.</t>
  </si>
  <si>
    <t>[Eliguzel, Ibrahim Mirac; Ozceylan, Eren] Gaziantep Univ, Dept Ind Engn, TR-27100 Gaziantep, Turkey</t>
  </si>
  <si>
    <t>Gaziantep University</t>
  </si>
  <si>
    <t>Özceylan, E (corresponding author), Gaziantep Univ, Dept Ind Engn, TR-27100 Gaziantep, Turkey.</t>
  </si>
  <si>
    <t>eozceylan@gantep.edu.tr</t>
  </si>
  <si>
    <t>Özceylan, Eren/AAG-4840-2019</t>
  </si>
  <si>
    <t>Özceylan, Eren/0000-0002-5213-6335; ELIGUZEL, Ibrahim Mirac/0000-0003-3105-9438</t>
  </si>
  <si>
    <t>DEC 20</t>
  </si>
  <si>
    <t>10.1016/j.jclepro.2022.135004</t>
  </si>
  <si>
    <t>6I3UU</t>
  </si>
  <si>
    <t>WOS:000886054100004</t>
  </si>
  <si>
    <t>Passafaro, TL; Fernandes, AFA; Valente, BD; Williams, NH; Rosa, GJM</t>
  </si>
  <si>
    <t>Passafaro, Tiago L.; Fernandes, Arthur F. A.; Valente, Bruno D.; Williams, Noel H.; Rosa, Guilherme J. M.</t>
  </si>
  <si>
    <t>Network analysis of swine movements in a multi-site pig production system in Iowa, USA</t>
  </si>
  <si>
    <t>PREVENTIVE VETERINARY MEDICINE</t>
  </si>
  <si>
    <t>reproduction number; Infectious diseases; Percolation analysis; Swine movements; Time series network analysis</t>
  </si>
  <si>
    <t>MOUTH-DISEASE EPIDEMIC; GREAT-BRITAIN; NETHERLANDS; FEVER; SHIPMENTS; DYNAMICS; CATTLE; PRRSV</t>
  </si>
  <si>
    <t>Pig production in the United States is based on multi-site systems in which pigs are transported between farms after the conclusion of each particular production phase. Although ground transportation is a critical component of the pork supply chain, it might constitute a potential route of infectious disease dissemination. Here, we used a time series network analysis to: (1) describe pig movement flow in a multi-site production system in Iowa, USA, (2) conduct percolation analysis to investigate network robustness to interventions for diseases with different transmissibility, and (3) assess the potential impact of each farm type on disease dissemination across the system. Movement reports from 2014-2016 were provided by Iowa Select Farms, Iowa Fall, IA. A total of 76,566 shipments across sites was analyzed, and time series network analyses with temporal resolution of 1, 3, 6, 12, and 36 months were considered. The general topological properties of networks with resolution of 1, 3, 6, and 12 months were compared with the whole period static network (36 months) and included the following features: number of nodes and edges, degree assortativity, density, average path length, diameter, clustering coefficients, giant strongly connected component, giant weakly connected component, giant in component, and giant out component. Small-world and scale-free topologies, centrality parameters, and percolation analysis were investigated for the networks with 1-month window. Networks' robustness to interventions was assessed by using the Basic Reproduction Number (R-0). Centrality parameters indicate that gilt development units (GDU), nursery, and sow farms have more central role in the pig production hierarchical structure. Therefore, they are potentially major factors of introduction and spread of diseases over the system. Wean-to-finishing and finishing sites displayed high in-degree values, indicating that they are more susceptible to be infected. Percolation analysis combined with general properties (i.e. heavy-tailed distributions and degree disassortative) suggested that networks with 1-month time resolution were highly responsive to interventions. Furthermore, the characteristics of a disease should have strong implications in the biosecurity practices across production sites. For instance, biosecurity practices should be focused on sow farms for highly contagious disease (e.g., foot and mouth disease), while it should target nursery sites in the case of a less contagious diseases (i.e. mycobacterial infections). Understanding the patterns of swine movements is crucial for the swine industry decision-making in the case of an epidemic, as well as to design cost-effective approaches to monitor, prevent, control and eradicate infectious diseases in multi-site systems.</t>
  </si>
  <si>
    <t>[Passafaro, Tiago L.; Fernandes, Arthur F. A.; Rosa, Guilherme J. M.] Univ Wisconsin, Dept Anim Sci, 1675 Observ Dr, Madison, WI 53706 USA; [Valente, Bruno D.] PIC North Amer, 100 Bluegrass Common Blvd,Suite 2200, Hendersonville, TN 37075 USA; [Williams, Noel H.] Iowa Select Farms, 811 South Oak St, Iowa Falls, IA 50126 USA; [Rosa, Guilherme J. M.] Univ Wisconsin, Dept Biostat &amp; Med Informat, 610 Walnut St, Madison, WI 53726 USA</t>
  </si>
  <si>
    <t>University of Wisconsin System; University of Wisconsin Madison; University of Wisconsin System; University of Wisconsin Madison</t>
  </si>
  <si>
    <t>Rosa, GJM (corresponding author), 1675 Observ Dr, Madison, WI 53706 USA.</t>
  </si>
  <si>
    <t>grosa@wisc.edu</t>
  </si>
  <si>
    <t>Rosa, Guilherme J. M./G-3862-2011</t>
  </si>
  <si>
    <t>Rosa, Guilherme J. M./0000-0001-9172-6461</t>
  </si>
  <si>
    <t>Coordenacao de Aperfeicoamento de Pessoal de Nivel Superior (CAPES)</t>
  </si>
  <si>
    <t>Coordenacao de Aperfeicoamento de Pessoal de Nivel Superior (CAPES)(Coordenacao de Aperfeicoamento de Pessoal de Nivel Superior (CAPES))</t>
  </si>
  <si>
    <t>The authors would like to acknowledge the Coordenacao de Aperfeicoamento de Pessoal de Nivel Superior (CAPES) for providing the financial support of the first author. The authors were also grateful to two anonymous reviewers whose comments have greatly improved this manuscript.</t>
  </si>
  <si>
    <t>0167-5877</t>
  </si>
  <si>
    <t>1873-1716</t>
  </si>
  <si>
    <t>PREV VET MED</t>
  </si>
  <si>
    <t>Prev. Vet. Med.</t>
  </si>
  <si>
    <t>10.1016/j.prevetmed.2019.104856</t>
  </si>
  <si>
    <t>Veterinary Sciences</t>
  </si>
  <si>
    <t>KH0BT</t>
  </si>
  <si>
    <t>WOS:000510314100023</t>
  </si>
  <si>
    <t>Khamis, FM; Ombura, FLO; Akutse, KS; Subramanian, S; Mohamed, SA; Fiaboe, KKM; Saijuntha, W; Van Loon, JJA; Dicke, M; Dubois, T; Ekesi, S; Tanga, CM</t>
  </si>
  <si>
    <t>Khamis, Fathiya M.; Ombura, Fidelis L. O.; Akutse, Komivi S.; Subramanian, Sevgan; Mohamed, Samira A.; Fiaboe, Komi K. M.; Saijuntha, Weerachai; Van Loon, Joop J. A.; Dicke, Marcel; Dubois, Thomas; Ekesi, Sunday; Tanga, Chrysantus M.</t>
  </si>
  <si>
    <t>Insights in the Global Genetics and Gut Microbiome of Black Soldier Fly, Hermetia illucens: Implications for Animal Feed Safety Control</t>
  </si>
  <si>
    <t>FRONTIERS IN MICROBIOLOGY</t>
  </si>
  <si>
    <t>genetic diversity; gut microbiome; Hermetia illucens; mitochondrialCOIgene; 16S-metagenomics</t>
  </si>
  <si>
    <t>WOHLFAHRTIIMONAS-CHITINICLASTICA BACTEREMIA; DIPTERA STRATIOMYIDAE; ESCHERICHIA-COLI; REDUCTION; INFERENCE; LARVAE; MANURE</t>
  </si>
  <si>
    <t>The utilization of the black soldier fly (BSF)Hermetia illucensL. for recycling organic waste into high-quality protein and fat biomass for animal feeds has gained momentum worldwide. However, information on the genetic diversity and environmental implications on safety of the larvae is limited. This study delineates genetic variability and unravels gut microbiome complex of wild-collected and domesticated BSF populations from six continents using mitochondrialCOIgene and 16S metagenomics. All sequences generated from the study linked toH. illucensaccessions KM967419.1, FJ794355.1, FJ794361.1, FJ794367.1, KC192965.1, and KY817115.1 from GenBank. Phylogenetic analyses of the sequences generated from the study and rooted by GenBank accessions ofHermetia albitarsisFabricius andHermetia sexmaculataMacquart separated all samples into three branches, withH. illucensandH. sexmaculatabeing closely related. Genetic distances betweenH. illucenssamples from the study and GenBank accessions ofH. illucensranged between 0.0091 and 0.0407 whileH. sexmaculataandH. albitarsissamples clearly separated from allH. illucensby distances of 0.1745 and 0.1903, respectively. Genetic distance matrix was used to generate a principal coordinate plot that further confirmed the phylogenetic clustering. Haplotype network map demonstrated that Australia, United States 1 (Rhode Island), United States 2 (Colorado), Kenya, and China shared a haplotype, while Uganda shared a haplotype with GenBank accessionBSF from United States. All other samples analyzed had individual haplotypes. Out of 481,695 reads analyzed from 16S metagenomics, four bacterial families (Enterobactereaceae, Dysgonomonadaceae, Wohlfahrtiimonadaceae, and Enterococcaceae) were most abundant in the BSF samples. Alpha-diversity, as assessed by Shannon index, showed that the Kenyan and Thailand populations had the highest and lowest microbe diversity, respectively; while microbial diversity assessed through Bray Curtis distance showed United States 3 (Maysville) and Netherlands populations to be the most dissimilar. Our findings on genetic diversity revealed slight phylogeographic variation between BSF populations across the globe. The 16S data depicted larval gut bacterial families with economically important genera that might pose health risks to both animals and humans. This study recommends pre-treatment of feedstocks and postharvest measures of the harvested BSF larvae to minimize risk of pathogen contamination along the insect-based feed value chain.</t>
  </si>
  <si>
    <t>[Khamis, Fathiya M.; Ombura, Fidelis L. O.; Akutse, Komivi S.; Subramanian, Sevgan; Mohamed, Samira A.; Fiaboe, Komi K. M.; Dubois, Thomas; Ekesi, Sunday; Tanga, Chrysantus M.] Int Ctr Insect Physiol &amp; Ecol, Hlth Theme, Nairobi, Kenya; [Fiaboe, Komi K. M.] Int Inst Trop Agr, Dept Integrated Pest Management, Yaounde, Cameroon; [Saijuntha, Weerachai] Mahasarakham Univ, Walai Rukhavej Bot Res Inst WRBRI, Biodivers &amp; Conservat Res Unit, Maha Sarakham, Thailand; [Van Loon, Joop J. A.; Dicke, Marcel] Wageningen Univ, Plant Sci Grp, Lab Entomol, Wageningen, Netherlands</t>
  </si>
  <si>
    <t>International Centre of Insect Physiology &amp; Ecology (ICIPE); Mahasarakham University; Wageningen University &amp; Research</t>
  </si>
  <si>
    <t>Khamis, FM (corresponding author), Int Ctr Insect Physiol &amp; Ecol, Hlth Theme, Nairobi, Kenya.</t>
  </si>
  <si>
    <t>fkhamis@icipe.org</t>
  </si>
  <si>
    <t>Khamis, Fathiya M/ADJ-2867-2022; Dicke, Marcel/B-2300-2010; , Subramanian/H-8531-2014; Ekesi, Sunday/P-8944-2019; Tanga, Chrysantus Mbi/HJA-1639-2022; van Loon, Joop J.A./B-3744-2009</t>
  </si>
  <si>
    <t>Khamis, Fathiya M/0000-0002-9593-9525; Dicke, Marcel/0000-0001-8565-8896; , Subramanian/0000-0003-4447-0744; Tanga, Chrysantus Mbi/0000-0002-5788-7920; Saijuntha, Weerachai/0000-0002-4789-297X; van Loon, Joop J.A./0000-0002-4260-0501</t>
  </si>
  <si>
    <t>Netherlands Organization for Scientific Research, WOTRO Science for Global Development (NWO-WOTRO) [ILIPA - W 08.250.202]; Canadian International Development Research Centre (IDRC); Australian Centre for International Agricultural Research (ACIAR; INSFEED -Phase 2: Cultivate Grant) [108866001]; Rockefeller Foundation (SiPFeed -Grant) through the International Centre of Insect Physiology and Ecology (icipe) [2018 FOD 009]; United Kingdom Aid from the Government of the United Kingdom; Swedish International Development Cooperation Agency (Sida); Swiss Agency for Development and Cooperation (SDC); Federal Ministry for Economic Cooperation and Development (BMZ), Germany, Federal Democratic Republic of Ethiopia; Kenyan Government</t>
  </si>
  <si>
    <t>Netherlands Organization for Scientific Research, WOTRO Science for Global Development (NWO-WOTRO); Canadian International Development Research Centre (IDRC)(International Development Research Centre - IDRC); Australian Centre for International Agricultural Research (ACIAR; INSFEED -Phase 2: Cultivate Grant); Rockefeller Foundation (SiPFeed -Grant) through the International Centre of Insect Physiology and Ecology (icipe); United Kingdom Aid from the Government of the United Kingdom; Swedish International Development Cooperation Agency (Sida)(Norwegian Agency for Development Cooperation - NORAD); Swiss Agency for Development and Cooperation (SDC)(Norwegian Agency for Development Cooperation - NORAD); Federal Ministry for Economic Cooperation and Development (BMZ), Germany, Federal Democratic Republic of Ethiopia; Kenyan Government</t>
  </si>
  <si>
    <t>This research was financially supported by the Netherlands Organization for Scientific Research, WOTRO Science for Global Development (NWO-WOTRO; ILIPA - W 08.250.202), the Canadian International Development Research Centre (IDRC), and the Australian Centre for International Agricultural Research (ACIAR; INSFEED -Phase 2: Cultivate Grant No: 108866001) and the Rockefeller Foundation (SiPFeed -Grant No: 2018 FOD 009) through the International Centre of Insect Physiology and Ecology (icipe). We gratefully acknowledge the icipe core funding provided by United Kingdom Aid from the Government of the United Kingdom; Swedish International Development Cooperation Agency (Sida); the Swiss Agency for Development and Cooperation (SDC); Federal Ministry for Economic Cooperation and Development (BMZ), Germany, Federal Democratic Republic of Ethiopia; and the Kenyan Government. The views expressed herein do not necessarily reflect the official opinion of the donors.</t>
  </si>
  <si>
    <t>1664-302X</t>
  </si>
  <si>
    <t>FRONT MICROBIOL</t>
  </si>
  <si>
    <t>Front. Microbiol.</t>
  </si>
  <si>
    <t>10.3389/fmicb.2020.01538</t>
  </si>
  <si>
    <t>MR1JW</t>
  </si>
  <si>
    <t>WOS:000553348700001</t>
  </si>
  <si>
    <t>Abdullah, I; Mahmood, WHW; Fauadi, HFM; Ab Rahman, MN; Mohamed, SB</t>
  </si>
  <si>
    <t>Abdullah, Ilyana; Mahmood, Wan Hasrulnizzam Wan; Fauadi, Hafidz Fazli Md; Ab Rahman, Mohd Nizam; Mohamed, Saiful Bahri</t>
  </si>
  <si>
    <t>Sustainable manufacturing practices in Malaysian palm oil mills Priority and current performance</t>
  </si>
  <si>
    <t>Manufacturing management; Sustainable production; Manufacturing performance</t>
  </si>
  <si>
    <t>SUPPLY CHAIN MANAGEMENT; ENVIRONMENTAL SUSTAINABILITY; POLLUTION PREVENTION; OCCUPATIONAL-SAFETY; HEALTH; INDUSTRY; OPERATIONS; QUALITY; SYSTEM; ISSUES</t>
  </si>
  <si>
    <t>Purpose - The purpose of this paper is to investigate the implementation of sustainable manufacturing practices in Malaysian palm oil mills (POMs) by comparing the status of their current achievements and the levels of priority placed on their practices. Design/methodology/approach - A questionnaire survey was used to collect data about 20 sustainable manufacturing practices from 51 POMs located in Malaysia. A five-point Likert scale was considered for recording variations in priorities and current practices with regard to sustainable manufacturing. A Cronbach's a reliability test and a binomial test were undertaken to assess the internal consistency and the validity of the survey data. Spearman's. correlation analysis was employed to determine the linear correlation between each of the sustainability practices identified. Factor analysis was conducted to reduce the number of sustainable manufacturing practices based on factor loading and to derive a clustering of these factors. Findings - The results showed that employees' well-being has the highest level in terms of both priority and current achievement. However, for other sustainable manufacturing practices, there was a difference where the current achievement of these practices in the Malaysian POMs was seen to be slightly lower than the priority given to them. Strong correlation of significant value was observed between the minimization of production waste and pollution prevention practices. From factor analysis, 15 practices of high factor loading were grouped into a proactive sustainability strategy and a preventive sustainability strategy. Research limitations/implications - The study was still relatively exploratory. Future studies could investigate the barriers to the implementation of sustainable manufacturing practices at Malaysian POMs. The sample, which consisted of 51 Malaysian POMs, represented an important sector of the Malaysian economy. Reliance on stated, rather than revealed, preferences may limit the implications of the analysis undertaken for this study, but it does represent a major step forward in understanding the past in what was a highly recommended sector for investigation due to the paucity of extant data. A more broadly based, random sample of POMs from other countries would provide a better understanding of issues related to sustainable manufacturing practices. Practical implications - The results of this study can be used by practitioners to adjust the sustainable manufacturing practices currently applied and further studies may go on to examine the reasons and implications for discrepancies between priorities and desired sustainability goals in more detail. Originality/value - The survey conducted about sustainable manufacturing practices amongst Malaysian POMs was focussed on the three dimensions of sustainability, namely, the economic, environmental, and social elements involved.</t>
  </si>
  <si>
    <t>[Abdullah, Ilyana; Fauadi, Hafidz Fazli Md] Univ Tekn Malaysia Melaka, Fac Mfg Engn, Durian Tunggal, Malaysia; [Mahmood, Wan Hasrulnizzam Wan] Univ Tekn Malaysia Melaka, Fac Engn Technol, Durian Tunggal, Malaysia; [Ab Rahman, Mohd Nizam] Univ Kebangsaaan Malaysia, Dept Mech &amp; Mat Engn, Bangi, Malaysia; [Mohamed, Saiful Bahri] Univ Sultan Zainal Abidin UNISZA, Fac Innovat Design &amp; Technol, Kuala Terengganu, Malaysia</t>
  </si>
  <si>
    <t>University Teknikal Malaysia Melaka; University Teknikal Malaysia Melaka; Universiti Kebangsaan Malaysia; Universiti Sultan Zainal Abidin</t>
  </si>
  <si>
    <t>Abdullah, I (corresponding author), Univ Tekn Malaysia Melaka, Fac Mfg Engn, Durian Tunggal, Malaysia.</t>
  </si>
  <si>
    <t>ilyana.abdullah2@gmail.com</t>
  </si>
  <si>
    <t>Fauadi, Muhammad Hafidz Fazli Bin Md/O-2499-2018; Wan Mahmood, Wan Hasrulnizzam/Q-2862-2019; Rahman, Mohd Nizam Ab/D-7600-2017; Mohamed, Saiful Bahri/A-1175-2017</t>
  </si>
  <si>
    <t>Fauadi, Muhammad Hafidz Fazli Bin Md/0000-0001-5748-2627; Wan Mahmood, Wan Hasrulnizzam/0000-0002-5588-5112; Rahman, Mohd Nizam Ab/0000-0002-7053-4396; Mohamed, Saiful Bahri/0000-0002-4632-5631</t>
  </si>
  <si>
    <t>10.1108/JMTM-09-2016-0128</t>
  </si>
  <si>
    <t>EU5JT</t>
  </si>
  <si>
    <t>WOS:000401068100001</t>
  </si>
  <si>
    <t>Larivière-Lajoie, AS; Cinq-Mars, D; Guay, F; Binggeli, S; Dalmau, A; Saucier, L</t>
  </si>
  <si>
    <t>Lariviere-Lajoie, A-S; Cinq-Mars, D.; Guay, F.; Binggeli, S.; Dalmau, A.; Saucier, L.</t>
  </si>
  <si>
    <t>HIERARCHICAL CLUSTERING AS A TOOL TO DEVELOP A CLASSIFICATION SCHEME FOR RABBIT MEAT QUALITY</t>
  </si>
  <si>
    <t>WORLD RABBIT SCIENCE</t>
  </si>
  <si>
    <t>cooking loss; DFD meat; feed withdrawal; hierarchical cluster analysis; pre-slaughter management; rabbit</t>
  </si>
  <si>
    <t>EXSANGUINATION BLOOD LACTATE; FEED WITHDRAWAL; MUSCLE CHARACTERISTICS; MICROBIAL QUALITY; CARCASS QUALITY; PLANT-EXTRACTS; SHELF-LIFE; SLAUGHTER; TRANSPORT; TRAITS</t>
  </si>
  <si>
    <t>This study aimed to characterise the quality of meat from commercially-raised rabbits. Animals came from five different producers and were slaughtered in three different plants under provincial or federal inspection jurisdiction. Animal behaviour evaluated by scan sampling prior to feed withdrawal (FW) and transport, as well as blood lactate concentration at exsanguination, did not raise concerns with respect to stress. Stomach pH was higher (P=0.047) when the FW time was short (&lt;= 13.5 h), at a mean value of 2.23. All pH values measured 1 h post-mortem from the Biceps femoris (BF) and almost all (97.6%) from the Longissimus lumborum (LL) were higher than 6. Values for ultimate pH measured 24 h post-mortem (pH(u)) ranged from 5.80 to 6.83 and from 5.70 to 6.70 for BF and LL muscles, respectively. The maximum meat drip loss recorded was 2.6%, while cooking loss reached 30%. Meat lightness (I2) and colour intensity (C*) for the long RN times (&gt;= 23 h) were no different from those with short and intermediate (15.5 to 17.3 h) FW times. However, these colour parameters were higher for the short RN time class compared to the Intermediate RN time class (P&lt;0.02). A hierarchical cluster analysis based on pH(u), cooking loss and lightness (L*) from 200 rabbit loins was performed. Of the four clusters created, clusters 1 and 2 had the best and second-best meat quality, respectively. Clusters 3 and 4 had the lowest meat quality and presented DFD-like (dark, firm and dry) characteristics. Meat did not exhibit PSE-like (pale, soft, exudative) characteristics, even for the slaughter lot with the minimum mean pH(u). Of the eight slaughter lots evaluated, more than 50% of the meat from three of them fell into clusters 3 and 4; all three were in the Intermediate RN time class. Overall, the quality of rabbit meat analysed was acceptable for commercial use, but rather variable. This suggests that there are factors within the value chain that are not yet fully controlled and require further Investigation.</t>
  </si>
  <si>
    <t>[Lariviere-Lajoie, A-S; Cinq-Mars, D.; Guay, F.; Binggeli, S.; Saucier, L.] Univ Laval, Dept Anim Sci, Fac Agr &amp; Food Sci, Quebec City, PQ G1V 0A6, Canada; [Lariviere-Lajoie, A-S; Saucier, L.] Univ Laval, Inst Nutr &amp; Funct Foods, Quebec City, PQ G1V 0A6, Canada; [Dalmau, A.] Inst Agrifood Res &amp; Technol IRTA, Girona 17121, Spain</t>
  </si>
  <si>
    <t>Laval University; Laval University; IRTA</t>
  </si>
  <si>
    <t>Saucier, L (corresponding author), Univ Laval, Dept Anim Sci, Fac Agr &amp; Food Sci, Quebec City, PQ G1V 0A6, Canada.;Saucier, L (corresponding author), Univ Laval, Inst Nutr &amp; Funct Foods, Quebec City, PQ G1V 0A6, Canada.</t>
  </si>
  <si>
    <t>Dalmau, Antoni/M-3745-2017</t>
  </si>
  <si>
    <t>Dalmau, Antoni/0000-0003-2248-6796; Binggeli, Simon/0000-0003-1698-6567; Guay, Frederic/0000-0002-5207-3303; Saucier, Linda/0000-0003-2401-5891</t>
  </si>
  <si>
    <t>Programme de soutien a l'innovation en agroalimentaire; Ministere de l'agriculture des pecheries et de l'alimentation du Quebec (MAPAQ); Agriculture and Agri-Food Canada</t>
  </si>
  <si>
    <t>Programme de soutien a l'innovation en agroalimentaire; Ministere de l'agriculture des pecheries et de l'alimentation du Quebec (MAPAQ); Agriculture and Agri-Food Canada(Agriculture &amp; Agri Food Canada)</t>
  </si>
  <si>
    <t>This research was carried out with the financial support of the Programme de soutien a l'innovation en agroalimentaire, a programme derived from the Growing Forward agreement between the Ministere de l'agriculture des pecheries et de l'alimentation du Quebec (MAPAQ) and Agriculture and Agri-Food Canada. The Syndicat des producteurs de lapins du Quebec was also a partner in this project. The authors thank the Centre de developpement du porc du Quebec for their technical assistance.</t>
  </si>
  <si>
    <t>UNIV POLITECNICA VALENCIA, EDITORIAL UPV</t>
  </si>
  <si>
    <t>CAMINO VERA S-N, VALENCIA, 46022, SPAIN</t>
  </si>
  <si>
    <t>1257-5011</t>
  </si>
  <si>
    <t>1989-8886</t>
  </si>
  <si>
    <t>WORLD RABBIT SCI</t>
  </si>
  <si>
    <t>World Rabbit Sci.</t>
  </si>
  <si>
    <t>10.4995/wrs.2021.14368</t>
  </si>
  <si>
    <t>WF7TO</t>
  </si>
  <si>
    <t>WOS:000706504800001</t>
  </si>
  <si>
    <t>Chang, SM; Huang, YY; Shang, KC; Chiang, WT</t>
  </si>
  <si>
    <t>Chang, Shu-Man; Huang, Yo-Yi; Shang, Kuo-Chung; Chiang, Wei-Tzu</t>
  </si>
  <si>
    <t>Impacts of regional integration and maritime transport on trade: with special reference to RCEP</t>
  </si>
  <si>
    <t>MARITIME BUSINESS REVIEW</t>
  </si>
  <si>
    <t>Trade; RCEP; Liner shipping connectivity index; Logistics performance index; Poisson quasi-maximum likelihood</t>
  </si>
  <si>
    <t>Purpose - The proposed Regional Comprehensive Economic Partnership (RCEP) will become a large trade agreement in Asia, which has brought together the ten members of Association of Southeast Asian Nations (ASEAN) and five of the neighbors' countries. Under the trend of globalization, the progress of the transportation industry and regional integration will increase the volume of trade, therefore maritime performance is intrinsically linked to trade. In fact, few studies have examined regional integration in the context of seaborne. This paper aims to use the cluster analysis and Poisson quasi-maximum likelihood (PQML) gravity model to investigate the trading bloc phenomenon and relation between trade and marine transportation. Design/methodology/approach - In this paper, hierarchical clustering analysis and tree diagrams are used to identify functional areas characterized by bilateral trade intensity and bilateral liner shipping connectivity indices. Regional reorganizations that have occurred within Asian countries were studied. This study illustrates that these trading blocs have a positive impact on trade when maritime transport, production and trading networks have developed between regions. A gravity model was constructed using worldwide trade data for 2007, 2010 and 2015. The study considered free trade agreement (FTA)/common market (CM) of EU, RCEP and North American Free Trade Agreement (NAFTA) as regional dummies and designed a real trade bloc induction variable. In addition, the study did not use the commonly adopted ordinary least squares (OLS) estimation but used the PQML method to estimate the gravity equation to overcome the problem of a large number of zero trade observations. Preliminary results show that regional integration cannot guarantee the establishment of intraregional trade but depends on the stage of economic development and regional industrial characteristics. Findings - The major findings are summarized as follows. Both the nominal intra-RCEP trade was significantly below the real trading blocs. For RCEP, the effect created by intra-regional trade is better than that of the EU. Instead, nominal intra-RCEP trade is much lower than real trading blocs. The real trading bloc between East Asia and Taiwan clearly exists, and the bloc phenomenon is becoming more and more significant. This result shows that Taiwan's trade flow with East Asia is higher than the normal level relationship implied by its corresponding economic and geographical conditions. Originality/value - This paper focuses on new empirical work done for this study is on the potential impact on trade. Earlier studies that have discussed and/or provided estimates of the benefits to the RCEP plan from improved transport and supply chain connectivity are cited. Marine transportation performance inherently links to economies of commerce. Few studies have examined regional integration in the context of maritime transportation, which reflects the lack of a mix of trade economists and maritime logistics research in the existing literature. This paper attempts to investigate the trading bloc phenomenon formed by regional integration (such as RCEP) and the relation between trade and marine transportation. With the official entry into force of the RCEP in 2020, it will promote increased trade and demand for logistics and maritime transport services in East Asia.</t>
  </si>
  <si>
    <t>[Chang, Shu-Man] Chang Juang Christian Univ, Dept Aviat &amp; Maritime Transportat Management, Tainan, Taiwan; [Huang, Yo-Yi] Natl Taiwan Ocean Univ, Inst Appl Econ, Keelung, Taiwan; [Shang, Kuo-Chung; Chiang, Wei-Tzu] Natl Taiwan Ocean Univ, Dept Transportat Sci, Keelung, Taiwan</t>
  </si>
  <si>
    <t>National Taiwan Ocean University; National Taiwan Ocean University</t>
  </si>
  <si>
    <t>Huang, YY (corresponding author), Natl Taiwan Ocean Univ, Inst Appl Econ, Keelung, Taiwan.</t>
  </si>
  <si>
    <t>hyy@ntou.edu.tw</t>
  </si>
  <si>
    <t>VARRECCHIA, TIWANA/AAJ-8712-2021; Chang, Shu-Man/AAC-5618-2022; shang, kuo-chung/AAG-9432-2019; shang, gordon/AAB-9028-2022</t>
  </si>
  <si>
    <t>shang, kuo-chung/0000-0002-2210-7592;</t>
  </si>
  <si>
    <t>Ministry of Science and Technology [MOST 106-2410-H-019-001, MOST 106-2914-I-019-005-A1]</t>
  </si>
  <si>
    <t>Ministry of Science and Technology(Ministry of Science, ICT &amp; Future Planning, Republic of KoreaSpanish Government)</t>
  </si>
  <si>
    <t>This paper has been presented at the 9th International Forum on Shipping, Ports and Airports, held at Hong Kong Polytechnic University. The authors are grateful to the two anonymous referees and participants at the conferences for useful comments on the earlier version of this paper. Financial support from the Ministry of Science and Technology (MOST 106-2410-H-019-001 and MOST 106-2914-I-019-005-A1) is acknowledged. Any remaining errors are our responsibility.</t>
  </si>
  <si>
    <t>2397-3757</t>
  </si>
  <si>
    <t>2397-3765</t>
  </si>
  <si>
    <t>MARIT BUS REV</t>
  </si>
  <si>
    <t>Marit. Bus. Rev.</t>
  </si>
  <si>
    <t>10.1108/MABR-03-2020-0013</t>
  </si>
  <si>
    <t>PN2TK</t>
  </si>
  <si>
    <t>WOS:000604337000002</t>
  </si>
  <si>
    <t>Thomas, A</t>
  </si>
  <si>
    <t>Thomas, Ashish</t>
  </si>
  <si>
    <t>Developing an integrated quality network for lean operations systems</t>
  </si>
  <si>
    <t>BUSINESS PROCESS MANAGEMENT JOURNAL</t>
  </si>
  <si>
    <t>9th Canadian Quality Congress on Quality and Innovation in the 21st Century - Challenges and Opportunities</t>
  </si>
  <si>
    <t>SEP 07-08, 2017</t>
  </si>
  <si>
    <t>Univ Toronto, Toronto, CANADA</t>
  </si>
  <si>
    <t>Univ Toronto</t>
  </si>
  <si>
    <t>Lean manufacturing; Integrated framework; Iterative systems; Service ecosystems; Resilient operational systems; Total quality management; Just-in-time (JIT); Total productive maintenance (TPM); Value stream mapping (VSM); Kaizen continuous improvement (CI)</t>
  </si>
  <si>
    <t>REPERTORY GRID TECHNIQUE; SUPPLY CHAIN AGILITY; 6 SIGMA; IMPLEMENTATION; GREEN</t>
  </si>
  <si>
    <t>Purpose - Most successful companies have adopted some type of improvement methodology to achieve optimum performance, high quality, lower costs and productivity. Some of the structured methodologies employed indiscriminately are total quality management, quality control, agile, lean and Six Sigma which yield varied results. The purpose of this paper is to explore how to harness the power of an integrated system of quality tools and techniques to create operational excellence. An integrated framework involves matching quality tools and techniques to the multi-phases (input, transformation and output) of lean manufacturing or service ecosystem. Design/methodology/approach - Current research of lean quality systems provides a conceptual understanding of core tools employed by manufacturing and service organizations. Interviewing domain experts from a series of manufacturing and service organizations highlighted a common challenge. The challenge was lean tools and methodologies were selected and employed arbitrarily for the different operational phases, which resulted in selective synergies of tools between operational phases. This limitation resulted in rework and duplication of quality efforts through the diverse phases of the transformation system. This study is based on the hypothesis that all phases of an operational system must be linked by common tools and methodologies which enables harnessing quality benefits and synergies throughout the entire operational system. The study methodology trailed through cooperative inquiry using a case study approach to design an integrated framework of tools that facilitates a common platform for manufacturing or service ecosystems. Findings - This study suggests that quality systems in a complex competitive environment must consider an integrated iterative approach. An iterative development of lean quality tools for multiple phases produces an integrated quality system. Such systems employ blending and extending of lean quality tools to multiple phases of the transformation system to synthesize agile and versatile quality system. Research limitations/implications - A limitation of this study is that the research of integrated framework is based on repertory grid technique only; it should be supplemented by other methods. Second, the proposed framework does not consider the complexity added by the internal and external stakeholders as they interface with the integrated system at different points with reference to phases of the system. Practical implications - One of the advantages of this method is its generality, instead of delivering a monolithic system at the culmination of long transformation process we rely on smaller quality sprints which are implemented sequentially at each stage or phase of the transformation system. The phenomena of incremental clustering of time-series of quality sprints for different phases results in true integration from end to end for a transformation system. Social implications - This study helps investigate the personal constructs that users and managers employ to interpret and select quality tools or methodologies for the different phases of lean transformational system. Originality/value - This study aims to understand the impact of blending quality and business process improvement tools and methodologies to enhance outcomes. The basis of this study is the power of multiplicity through which a diverse collection of improvement paths is pooled into an integrated framework of quality tools for lean and efficient operations.</t>
  </si>
  <si>
    <t>[Thomas, Ashish] Concordia Univ Edmonton, Dept Management, Edmonton, AB, Canada</t>
  </si>
  <si>
    <t>Thomas, A (corresponding author), Concordia Univ Edmonton, Dept Management, Edmonton, AB, Canada.</t>
  </si>
  <si>
    <t>ashish.thomas@concordia.ab.ca</t>
  </si>
  <si>
    <t>1463-7154</t>
  </si>
  <si>
    <t>1758-4116</t>
  </si>
  <si>
    <t>BUS PROCESS MANAG J</t>
  </si>
  <si>
    <t>Bus. Process. Manag. J.</t>
  </si>
  <si>
    <t>10.1108/BPMJ-02-2018-0041</t>
  </si>
  <si>
    <t>GW5UZ</t>
  </si>
  <si>
    <t>WOS:000447007200007</t>
  </si>
  <si>
    <t>Keijsers, ERP; Yilmaz, G; van Dam, JEG</t>
  </si>
  <si>
    <t>Keijsers, Edwin R. P.; Yilmaz, Gulden; van Dam, Jan E. G.</t>
  </si>
  <si>
    <t>The cellulose resource matrix</t>
  </si>
  <si>
    <t>CARBOHYDRATE POLYMERS</t>
  </si>
  <si>
    <t>2nd International Polysaccharide Conference on Polysaccharides as Source of Advanced and Sustainable Products (EPNOE)</t>
  </si>
  <si>
    <t>AUG 29-SEP 02, 2011</t>
  </si>
  <si>
    <t>Wageningen, NETHERLANDS</t>
  </si>
  <si>
    <t>Wageningen Univ &amp; Res Ctr,European Polysaccharide Network Excellence</t>
  </si>
  <si>
    <t>Bio-economy; Cellulose resources; Processes and markets; ICT tool; Matrix structure</t>
  </si>
  <si>
    <t>PLANT FIBERS; BIOFUELS; BIOREFINERY; CHEMISTRY; ETHANOL</t>
  </si>
  <si>
    <t>The emerging biobased economy is causing shifts from mineral fossil oil based resources towards renewable resources. Because of market mechanisms, current and new industries utilising renewable commodities, will attempt to secure their supply of resources. Cellulose is among these commodities, where large scale competition can be expected and already is observed for the traditional industries such as the paper industry. Cellulose and lignocellulosic raw materials (like wood and non-wood fibre crops) are being utilised in many industrial sectors. Due to the initiated transition towards biobased economy, these raw materials are intensively investigated also for new applications such as 2nd generation biofuels and 'green' chemicals and materials production (Clark, 2007; Lange, 2007; Petrus &amp; Noordermeer, 2006; Ragauskas et al., 2006; Regalbuto, 2009). As lignocellulosic raw materials are available in variable quantities and qualities, unnecessary competition can be avoided via the choice of suitable raw materials for a target application. For example, utilisation of cellulose as carbohydrate source for ethanol production (Kabir Kazi et al., 2010) avoids the discussed competition with easier digestible carbohydrates (sugars, starch) deprived from the food supply chain. Also for cellulose use as a biopolymer several different competing markets can be distinguished. It is clear that these applications and markets will be influenced by large volume shifts. The world will have to reckon with the increase of competition and feedstock shortage (land use/biodiversity) (van Dam, de Klerk-Engels, Struik, &amp; Rabbinge, 2005). It is of interest - in the context of sustainable development of the bioeconomy - to categorize the already available and emerging lignocellulosic resources in a matrix structure. When composing such cellulose resource matrix attention should be given to the quality aspects as well as to the available quantities and practical possibilities of processing the feedstock and the performance in the end-application. The cellulose resource matrix should become a practical tool for stakeholders to make choices regarding raw materials, process or market. Although there is a vast amount of scientific and economic information available on cellulose and lignocellulosic resources, the accessibility for the interested layman or entrepreneur is very difficult and the relevance of the numerous details in the larger context is limited. Translation of science to practical accessible information with modern data management and data integration tools is a challenge. Therefore, a detailed matrix structure was composed in which the different elements or entries of the matrix were identified and a tentative rough set up was made. The inventory includes current commodities and new cellulose containing and raw materials as well as exotic sources and specialties. Important chemical and physical properties of the different raw materials were identified for the use in processes and products. When available, the market data such as price and availability were recorded. Established and innovative cellulose extraction and refining processes were reviewed. The demands on the raw material for suitable processing were collected. Processing parameters known to affect the cellulose properties were listed. Current and expected emerging markets were surveyed as well as their different demands on cellulose raw materials and processes. The setting up of the cellulose matrix as a practical tool requires two steps Firstly, the reduction of the needed data by clustering of the characteristics of raw materials, processes and markets and secondly, the building of a database that can provide the answers to the questions from stakeholders with an indicative character. This paper describes the steps taken to achieve the defined clusters of most relevant and characteristic properties. These data can be expanded where required. More detailed specification can be obtained from the background literature and handbooks. Where gaps of information are identified, the research questions can be defined that will require further investigation. (C) 2012 Elsevier Ltd. All rights reserved.</t>
  </si>
  <si>
    <t>[Keijsers, Edwin R. P.; Yilmaz, Gulden; van Dam, Jan E. G.] Wageningen UR, Food &amp; Biobased Res, NL-6700 AA Wageningen, Netherlands</t>
  </si>
  <si>
    <t>van Dam, JEG (corresponding author), Wageningen UR, Food &amp; Biobased Res, POB 17, NL-6700 AA Wageningen, Netherlands.</t>
  </si>
  <si>
    <t>jan.vandam@wur.nl</t>
  </si>
  <si>
    <t>Keijsers, Edwin/0009-0005-3321-8684</t>
  </si>
  <si>
    <t>0144-8617</t>
  </si>
  <si>
    <t>1879-1344</t>
  </si>
  <si>
    <t>CARBOHYD POLYM</t>
  </si>
  <si>
    <t>Carbohydr. Polym.</t>
  </si>
  <si>
    <t>10.1016/j.carbpol.2012.08.110</t>
  </si>
  <si>
    <t>Chemistry, Applied; Chemistry, Organic; Polymer Science</t>
  </si>
  <si>
    <t>Chemistry; Polymer Science</t>
  </si>
  <si>
    <t>111HR</t>
  </si>
  <si>
    <t>WOS:000316512900004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</si>
</sst>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10"/>
  <sheetViews>
    <sheetView tabSelected="1" topLeftCell="AR972" workbookViewId="0">
      <selection activeCell="BQ995" sqref="BQ995"/>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74</v>
      </c>
      <c r="AD2" t="s">
        <v>74</v>
      </c>
      <c r="AE2" t="s">
        <v>74</v>
      </c>
      <c r="AF2" t="s">
        <v>74</v>
      </c>
      <c r="AG2">
        <v>32</v>
      </c>
      <c r="AH2">
        <v>111</v>
      </c>
      <c r="AI2">
        <v>113</v>
      </c>
      <c r="AJ2">
        <v>16</v>
      </c>
      <c r="AK2">
        <v>50</v>
      </c>
      <c r="AL2" t="s">
        <v>89</v>
      </c>
      <c r="AM2" t="s">
        <v>90</v>
      </c>
      <c r="AN2" t="s">
        <v>91</v>
      </c>
      <c r="AO2" t="s">
        <v>74</v>
      </c>
      <c r="AP2" t="s">
        <v>92</v>
      </c>
      <c r="AQ2" t="s">
        <v>74</v>
      </c>
      <c r="AR2" t="s">
        <v>93</v>
      </c>
      <c r="AS2" t="s">
        <v>94</v>
      </c>
      <c r="AT2" t="s">
        <v>95</v>
      </c>
      <c r="AU2">
        <v>2019</v>
      </c>
      <c r="AV2">
        <v>6</v>
      </c>
      <c r="AW2">
        <v>1</v>
      </c>
      <c r="AX2" t="s">
        <v>74</v>
      </c>
      <c r="AY2" t="s">
        <v>74</v>
      </c>
      <c r="AZ2" t="s">
        <v>74</v>
      </c>
      <c r="BA2" t="s">
        <v>74</v>
      </c>
      <c r="BB2" t="s">
        <v>74</v>
      </c>
      <c r="BC2" t="s">
        <v>74</v>
      </c>
      <c r="BD2">
        <v>93</v>
      </c>
      <c r="BE2" t="s">
        <v>96</v>
      </c>
      <c r="BF2" t="str">
        <f>HYPERLINK("http://dx.doi.org/10.1186/s40537-019-0255-7","http://dx.doi.org/10.1186/s40537-019-0255-7")</f>
        <v>http://dx.doi.org/10.1186/s40537-019-0255-7</v>
      </c>
      <c r="BG2" t="s">
        <v>74</v>
      </c>
      <c r="BH2" t="s">
        <v>74</v>
      </c>
      <c r="BI2">
        <v>18</v>
      </c>
      <c r="BJ2" t="s">
        <v>97</v>
      </c>
      <c r="BK2" t="s">
        <v>98</v>
      </c>
      <c r="BL2" t="s">
        <v>99</v>
      </c>
      <c r="BM2" t="s">
        <v>100</v>
      </c>
      <c r="BN2" t="s">
        <v>74</v>
      </c>
      <c r="BO2" t="s">
        <v>101</v>
      </c>
      <c r="BP2" t="s">
        <v>74</v>
      </c>
      <c r="BQ2" t="s">
        <v>74</v>
      </c>
      <c r="BR2" t="s">
        <v>102</v>
      </c>
      <c r="BS2" t="s">
        <v>103</v>
      </c>
      <c r="BT2" t="str">
        <f>HYPERLINK("https%3A%2F%2Fwww.webofscience.com%2Fwos%2Fwoscc%2Ffull-record%2FWOS:000599142800002","View Full Record in Web of Science")</f>
        <v>View Full Record in Web of Science</v>
      </c>
    </row>
    <row r="3" spans="1:72" x14ac:dyDescent="0.2">
      <c r="A3" t="s">
        <v>72</v>
      </c>
      <c r="B3" t="s">
        <v>104</v>
      </c>
      <c r="C3" t="s">
        <v>74</v>
      </c>
      <c r="D3" t="s">
        <v>74</v>
      </c>
      <c r="E3" t="s">
        <v>74</v>
      </c>
      <c r="F3" t="s">
        <v>105</v>
      </c>
      <c r="G3" t="s">
        <v>74</v>
      </c>
      <c r="H3" t="s">
        <v>74</v>
      </c>
      <c r="I3" t="s">
        <v>106</v>
      </c>
      <c r="J3" t="s">
        <v>107</v>
      </c>
      <c r="K3" t="s">
        <v>74</v>
      </c>
      <c r="L3" t="s">
        <v>74</v>
      </c>
      <c r="M3" t="s">
        <v>78</v>
      </c>
      <c r="N3" t="s">
        <v>108</v>
      </c>
      <c r="O3" t="s">
        <v>74</v>
      </c>
      <c r="P3" t="s">
        <v>74</v>
      </c>
      <c r="Q3" t="s">
        <v>74</v>
      </c>
      <c r="R3" t="s">
        <v>74</v>
      </c>
      <c r="S3" t="s">
        <v>74</v>
      </c>
      <c r="T3" t="s">
        <v>109</v>
      </c>
      <c r="U3" t="s">
        <v>110</v>
      </c>
      <c r="V3" t="s">
        <v>111</v>
      </c>
      <c r="W3" t="s">
        <v>112</v>
      </c>
      <c r="X3" t="s">
        <v>113</v>
      </c>
      <c r="Y3" t="s">
        <v>114</v>
      </c>
      <c r="Z3" t="s">
        <v>115</v>
      </c>
      <c r="AA3" t="s">
        <v>74</v>
      </c>
      <c r="AB3" t="s">
        <v>74</v>
      </c>
      <c r="AC3" t="s">
        <v>74</v>
      </c>
      <c r="AD3" t="s">
        <v>74</v>
      </c>
      <c r="AE3" t="s">
        <v>74</v>
      </c>
      <c r="AF3" t="s">
        <v>74</v>
      </c>
      <c r="AG3">
        <v>64</v>
      </c>
      <c r="AH3">
        <v>0</v>
      </c>
      <c r="AI3">
        <v>0</v>
      </c>
      <c r="AJ3">
        <v>0</v>
      </c>
      <c r="AK3">
        <v>0</v>
      </c>
      <c r="AL3" t="s">
        <v>116</v>
      </c>
      <c r="AM3" t="s">
        <v>117</v>
      </c>
      <c r="AN3" t="s">
        <v>118</v>
      </c>
      <c r="AO3" t="s">
        <v>74</v>
      </c>
      <c r="AP3" t="s">
        <v>119</v>
      </c>
      <c r="AQ3" t="s">
        <v>74</v>
      </c>
      <c r="AR3" t="s">
        <v>107</v>
      </c>
      <c r="AS3" t="s">
        <v>120</v>
      </c>
      <c r="AT3" t="s">
        <v>121</v>
      </c>
      <c r="AU3">
        <v>2023</v>
      </c>
      <c r="AV3">
        <v>14</v>
      </c>
      <c r="AW3">
        <v>7</v>
      </c>
      <c r="AX3" t="s">
        <v>74</v>
      </c>
      <c r="AY3" t="s">
        <v>74</v>
      </c>
      <c r="AZ3" t="s">
        <v>74</v>
      </c>
      <c r="BA3" t="s">
        <v>74</v>
      </c>
      <c r="BB3" t="s">
        <v>74</v>
      </c>
      <c r="BC3" t="s">
        <v>74</v>
      </c>
      <c r="BD3">
        <v>395</v>
      </c>
      <c r="BE3" t="s">
        <v>122</v>
      </c>
      <c r="BF3" t="str">
        <f>HYPERLINK("http://dx.doi.org/10.3390/info14070395","http://dx.doi.org/10.3390/info14070395")</f>
        <v>http://dx.doi.org/10.3390/info14070395</v>
      </c>
      <c r="BG3" t="s">
        <v>74</v>
      </c>
      <c r="BH3" t="s">
        <v>74</v>
      </c>
      <c r="BI3">
        <v>19</v>
      </c>
      <c r="BJ3" t="s">
        <v>123</v>
      </c>
      <c r="BK3" t="s">
        <v>124</v>
      </c>
      <c r="BL3" t="s">
        <v>99</v>
      </c>
      <c r="BM3" t="s">
        <v>125</v>
      </c>
      <c r="BN3" t="s">
        <v>74</v>
      </c>
      <c r="BO3" t="s">
        <v>126</v>
      </c>
      <c r="BP3" t="s">
        <v>74</v>
      </c>
      <c r="BQ3" t="s">
        <v>74</v>
      </c>
      <c r="BR3" t="s">
        <v>102</v>
      </c>
      <c r="BS3" t="s">
        <v>127</v>
      </c>
      <c r="BT3" t="str">
        <f>HYPERLINK("https%3A%2F%2Fwww.webofscience.com%2Fwos%2Fwoscc%2Ffull-record%2FWOS:001035925900001","View Full Record in Web of Science")</f>
        <v>View Full Record in Web of Science</v>
      </c>
    </row>
    <row r="4" spans="1:72" x14ac:dyDescent="0.2">
      <c r="A4" t="s">
        <v>72</v>
      </c>
      <c r="B4" t="s">
        <v>128</v>
      </c>
      <c r="C4" t="s">
        <v>74</v>
      </c>
      <c r="D4" t="s">
        <v>74</v>
      </c>
      <c r="E4" t="s">
        <v>74</v>
      </c>
      <c r="F4" t="s">
        <v>129</v>
      </c>
      <c r="G4" t="s">
        <v>74</v>
      </c>
      <c r="H4" t="s">
        <v>74</v>
      </c>
      <c r="I4" t="s">
        <v>130</v>
      </c>
      <c r="J4" t="s">
        <v>131</v>
      </c>
      <c r="K4" t="s">
        <v>74</v>
      </c>
      <c r="L4" t="s">
        <v>74</v>
      </c>
      <c r="M4" t="s">
        <v>78</v>
      </c>
      <c r="N4" t="s">
        <v>108</v>
      </c>
      <c r="O4" t="s">
        <v>74</v>
      </c>
      <c r="P4" t="s">
        <v>74</v>
      </c>
      <c r="Q4" t="s">
        <v>74</v>
      </c>
      <c r="R4" t="s">
        <v>74</v>
      </c>
      <c r="S4" t="s">
        <v>74</v>
      </c>
      <c r="T4" t="s">
        <v>132</v>
      </c>
      <c r="U4" t="s">
        <v>133</v>
      </c>
      <c r="V4" t="s">
        <v>134</v>
      </c>
      <c r="W4" t="s">
        <v>135</v>
      </c>
      <c r="X4" t="s">
        <v>136</v>
      </c>
      <c r="Y4" t="s">
        <v>114</v>
      </c>
      <c r="Z4" t="s">
        <v>137</v>
      </c>
      <c r="AA4" t="s">
        <v>138</v>
      </c>
      <c r="AB4" t="s">
        <v>139</v>
      </c>
      <c r="AC4" t="s">
        <v>140</v>
      </c>
      <c r="AD4" t="s">
        <v>140</v>
      </c>
      <c r="AE4" t="s">
        <v>141</v>
      </c>
      <c r="AF4" t="s">
        <v>74</v>
      </c>
      <c r="AG4">
        <v>61</v>
      </c>
      <c r="AH4">
        <v>43</v>
      </c>
      <c r="AI4">
        <v>43</v>
      </c>
      <c r="AJ4">
        <v>6</v>
      </c>
      <c r="AK4">
        <v>56</v>
      </c>
      <c r="AL4" t="s">
        <v>116</v>
      </c>
      <c r="AM4" t="s">
        <v>117</v>
      </c>
      <c r="AN4" t="s">
        <v>118</v>
      </c>
      <c r="AO4" t="s">
        <v>74</v>
      </c>
      <c r="AP4" t="s">
        <v>142</v>
      </c>
      <c r="AQ4" t="s">
        <v>74</v>
      </c>
      <c r="AR4" t="s">
        <v>143</v>
      </c>
      <c r="AS4" t="s">
        <v>144</v>
      </c>
      <c r="AT4" t="s">
        <v>121</v>
      </c>
      <c r="AU4">
        <v>2018</v>
      </c>
      <c r="AV4">
        <v>10</v>
      </c>
      <c r="AW4">
        <v>7</v>
      </c>
      <c r="AX4" t="s">
        <v>74</v>
      </c>
      <c r="AY4" t="s">
        <v>74</v>
      </c>
      <c r="AZ4" t="s">
        <v>74</v>
      </c>
      <c r="BA4" t="s">
        <v>74</v>
      </c>
      <c r="BB4" t="s">
        <v>74</v>
      </c>
      <c r="BC4" t="s">
        <v>74</v>
      </c>
      <c r="BD4">
        <v>2231</v>
      </c>
      <c r="BE4" t="s">
        <v>145</v>
      </c>
      <c r="BF4" t="str">
        <f>HYPERLINK("http://dx.doi.org/10.3390/su10072231","http://dx.doi.org/10.3390/su10072231")</f>
        <v>http://dx.doi.org/10.3390/su10072231</v>
      </c>
      <c r="BG4" t="s">
        <v>74</v>
      </c>
      <c r="BH4" t="s">
        <v>74</v>
      </c>
      <c r="BI4">
        <v>20</v>
      </c>
      <c r="BJ4" t="s">
        <v>146</v>
      </c>
      <c r="BK4" t="s">
        <v>147</v>
      </c>
      <c r="BL4" t="s">
        <v>148</v>
      </c>
      <c r="BM4" t="s">
        <v>149</v>
      </c>
      <c r="BN4" t="s">
        <v>74</v>
      </c>
      <c r="BO4" t="s">
        <v>150</v>
      </c>
      <c r="BP4" t="s">
        <v>74</v>
      </c>
      <c r="BQ4" t="s">
        <v>74</v>
      </c>
      <c r="BR4" t="s">
        <v>102</v>
      </c>
      <c r="BS4" t="s">
        <v>151</v>
      </c>
      <c r="BT4" t="str">
        <f>HYPERLINK("https%3A%2F%2Fwww.webofscience.com%2Fwos%2Fwoscc%2Ffull-record%2FWOS:000440947600122","View Full Record in Web of Science")</f>
        <v>View Full Record in Web of Science</v>
      </c>
    </row>
    <row r="5" spans="1:72" x14ac:dyDescent="0.2">
      <c r="A5" t="s">
        <v>72</v>
      </c>
      <c r="B5" t="s">
        <v>152</v>
      </c>
      <c r="C5" t="s">
        <v>74</v>
      </c>
      <c r="D5" t="s">
        <v>74</v>
      </c>
      <c r="E5" t="s">
        <v>74</v>
      </c>
      <c r="F5" t="s">
        <v>153</v>
      </c>
      <c r="G5" t="s">
        <v>74</v>
      </c>
      <c r="H5" t="s">
        <v>74</v>
      </c>
      <c r="I5" t="s">
        <v>154</v>
      </c>
      <c r="J5" t="s">
        <v>155</v>
      </c>
      <c r="K5" t="s">
        <v>74</v>
      </c>
      <c r="L5" t="s">
        <v>74</v>
      </c>
      <c r="M5" t="s">
        <v>78</v>
      </c>
      <c r="N5" t="s">
        <v>108</v>
      </c>
      <c r="O5" t="s">
        <v>74</v>
      </c>
      <c r="P5" t="s">
        <v>74</v>
      </c>
      <c r="Q5" t="s">
        <v>74</v>
      </c>
      <c r="R5" t="s">
        <v>74</v>
      </c>
      <c r="S5" t="s">
        <v>74</v>
      </c>
      <c r="T5" t="s">
        <v>156</v>
      </c>
      <c r="U5" t="s">
        <v>157</v>
      </c>
      <c r="V5" t="s">
        <v>158</v>
      </c>
      <c r="W5" t="s">
        <v>159</v>
      </c>
      <c r="X5" t="s">
        <v>160</v>
      </c>
      <c r="Y5" t="s">
        <v>161</v>
      </c>
      <c r="Z5" t="s">
        <v>162</v>
      </c>
      <c r="AA5" t="s">
        <v>74</v>
      </c>
      <c r="AB5" t="s">
        <v>163</v>
      </c>
      <c r="AC5" t="s">
        <v>164</v>
      </c>
      <c r="AD5" t="s">
        <v>165</v>
      </c>
      <c r="AE5" t="s">
        <v>166</v>
      </c>
      <c r="AF5" t="s">
        <v>74</v>
      </c>
      <c r="AG5">
        <v>47</v>
      </c>
      <c r="AH5">
        <v>4</v>
      </c>
      <c r="AI5">
        <v>4</v>
      </c>
      <c r="AJ5">
        <v>12</v>
      </c>
      <c r="AK5">
        <v>78</v>
      </c>
      <c r="AL5" t="s">
        <v>167</v>
      </c>
      <c r="AM5" t="s">
        <v>168</v>
      </c>
      <c r="AN5" t="s">
        <v>169</v>
      </c>
      <c r="AO5" t="s">
        <v>170</v>
      </c>
      <c r="AP5" t="s">
        <v>171</v>
      </c>
      <c r="AQ5" t="s">
        <v>74</v>
      </c>
      <c r="AR5" t="s">
        <v>172</v>
      </c>
      <c r="AS5" t="s">
        <v>173</v>
      </c>
      <c r="AT5" t="s">
        <v>174</v>
      </c>
      <c r="AU5">
        <v>2021</v>
      </c>
      <c r="AV5">
        <v>68</v>
      </c>
      <c r="AW5">
        <v>5</v>
      </c>
      <c r="AX5" t="s">
        <v>74</v>
      </c>
      <c r="AY5" t="s">
        <v>74</v>
      </c>
      <c r="AZ5" t="s">
        <v>74</v>
      </c>
      <c r="BA5" t="s">
        <v>74</v>
      </c>
      <c r="BB5">
        <v>1309</v>
      </c>
      <c r="BC5">
        <v>1320</v>
      </c>
      <c r="BD5" t="s">
        <v>74</v>
      </c>
      <c r="BE5" t="s">
        <v>175</v>
      </c>
      <c r="BF5" t="str">
        <f>HYPERLINK("http://dx.doi.org/10.1109/TEM.2019.2958113","http://dx.doi.org/10.1109/TEM.2019.2958113")</f>
        <v>http://dx.doi.org/10.1109/TEM.2019.2958113</v>
      </c>
      <c r="BG5" t="s">
        <v>74</v>
      </c>
      <c r="BH5" t="s">
        <v>74</v>
      </c>
      <c r="BI5">
        <v>12</v>
      </c>
      <c r="BJ5" t="s">
        <v>176</v>
      </c>
      <c r="BK5" t="s">
        <v>147</v>
      </c>
      <c r="BL5" t="s">
        <v>177</v>
      </c>
      <c r="BM5" t="s">
        <v>178</v>
      </c>
      <c r="BN5" t="s">
        <v>74</v>
      </c>
      <c r="BO5" t="s">
        <v>74</v>
      </c>
      <c r="BP5" t="s">
        <v>74</v>
      </c>
      <c r="BQ5" t="s">
        <v>74</v>
      </c>
      <c r="BR5" t="s">
        <v>102</v>
      </c>
      <c r="BS5" t="s">
        <v>179</v>
      </c>
      <c r="BT5" t="str">
        <f>HYPERLINK("https%3A%2F%2Fwww.webofscience.com%2Fwos%2Fwoscc%2Ffull-record%2FWOS:000674114900009","View Full Record in Web of Science")</f>
        <v>View Full Record in Web of Science</v>
      </c>
    </row>
    <row r="6" spans="1:72" x14ac:dyDescent="0.2">
      <c r="A6" t="s">
        <v>72</v>
      </c>
      <c r="B6" t="s">
        <v>180</v>
      </c>
      <c r="C6" t="s">
        <v>74</v>
      </c>
      <c r="D6" t="s">
        <v>74</v>
      </c>
      <c r="E6" t="s">
        <v>74</v>
      </c>
      <c r="F6" t="s">
        <v>181</v>
      </c>
      <c r="G6" t="s">
        <v>74</v>
      </c>
      <c r="H6" t="s">
        <v>74</v>
      </c>
      <c r="I6" t="s">
        <v>182</v>
      </c>
      <c r="J6" t="s">
        <v>131</v>
      </c>
      <c r="K6" t="s">
        <v>74</v>
      </c>
      <c r="L6" t="s">
        <v>74</v>
      </c>
      <c r="M6" t="s">
        <v>78</v>
      </c>
      <c r="N6" t="s">
        <v>79</v>
      </c>
      <c r="O6" t="s">
        <v>74</v>
      </c>
      <c r="P6" t="s">
        <v>74</v>
      </c>
      <c r="Q6" t="s">
        <v>74</v>
      </c>
      <c r="R6" t="s">
        <v>74</v>
      </c>
      <c r="S6" t="s">
        <v>74</v>
      </c>
      <c r="T6" t="s">
        <v>183</v>
      </c>
      <c r="U6" t="s">
        <v>184</v>
      </c>
      <c r="V6" t="s">
        <v>185</v>
      </c>
      <c r="W6" t="s">
        <v>186</v>
      </c>
      <c r="X6" t="s">
        <v>187</v>
      </c>
      <c r="Y6" t="s">
        <v>188</v>
      </c>
      <c r="Z6" t="s">
        <v>189</v>
      </c>
      <c r="AA6" t="s">
        <v>190</v>
      </c>
      <c r="AB6" t="s">
        <v>191</v>
      </c>
      <c r="AC6" t="s">
        <v>192</v>
      </c>
      <c r="AD6" t="s">
        <v>192</v>
      </c>
      <c r="AE6" t="s">
        <v>193</v>
      </c>
      <c r="AF6" t="s">
        <v>74</v>
      </c>
      <c r="AG6">
        <v>103</v>
      </c>
      <c r="AH6">
        <v>6</v>
      </c>
      <c r="AI6">
        <v>6</v>
      </c>
      <c r="AJ6">
        <v>41</v>
      </c>
      <c r="AK6">
        <v>76</v>
      </c>
      <c r="AL6" t="s">
        <v>116</v>
      </c>
      <c r="AM6" t="s">
        <v>117</v>
      </c>
      <c r="AN6" t="s">
        <v>118</v>
      </c>
      <c r="AO6" t="s">
        <v>74</v>
      </c>
      <c r="AP6" t="s">
        <v>142</v>
      </c>
      <c r="AQ6" t="s">
        <v>74</v>
      </c>
      <c r="AR6" t="s">
        <v>143</v>
      </c>
      <c r="AS6" t="s">
        <v>144</v>
      </c>
      <c r="AT6" t="s">
        <v>194</v>
      </c>
      <c r="AU6">
        <v>2022</v>
      </c>
      <c r="AV6">
        <v>14</v>
      </c>
      <c r="AW6">
        <v>21</v>
      </c>
      <c r="AX6" t="s">
        <v>74</v>
      </c>
      <c r="AY6" t="s">
        <v>74</v>
      </c>
      <c r="AZ6" t="s">
        <v>74</v>
      </c>
      <c r="BA6" t="s">
        <v>74</v>
      </c>
      <c r="BB6" t="s">
        <v>74</v>
      </c>
      <c r="BC6" t="s">
        <v>74</v>
      </c>
      <c r="BD6">
        <v>14089</v>
      </c>
      <c r="BE6" t="s">
        <v>195</v>
      </c>
      <c r="BF6" t="str">
        <f>HYPERLINK("http://dx.doi.org/10.3390/su142114089","http://dx.doi.org/10.3390/su142114089")</f>
        <v>http://dx.doi.org/10.3390/su142114089</v>
      </c>
      <c r="BG6" t="s">
        <v>74</v>
      </c>
      <c r="BH6" t="s">
        <v>74</v>
      </c>
      <c r="BI6">
        <v>21</v>
      </c>
      <c r="BJ6" t="s">
        <v>146</v>
      </c>
      <c r="BK6" t="s">
        <v>147</v>
      </c>
      <c r="BL6" t="s">
        <v>148</v>
      </c>
      <c r="BM6" t="s">
        <v>196</v>
      </c>
      <c r="BN6" t="s">
        <v>74</v>
      </c>
      <c r="BO6" t="s">
        <v>126</v>
      </c>
      <c r="BP6" t="s">
        <v>74</v>
      </c>
      <c r="BQ6" t="s">
        <v>74</v>
      </c>
      <c r="BR6" t="s">
        <v>102</v>
      </c>
      <c r="BS6" t="s">
        <v>197</v>
      </c>
      <c r="BT6" t="str">
        <f>HYPERLINK("https%3A%2F%2Fwww.webofscience.com%2Fwos%2Fwoscc%2Ffull-record%2FWOS:000881459200001","View Full Record in Web of Science")</f>
        <v>View Full Record in Web of Science</v>
      </c>
    </row>
    <row r="7" spans="1:72" x14ac:dyDescent="0.2">
      <c r="A7" t="s">
        <v>72</v>
      </c>
      <c r="B7" t="s">
        <v>198</v>
      </c>
      <c r="C7" t="s">
        <v>74</v>
      </c>
      <c r="D7" t="s">
        <v>74</v>
      </c>
      <c r="E7" t="s">
        <v>74</v>
      </c>
      <c r="F7" t="s">
        <v>199</v>
      </c>
      <c r="G7" t="s">
        <v>74</v>
      </c>
      <c r="H7" t="s">
        <v>74</v>
      </c>
      <c r="I7" t="s">
        <v>200</v>
      </c>
      <c r="J7" t="s">
        <v>201</v>
      </c>
      <c r="K7" t="s">
        <v>74</v>
      </c>
      <c r="L7" t="s">
        <v>74</v>
      </c>
      <c r="M7" t="s">
        <v>78</v>
      </c>
      <c r="N7" t="s">
        <v>79</v>
      </c>
      <c r="O7" t="s">
        <v>74</v>
      </c>
      <c r="P7" t="s">
        <v>74</v>
      </c>
      <c r="Q7" t="s">
        <v>74</v>
      </c>
      <c r="R7" t="s">
        <v>74</v>
      </c>
      <c r="S7" t="s">
        <v>74</v>
      </c>
      <c r="T7" t="s">
        <v>202</v>
      </c>
      <c r="U7" t="s">
        <v>203</v>
      </c>
      <c r="V7" t="s">
        <v>204</v>
      </c>
      <c r="W7" t="s">
        <v>205</v>
      </c>
      <c r="X7" t="s">
        <v>206</v>
      </c>
      <c r="Y7" t="s">
        <v>207</v>
      </c>
      <c r="Z7" t="s">
        <v>208</v>
      </c>
      <c r="AA7" t="s">
        <v>74</v>
      </c>
      <c r="AB7" t="s">
        <v>74</v>
      </c>
      <c r="AC7" t="s">
        <v>74</v>
      </c>
      <c r="AD7" t="s">
        <v>74</v>
      </c>
      <c r="AE7" t="s">
        <v>74</v>
      </c>
      <c r="AF7" t="s">
        <v>74</v>
      </c>
      <c r="AG7">
        <v>58</v>
      </c>
      <c r="AH7">
        <v>2</v>
      </c>
      <c r="AI7">
        <v>2</v>
      </c>
      <c r="AJ7">
        <v>2</v>
      </c>
      <c r="AK7">
        <v>9</v>
      </c>
      <c r="AL7" t="s">
        <v>209</v>
      </c>
      <c r="AM7" t="s">
        <v>210</v>
      </c>
      <c r="AN7" t="s">
        <v>211</v>
      </c>
      <c r="AO7" t="s">
        <v>212</v>
      </c>
      <c r="AP7" t="s">
        <v>213</v>
      </c>
      <c r="AQ7" t="s">
        <v>74</v>
      </c>
      <c r="AR7" t="s">
        <v>214</v>
      </c>
      <c r="AS7" t="s">
        <v>215</v>
      </c>
      <c r="AT7" t="s">
        <v>216</v>
      </c>
      <c r="AU7">
        <v>2022</v>
      </c>
      <c r="AV7">
        <v>38</v>
      </c>
      <c r="AW7">
        <v>4</v>
      </c>
      <c r="AX7" t="s">
        <v>74</v>
      </c>
      <c r="AY7" t="s">
        <v>74</v>
      </c>
      <c r="AZ7" t="s">
        <v>74</v>
      </c>
      <c r="BA7" t="s">
        <v>74</v>
      </c>
      <c r="BB7">
        <v>263</v>
      </c>
      <c r="BC7">
        <v>278</v>
      </c>
      <c r="BD7" t="s">
        <v>74</v>
      </c>
      <c r="BE7" t="s">
        <v>217</v>
      </c>
      <c r="BF7" t="str">
        <f>HYPERLINK("http://dx.doi.org/10.1016/j.ajsl.2022.10.003","http://dx.doi.org/10.1016/j.ajsl.2022.10.003")</f>
        <v>http://dx.doi.org/10.1016/j.ajsl.2022.10.003</v>
      </c>
      <c r="BG7" t="s">
        <v>74</v>
      </c>
      <c r="BH7" t="s">
        <v>218</v>
      </c>
      <c r="BI7">
        <v>16</v>
      </c>
      <c r="BJ7" t="s">
        <v>219</v>
      </c>
      <c r="BK7" t="s">
        <v>124</v>
      </c>
      <c r="BL7" t="s">
        <v>219</v>
      </c>
      <c r="BM7" t="s">
        <v>220</v>
      </c>
      <c r="BN7" t="s">
        <v>74</v>
      </c>
      <c r="BO7" t="s">
        <v>74</v>
      </c>
      <c r="BP7" t="s">
        <v>74</v>
      </c>
      <c r="BQ7" t="s">
        <v>74</v>
      </c>
      <c r="BR7" t="s">
        <v>102</v>
      </c>
      <c r="BS7" t="s">
        <v>221</v>
      </c>
      <c r="BT7" t="str">
        <f>HYPERLINK("https%3A%2F%2Fwww.webofscience.com%2Fwos%2Fwoscc%2Ffull-record%2FWOS:000891785100006","View Full Record in Web of Science")</f>
        <v>View Full Record in Web of Science</v>
      </c>
    </row>
    <row r="8" spans="1:72" x14ac:dyDescent="0.2">
      <c r="A8" t="s">
        <v>72</v>
      </c>
      <c r="B8" t="s">
        <v>222</v>
      </c>
      <c r="C8" t="s">
        <v>74</v>
      </c>
      <c r="D8" t="s">
        <v>74</v>
      </c>
      <c r="E8" t="s">
        <v>74</v>
      </c>
      <c r="F8" t="s">
        <v>223</v>
      </c>
      <c r="G8" t="s">
        <v>74</v>
      </c>
      <c r="H8" t="s">
        <v>74</v>
      </c>
      <c r="I8" t="s">
        <v>224</v>
      </c>
      <c r="J8" t="s">
        <v>225</v>
      </c>
      <c r="K8" t="s">
        <v>74</v>
      </c>
      <c r="L8" t="s">
        <v>74</v>
      </c>
      <c r="M8" t="s">
        <v>78</v>
      </c>
      <c r="N8" t="s">
        <v>108</v>
      </c>
      <c r="O8" t="s">
        <v>74</v>
      </c>
      <c r="P8" t="s">
        <v>74</v>
      </c>
      <c r="Q8" t="s">
        <v>74</v>
      </c>
      <c r="R8" t="s">
        <v>74</v>
      </c>
      <c r="S8" t="s">
        <v>74</v>
      </c>
      <c r="T8" t="s">
        <v>226</v>
      </c>
      <c r="U8" t="s">
        <v>227</v>
      </c>
      <c r="V8" t="s">
        <v>228</v>
      </c>
      <c r="W8" t="s">
        <v>229</v>
      </c>
      <c r="X8" t="s">
        <v>230</v>
      </c>
      <c r="Y8" t="s">
        <v>231</v>
      </c>
      <c r="Z8" t="s">
        <v>232</v>
      </c>
      <c r="AA8" t="s">
        <v>74</v>
      </c>
      <c r="AB8" t="s">
        <v>74</v>
      </c>
      <c r="AC8" t="s">
        <v>233</v>
      </c>
      <c r="AD8" t="s">
        <v>234</v>
      </c>
      <c r="AE8" t="s">
        <v>235</v>
      </c>
      <c r="AF8" t="s">
        <v>74</v>
      </c>
      <c r="AG8">
        <v>97</v>
      </c>
      <c r="AH8">
        <v>0</v>
      </c>
      <c r="AI8">
        <v>0</v>
      </c>
      <c r="AJ8">
        <v>4</v>
      </c>
      <c r="AK8">
        <v>4</v>
      </c>
      <c r="AL8" t="s">
        <v>116</v>
      </c>
      <c r="AM8" t="s">
        <v>117</v>
      </c>
      <c r="AN8" t="s">
        <v>118</v>
      </c>
      <c r="AO8" t="s">
        <v>74</v>
      </c>
      <c r="AP8" t="s">
        <v>236</v>
      </c>
      <c r="AQ8" t="s">
        <v>74</v>
      </c>
      <c r="AR8" t="s">
        <v>237</v>
      </c>
      <c r="AS8" t="s">
        <v>238</v>
      </c>
      <c r="AT8" t="s">
        <v>239</v>
      </c>
      <c r="AU8">
        <v>2023</v>
      </c>
      <c r="AV8">
        <v>11</v>
      </c>
      <c r="AW8">
        <v>8</v>
      </c>
      <c r="AX8" t="s">
        <v>74</v>
      </c>
      <c r="AY8" t="s">
        <v>74</v>
      </c>
      <c r="AZ8" t="s">
        <v>74</v>
      </c>
      <c r="BA8" t="s">
        <v>74</v>
      </c>
      <c r="BB8" t="s">
        <v>74</v>
      </c>
      <c r="BC8" t="s">
        <v>74</v>
      </c>
      <c r="BD8">
        <v>410</v>
      </c>
      <c r="BE8" t="s">
        <v>240</v>
      </c>
      <c r="BF8" t="str">
        <f>HYPERLINK("http://dx.doi.org/10.3390/systems11080410","http://dx.doi.org/10.3390/systems11080410")</f>
        <v>http://dx.doi.org/10.3390/systems11080410</v>
      </c>
      <c r="BG8" t="s">
        <v>74</v>
      </c>
      <c r="BH8" t="s">
        <v>74</v>
      </c>
      <c r="BI8">
        <v>23</v>
      </c>
      <c r="BJ8" t="s">
        <v>241</v>
      </c>
      <c r="BK8" t="s">
        <v>242</v>
      </c>
      <c r="BL8" t="s">
        <v>243</v>
      </c>
      <c r="BM8" t="s">
        <v>244</v>
      </c>
      <c r="BN8" t="s">
        <v>74</v>
      </c>
      <c r="BO8" t="s">
        <v>126</v>
      </c>
      <c r="BP8" t="s">
        <v>74</v>
      </c>
      <c r="BQ8" t="s">
        <v>74</v>
      </c>
      <c r="BR8" t="s">
        <v>102</v>
      </c>
      <c r="BS8" t="s">
        <v>245</v>
      </c>
      <c r="BT8" t="str">
        <f>HYPERLINK("https%3A%2F%2Fwww.webofscience.com%2Fwos%2Fwoscc%2Ffull-record%2FWOS:001056718300001","View Full Record in Web of Science")</f>
        <v>View Full Record in Web of Science</v>
      </c>
    </row>
    <row r="9" spans="1:72" x14ac:dyDescent="0.2">
      <c r="A9" t="s">
        <v>72</v>
      </c>
      <c r="B9" t="s">
        <v>246</v>
      </c>
      <c r="C9" t="s">
        <v>74</v>
      </c>
      <c r="D9" t="s">
        <v>74</v>
      </c>
      <c r="E9" t="s">
        <v>74</v>
      </c>
      <c r="F9" t="s">
        <v>247</v>
      </c>
      <c r="G9" t="s">
        <v>74</v>
      </c>
      <c r="H9" t="s">
        <v>74</v>
      </c>
      <c r="I9" t="s">
        <v>248</v>
      </c>
      <c r="J9" t="s">
        <v>249</v>
      </c>
      <c r="K9" t="s">
        <v>74</v>
      </c>
      <c r="L9" t="s">
        <v>74</v>
      </c>
      <c r="M9" t="s">
        <v>78</v>
      </c>
      <c r="N9" t="s">
        <v>108</v>
      </c>
      <c r="O9" t="s">
        <v>74</v>
      </c>
      <c r="P9" t="s">
        <v>74</v>
      </c>
      <c r="Q9" t="s">
        <v>74</v>
      </c>
      <c r="R9" t="s">
        <v>74</v>
      </c>
      <c r="S9" t="s">
        <v>74</v>
      </c>
      <c r="T9" t="s">
        <v>250</v>
      </c>
      <c r="U9" t="s">
        <v>251</v>
      </c>
      <c r="V9" t="s">
        <v>252</v>
      </c>
      <c r="W9" t="s">
        <v>253</v>
      </c>
      <c r="X9" t="s">
        <v>254</v>
      </c>
      <c r="Y9" t="s">
        <v>255</v>
      </c>
      <c r="Z9" t="s">
        <v>256</v>
      </c>
      <c r="AA9" t="s">
        <v>257</v>
      </c>
      <c r="AB9" t="s">
        <v>258</v>
      </c>
      <c r="AC9" t="s">
        <v>74</v>
      </c>
      <c r="AD9" t="s">
        <v>74</v>
      </c>
      <c r="AE9" t="s">
        <v>74</v>
      </c>
      <c r="AF9" t="s">
        <v>74</v>
      </c>
      <c r="AG9">
        <v>122</v>
      </c>
      <c r="AH9">
        <v>28</v>
      </c>
      <c r="AI9">
        <v>28</v>
      </c>
      <c r="AJ9">
        <v>29</v>
      </c>
      <c r="AK9">
        <v>225</v>
      </c>
      <c r="AL9" t="s">
        <v>259</v>
      </c>
      <c r="AM9" t="s">
        <v>260</v>
      </c>
      <c r="AN9" t="s">
        <v>261</v>
      </c>
      <c r="AO9" t="s">
        <v>262</v>
      </c>
      <c r="AP9" t="s">
        <v>263</v>
      </c>
      <c r="AQ9" t="s">
        <v>74</v>
      </c>
      <c r="AR9" t="s">
        <v>264</v>
      </c>
      <c r="AS9" t="s">
        <v>265</v>
      </c>
      <c r="AT9" t="s">
        <v>174</v>
      </c>
      <c r="AU9">
        <v>2021</v>
      </c>
      <c r="AV9">
        <v>50</v>
      </c>
      <c r="AW9" t="s">
        <v>74</v>
      </c>
      <c r="AX9" t="s">
        <v>74</v>
      </c>
      <c r="AY9" t="s">
        <v>74</v>
      </c>
      <c r="AZ9" t="s">
        <v>74</v>
      </c>
      <c r="BA9" t="s">
        <v>74</v>
      </c>
      <c r="BB9" t="s">
        <v>74</v>
      </c>
      <c r="BC9" t="s">
        <v>74</v>
      </c>
      <c r="BD9">
        <v>101428</v>
      </c>
      <c r="BE9" t="s">
        <v>266</v>
      </c>
      <c r="BF9" t="str">
        <f>HYPERLINK("http://dx.doi.org/10.1016/j.aei.2021.101428","http://dx.doi.org/10.1016/j.aei.2021.101428")</f>
        <v>http://dx.doi.org/10.1016/j.aei.2021.101428</v>
      </c>
      <c r="BG9" t="s">
        <v>74</v>
      </c>
      <c r="BH9" t="s">
        <v>267</v>
      </c>
      <c r="BI9">
        <v>17</v>
      </c>
      <c r="BJ9" t="s">
        <v>268</v>
      </c>
      <c r="BK9" t="s">
        <v>147</v>
      </c>
      <c r="BL9" t="s">
        <v>269</v>
      </c>
      <c r="BM9" t="s">
        <v>270</v>
      </c>
      <c r="BN9" t="s">
        <v>74</v>
      </c>
      <c r="BO9" t="s">
        <v>74</v>
      </c>
      <c r="BP9" t="s">
        <v>74</v>
      </c>
      <c r="BQ9" t="s">
        <v>74</v>
      </c>
      <c r="BR9" t="s">
        <v>102</v>
      </c>
      <c r="BS9" t="s">
        <v>271</v>
      </c>
      <c r="BT9" t="str">
        <f>HYPERLINK("https%3A%2F%2Fwww.webofscience.com%2Fwos%2Fwoscc%2Ffull-record%2FWOS:000711640000003","View Full Record in Web of Science")</f>
        <v>View Full Record in Web of Science</v>
      </c>
    </row>
    <row r="10" spans="1:72" x14ac:dyDescent="0.2">
      <c r="A10" t="s">
        <v>72</v>
      </c>
      <c r="B10" t="s">
        <v>73</v>
      </c>
      <c r="C10" t="s">
        <v>74</v>
      </c>
      <c r="D10" t="s">
        <v>74</v>
      </c>
      <c r="E10" t="s">
        <v>74</v>
      </c>
      <c r="F10" t="s">
        <v>75</v>
      </c>
      <c r="G10" t="s">
        <v>74</v>
      </c>
      <c r="H10" t="s">
        <v>74</v>
      </c>
      <c r="I10" t="s">
        <v>272</v>
      </c>
      <c r="J10" t="s">
        <v>273</v>
      </c>
      <c r="K10" t="s">
        <v>74</v>
      </c>
      <c r="L10" t="s">
        <v>74</v>
      </c>
      <c r="M10" t="s">
        <v>78</v>
      </c>
      <c r="N10" t="s">
        <v>79</v>
      </c>
      <c r="O10" t="s">
        <v>74</v>
      </c>
      <c r="P10" t="s">
        <v>74</v>
      </c>
      <c r="Q10" t="s">
        <v>74</v>
      </c>
      <c r="R10" t="s">
        <v>74</v>
      </c>
      <c r="S10" t="s">
        <v>74</v>
      </c>
      <c r="T10" t="s">
        <v>274</v>
      </c>
      <c r="U10" t="s">
        <v>275</v>
      </c>
      <c r="V10" t="s">
        <v>276</v>
      </c>
      <c r="W10" t="s">
        <v>277</v>
      </c>
      <c r="X10" t="s">
        <v>84</v>
      </c>
      <c r="Y10" t="s">
        <v>278</v>
      </c>
      <c r="Z10" t="s">
        <v>86</v>
      </c>
      <c r="AA10" t="s">
        <v>87</v>
      </c>
      <c r="AB10" t="s">
        <v>88</v>
      </c>
      <c r="AC10" t="s">
        <v>74</v>
      </c>
      <c r="AD10" t="s">
        <v>74</v>
      </c>
      <c r="AE10" t="s">
        <v>74</v>
      </c>
      <c r="AF10" t="s">
        <v>74</v>
      </c>
      <c r="AG10">
        <v>124</v>
      </c>
      <c r="AH10">
        <v>12</v>
      </c>
      <c r="AI10">
        <v>13</v>
      </c>
      <c r="AJ10">
        <v>0</v>
      </c>
      <c r="AK10">
        <v>39</v>
      </c>
      <c r="AL10" t="s">
        <v>279</v>
      </c>
      <c r="AM10" t="s">
        <v>280</v>
      </c>
      <c r="AN10" t="s">
        <v>281</v>
      </c>
      <c r="AO10" t="s">
        <v>282</v>
      </c>
      <c r="AP10" t="s">
        <v>283</v>
      </c>
      <c r="AQ10" t="s">
        <v>74</v>
      </c>
      <c r="AR10" t="s">
        <v>284</v>
      </c>
      <c r="AS10" t="s">
        <v>285</v>
      </c>
      <c r="AT10" t="s">
        <v>286</v>
      </c>
      <c r="AU10">
        <v>2020</v>
      </c>
      <c r="AV10">
        <v>14</v>
      </c>
      <c r="AW10">
        <v>5</v>
      </c>
      <c r="AX10" t="s">
        <v>74</v>
      </c>
      <c r="AY10" t="s">
        <v>74</v>
      </c>
      <c r="AZ10" t="s">
        <v>74</v>
      </c>
      <c r="BA10" t="s">
        <v>74</v>
      </c>
      <c r="BB10">
        <v>563</v>
      </c>
      <c r="BC10">
        <v>610</v>
      </c>
      <c r="BD10" t="s">
        <v>74</v>
      </c>
      <c r="BE10" t="s">
        <v>287</v>
      </c>
      <c r="BF10" t="str">
        <f>HYPERLINK("http://dx.doi.org/10.1080/17517575.2020.1734240","http://dx.doi.org/10.1080/17517575.2020.1734240")</f>
        <v>http://dx.doi.org/10.1080/17517575.2020.1734240</v>
      </c>
      <c r="BG10" t="s">
        <v>74</v>
      </c>
      <c r="BH10" t="s">
        <v>288</v>
      </c>
      <c r="BI10">
        <v>48</v>
      </c>
      <c r="BJ10" t="s">
        <v>123</v>
      </c>
      <c r="BK10" t="s">
        <v>147</v>
      </c>
      <c r="BL10" t="s">
        <v>99</v>
      </c>
      <c r="BM10" t="s">
        <v>289</v>
      </c>
      <c r="BN10" t="s">
        <v>74</v>
      </c>
      <c r="BO10" t="s">
        <v>74</v>
      </c>
      <c r="BP10" t="s">
        <v>74</v>
      </c>
      <c r="BQ10" t="s">
        <v>74</v>
      </c>
      <c r="BR10" t="s">
        <v>102</v>
      </c>
      <c r="BS10" t="s">
        <v>290</v>
      </c>
      <c r="BT10" t="str">
        <f>HYPERLINK("https%3A%2F%2Fwww.webofscience.com%2Fwos%2Fwoscc%2Ffull-record%2FWOS:000520580300001","View Full Record in Web of Science")</f>
        <v>View Full Record in Web of Science</v>
      </c>
    </row>
    <row r="11" spans="1:72" x14ac:dyDescent="0.2">
      <c r="A11" t="s">
        <v>72</v>
      </c>
      <c r="B11" t="s">
        <v>291</v>
      </c>
      <c r="C11" t="s">
        <v>74</v>
      </c>
      <c r="D11" t="s">
        <v>74</v>
      </c>
      <c r="E11" t="s">
        <v>74</v>
      </c>
      <c r="F11" t="s">
        <v>292</v>
      </c>
      <c r="G11" t="s">
        <v>74</v>
      </c>
      <c r="H11" t="s">
        <v>74</v>
      </c>
      <c r="I11" t="s">
        <v>293</v>
      </c>
      <c r="J11" t="s">
        <v>131</v>
      </c>
      <c r="K11" t="s">
        <v>74</v>
      </c>
      <c r="L11" t="s">
        <v>74</v>
      </c>
      <c r="M11" t="s">
        <v>78</v>
      </c>
      <c r="N11" t="s">
        <v>108</v>
      </c>
      <c r="O11" t="s">
        <v>74</v>
      </c>
      <c r="P11" t="s">
        <v>74</v>
      </c>
      <c r="Q11" t="s">
        <v>74</v>
      </c>
      <c r="R11" t="s">
        <v>74</v>
      </c>
      <c r="S11" t="s">
        <v>74</v>
      </c>
      <c r="T11" t="s">
        <v>294</v>
      </c>
      <c r="U11" t="s">
        <v>295</v>
      </c>
      <c r="V11" t="s">
        <v>296</v>
      </c>
      <c r="W11" t="s">
        <v>297</v>
      </c>
      <c r="X11" t="s">
        <v>298</v>
      </c>
      <c r="Y11" t="s">
        <v>299</v>
      </c>
      <c r="Z11" t="s">
        <v>300</v>
      </c>
      <c r="AA11" t="s">
        <v>74</v>
      </c>
      <c r="AB11" t="s">
        <v>301</v>
      </c>
      <c r="AC11" t="s">
        <v>302</v>
      </c>
      <c r="AD11" t="s">
        <v>302</v>
      </c>
      <c r="AE11" t="s">
        <v>303</v>
      </c>
      <c r="AF11" t="s">
        <v>74</v>
      </c>
      <c r="AG11">
        <v>117</v>
      </c>
      <c r="AH11">
        <v>20</v>
      </c>
      <c r="AI11">
        <v>20</v>
      </c>
      <c r="AJ11">
        <v>7</v>
      </c>
      <c r="AK11">
        <v>69</v>
      </c>
      <c r="AL11" t="s">
        <v>116</v>
      </c>
      <c r="AM11" t="s">
        <v>117</v>
      </c>
      <c r="AN11" t="s">
        <v>118</v>
      </c>
      <c r="AO11" t="s">
        <v>74</v>
      </c>
      <c r="AP11" t="s">
        <v>142</v>
      </c>
      <c r="AQ11" t="s">
        <v>74</v>
      </c>
      <c r="AR11" t="s">
        <v>143</v>
      </c>
      <c r="AS11" t="s">
        <v>144</v>
      </c>
      <c r="AT11" t="s">
        <v>239</v>
      </c>
      <c r="AU11">
        <v>2018</v>
      </c>
      <c r="AV11">
        <v>10</v>
      </c>
      <c r="AW11">
        <v>8</v>
      </c>
      <c r="AX11" t="s">
        <v>74</v>
      </c>
      <c r="AY11" t="s">
        <v>74</v>
      </c>
      <c r="AZ11" t="s">
        <v>74</v>
      </c>
      <c r="BA11" t="s">
        <v>74</v>
      </c>
      <c r="BB11" t="s">
        <v>74</v>
      </c>
      <c r="BC11" t="s">
        <v>74</v>
      </c>
      <c r="BD11">
        <v>2810</v>
      </c>
      <c r="BE11" t="s">
        <v>304</v>
      </c>
      <c r="BF11" t="str">
        <f>HYPERLINK("http://dx.doi.org/10.3390/su10082810","http://dx.doi.org/10.3390/su10082810")</f>
        <v>http://dx.doi.org/10.3390/su10082810</v>
      </c>
      <c r="BG11" t="s">
        <v>74</v>
      </c>
      <c r="BH11" t="s">
        <v>74</v>
      </c>
      <c r="BI11">
        <v>26</v>
      </c>
      <c r="BJ11" t="s">
        <v>146</v>
      </c>
      <c r="BK11" t="s">
        <v>147</v>
      </c>
      <c r="BL11" t="s">
        <v>148</v>
      </c>
      <c r="BM11" t="s">
        <v>305</v>
      </c>
      <c r="BN11" t="s">
        <v>74</v>
      </c>
      <c r="BO11" t="s">
        <v>306</v>
      </c>
      <c r="BP11" t="s">
        <v>74</v>
      </c>
      <c r="BQ11" t="s">
        <v>74</v>
      </c>
      <c r="BR11" t="s">
        <v>102</v>
      </c>
      <c r="BS11" t="s">
        <v>307</v>
      </c>
      <c r="BT11" t="str">
        <f>HYPERLINK("https%3A%2F%2Fwww.webofscience.com%2Fwos%2Fwoscc%2Ffull-record%2FWOS:000446767700226","View Full Record in Web of Science")</f>
        <v>View Full Record in Web of Science</v>
      </c>
    </row>
    <row r="12" spans="1:72" x14ac:dyDescent="0.2">
      <c r="A12" t="s">
        <v>72</v>
      </c>
      <c r="B12" t="s">
        <v>308</v>
      </c>
      <c r="C12" t="s">
        <v>74</v>
      </c>
      <c r="D12" t="s">
        <v>74</v>
      </c>
      <c r="E12" t="s">
        <v>74</v>
      </c>
      <c r="F12" t="s">
        <v>309</v>
      </c>
      <c r="G12" t="s">
        <v>74</v>
      </c>
      <c r="H12" t="s">
        <v>74</v>
      </c>
      <c r="I12" t="s">
        <v>310</v>
      </c>
      <c r="J12" t="s">
        <v>311</v>
      </c>
      <c r="K12" t="s">
        <v>74</v>
      </c>
      <c r="L12" t="s">
        <v>74</v>
      </c>
      <c r="M12" t="s">
        <v>78</v>
      </c>
      <c r="N12" t="s">
        <v>79</v>
      </c>
      <c r="O12" t="s">
        <v>74</v>
      </c>
      <c r="P12" t="s">
        <v>74</v>
      </c>
      <c r="Q12" t="s">
        <v>74</v>
      </c>
      <c r="R12" t="s">
        <v>74</v>
      </c>
      <c r="S12" t="s">
        <v>74</v>
      </c>
      <c r="T12" t="s">
        <v>312</v>
      </c>
      <c r="U12" t="s">
        <v>313</v>
      </c>
      <c r="V12" t="s">
        <v>314</v>
      </c>
      <c r="W12" t="s">
        <v>315</v>
      </c>
      <c r="X12" t="s">
        <v>316</v>
      </c>
      <c r="Y12" t="s">
        <v>317</v>
      </c>
      <c r="Z12" t="s">
        <v>318</v>
      </c>
      <c r="AA12" t="s">
        <v>319</v>
      </c>
      <c r="AB12" t="s">
        <v>320</v>
      </c>
      <c r="AC12" t="s">
        <v>74</v>
      </c>
      <c r="AD12" t="s">
        <v>74</v>
      </c>
      <c r="AE12" t="s">
        <v>74</v>
      </c>
      <c r="AF12" t="s">
        <v>74</v>
      </c>
      <c r="AG12">
        <v>112</v>
      </c>
      <c r="AH12">
        <v>19</v>
      </c>
      <c r="AI12">
        <v>18</v>
      </c>
      <c r="AJ12">
        <v>18</v>
      </c>
      <c r="AK12">
        <v>82</v>
      </c>
      <c r="AL12" t="s">
        <v>321</v>
      </c>
      <c r="AM12" t="s">
        <v>322</v>
      </c>
      <c r="AN12" t="s">
        <v>323</v>
      </c>
      <c r="AO12" t="s">
        <v>324</v>
      </c>
      <c r="AP12" t="s">
        <v>325</v>
      </c>
      <c r="AQ12" t="s">
        <v>74</v>
      </c>
      <c r="AR12" t="s">
        <v>326</v>
      </c>
      <c r="AS12" t="s">
        <v>327</v>
      </c>
      <c r="AT12" t="s">
        <v>239</v>
      </c>
      <c r="AU12">
        <v>2022</v>
      </c>
      <c r="AV12">
        <v>315</v>
      </c>
      <c r="AW12">
        <v>1</v>
      </c>
      <c r="AX12" t="s">
        <v>74</v>
      </c>
      <c r="AY12" t="s">
        <v>74</v>
      </c>
      <c r="AZ12" t="s">
        <v>74</v>
      </c>
      <c r="BA12" t="s">
        <v>74</v>
      </c>
      <c r="BB12">
        <v>29</v>
      </c>
      <c r="BC12">
        <v>55</v>
      </c>
      <c r="BD12" t="s">
        <v>74</v>
      </c>
      <c r="BE12" t="s">
        <v>328</v>
      </c>
      <c r="BF12" t="str">
        <f>HYPERLINK("http://dx.doi.org/10.1007/s10479-022-04596-5","http://dx.doi.org/10.1007/s10479-022-04596-5")</f>
        <v>http://dx.doi.org/10.1007/s10479-022-04596-5</v>
      </c>
      <c r="BG12" t="s">
        <v>74</v>
      </c>
      <c r="BH12" t="s">
        <v>329</v>
      </c>
      <c r="BI12">
        <v>27</v>
      </c>
      <c r="BJ12" t="s">
        <v>330</v>
      </c>
      <c r="BK12" t="s">
        <v>98</v>
      </c>
      <c r="BL12" t="s">
        <v>330</v>
      </c>
      <c r="BM12" t="s">
        <v>331</v>
      </c>
      <c r="BN12">
        <v>35382453</v>
      </c>
      <c r="BO12" t="s">
        <v>332</v>
      </c>
      <c r="BP12" t="s">
        <v>74</v>
      </c>
      <c r="BQ12" t="s">
        <v>74</v>
      </c>
      <c r="BR12" t="s">
        <v>102</v>
      </c>
      <c r="BS12" t="s">
        <v>333</v>
      </c>
      <c r="BT12" t="str">
        <f>HYPERLINK("https%3A%2F%2Fwww.webofscience.com%2Fwos%2Fwoscc%2Ffull-record%2FWOS:000777247700001","View Full Record in Web of Science")</f>
        <v>View Full Record in Web of Science</v>
      </c>
    </row>
    <row r="13" spans="1:72" x14ac:dyDescent="0.2">
      <c r="A13" t="s">
        <v>72</v>
      </c>
      <c r="B13" t="s">
        <v>334</v>
      </c>
      <c r="C13" t="s">
        <v>74</v>
      </c>
      <c r="D13" t="s">
        <v>74</v>
      </c>
      <c r="E13" t="s">
        <v>74</v>
      </c>
      <c r="F13" t="s">
        <v>335</v>
      </c>
      <c r="G13" t="s">
        <v>74</v>
      </c>
      <c r="H13" t="s">
        <v>74</v>
      </c>
      <c r="I13" t="s">
        <v>336</v>
      </c>
      <c r="J13" t="s">
        <v>337</v>
      </c>
      <c r="K13" t="s">
        <v>74</v>
      </c>
      <c r="L13" t="s">
        <v>74</v>
      </c>
      <c r="M13" t="s">
        <v>78</v>
      </c>
      <c r="N13" t="s">
        <v>108</v>
      </c>
      <c r="O13" t="s">
        <v>74</v>
      </c>
      <c r="P13" t="s">
        <v>74</v>
      </c>
      <c r="Q13" t="s">
        <v>74</v>
      </c>
      <c r="R13" t="s">
        <v>74</v>
      </c>
      <c r="S13" t="s">
        <v>74</v>
      </c>
      <c r="T13" t="s">
        <v>338</v>
      </c>
      <c r="U13" t="s">
        <v>339</v>
      </c>
      <c r="V13" t="s">
        <v>340</v>
      </c>
      <c r="W13" t="s">
        <v>341</v>
      </c>
      <c r="X13" t="s">
        <v>342</v>
      </c>
      <c r="Y13" t="s">
        <v>343</v>
      </c>
      <c r="Z13" t="s">
        <v>344</v>
      </c>
      <c r="AA13" t="s">
        <v>345</v>
      </c>
      <c r="AB13" t="s">
        <v>346</v>
      </c>
      <c r="AC13" t="s">
        <v>74</v>
      </c>
      <c r="AD13" t="s">
        <v>74</v>
      </c>
      <c r="AE13" t="s">
        <v>74</v>
      </c>
      <c r="AF13" t="s">
        <v>74</v>
      </c>
      <c r="AG13">
        <v>155</v>
      </c>
      <c r="AH13">
        <v>2</v>
      </c>
      <c r="AI13">
        <v>2</v>
      </c>
      <c r="AJ13">
        <v>51</v>
      </c>
      <c r="AK13">
        <v>51</v>
      </c>
      <c r="AL13" t="s">
        <v>347</v>
      </c>
      <c r="AM13" t="s">
        <v>348</v>
      </c>
      <c r="AN13" t="s">
        <v>349</v>
      </c>
      <c r="AO13" t="s">
        <v>350</v>
      </c>
      <c r="AP13" t="s">
        <v>351</v>
      </c>
      <c r="AQ13" t="s">
        <v>74</v>
      </c>
      <c r="AR13" t="s">
        <v>352</v>
      </c>
      <c r="AS13" t="s">
        <v>353</v>
      </c>
      <c r="AT13" t="s">
        <v>121</v>
      </c>
      <c r="AU13">
        <v>2023</v>
      </c>
      <c r="AV13">
        <v>192</v>
      </c>
      <c r="AW13" t="s">
        <v>74</v>
      </c>
      <c r="AX13" t="s">
        <v>74</v>
      </c>
      <c r="AY13" t="s">
        <v>74</v>
      </c>
      <c r="AZ13" t="s">
        <v>74</v>
      </c>
      <c r="BA13" t="s">
        <v>74</v>
      </c>
      <c r="BB13" t="s">
        <v>74</v>
      </c>
      <c r="BC13" t="s">
        <v>74</v>
      </c>
      <c r="BD13">
        <v>122579</v>
      </c>
      <c r="BE13" t="s">
        <v>354</v>
      </c>
      <c r="BF13" t="str">
        <f>HYPERLINK("http://dx.doi.org/10.1016/j.techfore.2023.122579","http://dx.doi.org/10.1016/j.techfore.2023.122579")</f>
        <v>http://dx.doi.org/10.1016/j.techfore.2023.122579</v>
      </c>
      <c r="BG13" t="s">
        <v>74</v>
      </c>
      <c r="BH13" t="s">
        <v>355</v>
      </c>
      <c r="BI13">
        <v>17</v>
      </c>
      <c r="BJ13" t="s">
        <v>356</v>
      </c>
      <c r="BK13" t="s">
        <v>242</v>
      </c>
      <c r="BL13" t="s">
        <v>357</v>
      </c>
      <c r="BM13" t="s">
        <v>358</v>
      </c>
      <c r="BN13" t="s">
        <v>74</v>
      </c>
      <c r="BO13" t="s">
        <v>359</v>
      </c>
      <c r="BP13" t="s">
        <v>74</v>
      </c>
      <c r="BQ13" t="s">
        <v>74</v>
      </c>
      <c r="BR13" t="s">
        <v>102</v>
      </c>
      <c r="BS13" t="s">
        <v>360</v>
      </c>
      <c r="BT13" t="str">
        <f>HYPERLINK("https%3A%2F%2Fwww.webofscience.com%2Fwos%2Fwoscc%2Ffull-record%2FWOS:000986864800001","View Full Record in Web of Science")</f>
        <v>View Full Record in Web of Science</v>
      </c>
    </row>
    <row r="14" spans="1:72" x14ac:dyDescent="0.2">
      <c r="A14" t="s">
        <v>72</v>
      </c>
      <c r="B14" t="s">
        <v>361</v>
      </c>
      <c r="C14" t="s">
        <v>74</v>
      </c>
      <c r="D14" t="s">
        <v>74</v>
      </c>
      <c r="E14" t="s">
        <v>74</v>
      </c>
      <c r="F14" t="s">
        <v>362</v>
      </c>
      <c r="G14" t="s">
        <v>74</v>
      </c>
      <c r="H14" t="s">
        <v>74</v>
      </c>
      <c r="I14" t="s">
        <v>363</v>
      </c>
      <c r="J14" t="s">
        <v>337</v>
      </c>
      <c r="K14" t="s">
        <v>74</v>
      </c>
      <c r="L14" t="s">
        <v>74</v>
      </c>
      <c r="M14" t="s">
        <v>78</v>
      </c>
      <c r="N14" t="s">
        <v>108</v>
      </c>
      <c r="O14" t="s">
        <v>74</v>
      </c>
      <c r="P14" t="s">
        <v>74</v>
      </c>
      <c r="Q14" t="s">
        <v>74</v>
      </c>
      <c r="R14" t="s">
        <v>74</v>
      </c>
      <c r="S14" t="s">
        <v>74</v>
      </c>
      <c r="T14" t="s">
        <v>364</v>
      </c>
      <c r="U14" t="s">
        <v>365</v>
      </c>
      <c r="V14" t="s">
        <v>366</v>
      </c>
      <c r="W14" t="s">
        <v>367</v>
      </c>
      <c r="X14" t="s">
        <v>368</v>
      </c>
      <c r="Y14" t="s">
        <v>369</v>
      </c>
      <c r="Z14" t="s">
        <v>370</v>
      </c>
      <c r="AA14" t="s">
        <v>74</v>
      </c>
      <c r="AB14" t="s">
        <v>371</v>
      </c>
      <c r="AC14" t="s">
        <v>74</v>
      </c>
      <c r="AD14" t="s">
        <v>74</v>
      </c>
      <c r="AE14" t="s">
        <v>74</v>
      </c>
      <c r="AF14" t="s">
        <v>74</v>
      </c>
      <c r="AG14">
        <v>76</v>
      </c>
      <c r="AH14">
        <v>13</v>
      </c>
      <c r="AI14">
        <v>13</v>
      </c>
      <c r="AJ14">
        <v>6</v>
      </c>
      <c r="AK14">
        <v>36</v>
      </c>
      <c r="AL14" t="s">
        <v>347</v>
      </c>
      <c r="AM14" t="s">
        <v>348</v>
      </c>
      <c r="AN14" t="s">
        <v>349</v>
      </c>
      <c r="AO14" t="s">
        <v>350</v>
      </c>
      <c r="AP14" t="s">
        <v>351</v>
      </c>
      <c r="AQ14" t="s">
        <v>74</v>
      </c>
      <c r="AR14" t="s">
        <v>352</v>
      </c>
      <c r="AS14" t="s">
        <v>353</v>
      </c>
      <c r="AT14" t="s">
        <v>372</v>
      </c>
      <c r="AU14">
        <v>2022</v>
      </c>
      <c r="AV14">
        <v>174</v>
      </c>
      <c r="AW14" t="s">
        <v>74</v>
      </c>
      <c r="AX14" t="s">
        <v>74</v>
      </c>
      <c r="AY14" t="s">
        <v>74</v>
      </c>
      <c r="AZ14" t="s">
        <v>74</v>
      </c>
      <c r="BA14" t="s">
        <v>74</v>
      </c>
      <c r="BB14" t="s">
        <v>74</v>
      </c>
      <c r="BC14" t="s">
        <v>74</v>
      </c>
      <c r="BD14">
        <v>121122</v>
      </c>
      <c r="BE14" t="s">
        <v>373</v>
      </c>
      <c r="BF14" t="str">
        <f>HYPERLINK("http://dx.doi.org/10.1016/j.techfore.2021.121122","http://dx.doi.org/10.1016/j.techfore.2021.121122")</f>
        <v>http://dx.doi.org/10.1016/j.techfore.2021.121122</v>
      </c>
      <c r="BG14" t="s">
        <v>74</v>
      </c>
      <c r="BH14" t="s">
        <v>267</v>
      </c>
      <c r="BI14">
        <v>19</v>
      </c>
      <c r="BJ14" t="s">
        <v>356</v>
      </c>
      <c r="BK14" t="s">
        <v>242</v>
      </c>
      <c r="BL14" t="s">
        <v>357</v>
      </c>
      <c r="BM14" t="s">
        <v>374</v>
      </c>
      <c r="BN14" t="s">
        <v>74</v>
      </c>
      <c r="BO14" t="s">
        <v>375</v>
      </c>
      <c r="BP14" t="s">
        <v>74</v>
      </c>
      <c r="BQ14" t="s">
        <v>74</v>
      </c>
      <c r="BR14" t="s">
        <v>102</v>
      </c>
      <c r="BS14" t="s">
        <v>376</v>
      </c>
      <c r="BT14" t="str">
        <f>HYPERLINK("https%3A%2F%2Fwww.webofscience.com%2Fwos%2Fwoscc%2Ffull-record%2FWOS:000711381400018","View Full Record in Web of Science")</f>
        <v>View Full Record in Web of Science</v>
      </c>
    </row>
    <row r="15" spans="1:72" x14ac:dyDescent="0.2">
      <c r="A15" t="s">
        <v>72</v>
      </c>
      <c r="B15" t="s">
        <v>377</v>
      </c>
      <c r="C15" t="s">
        <v>74</v>
      </c>
      <c r="D15" t="s">
        <v>74</v>
      </c>
      <c r="E15" t="s">
        <v>74</v>
      </c>
      <c r="F15" t="s">
        <v>378</v>
      </c>
      <c r="G15" t="s">
        <v>74</v>
      </c>
      <c r="H15" t="s">
        <v>74</v>
      </c>
      <c r="I15" t="s">
        <v>379</v>
      </c>
      <c r="J15" t="s">
        <v>380</v>
      </c>
      <c r="K15" t="s">
        <v>74</v>
      </c>
      <c r="L15" t="s">
        <v>74</v>
      </c>
      <c r="M15" t="s">
        <v>78</v>
      </c>
      <c r="N15" t="s">
        <v>108</v>
      </c>
      <c r="O15" t="s">
        <v>74</v>
      </c>
      <c r="P15" t="s">
        <v>74</v>
      </c>
      <c r="Q15" t="s">
        <v>74</v>
      </c>
      <c r="R15" t="s">
        <v>74</v>
      </c>
      <c r="S15" t="s">
        <v>74</v>
      </c>
      <c r="T15" t="s">
        <v>381</v>
      </c>
      <c r="U15" t="s">
        <v>382</v>
      </c>
      <c r="V15" t="s">
        <v>383</v>
      </c>
      <c r="W15" t="s">
        <v>384</v>
      </c>
      <c r="X15" t="s">
        <v>385</v>
      </c>
      <c r="Y15" t="s">
        <v>386</v>
      </c>
      <c r="Z15" t="s">
        <v>387</v>
      </c>
      <c r="AA15" t="s">
        <v>74</v>
      </c>
      <c r="AB15" t="s">
        <v>74</v>
      </c>
      <c r="AC15" t="s">
        <v>74</v>
      </c>
      <c r="AD15" t="s">
        <v>74</v>
      </c>
      <c r="AE15" t="s">
        <v>74</v>
      </c>
      <c r="AF15" t="s">
        <v>74</v>
      </c>
      <c r="AG15">
        <v>82</v>
      </c>
      <c r="AH15">
        <v>0</v>
      </c>
      <c r="AI15">
        <v>0</v>
      </c>
      <c r="AJ15">
        <v>1</v>
      </c>
      <c r="AK15">
        <v>1</v>
      </c>
      <c r="AL15" t="s">
        <v>388</v>
      </c>
      <c r="AM15" t="s">
        <v>389</v>
      </c>
      <c r="AN15" t="s">
        <v>390</v>
      </c>
      <c r="AO15" t="s">
        <v>391</v>
      </c>
      <c r="AP15" t="s">
        <v>392</v>
      </c>
      <c r="AQ15" t="s">
        <v>74</v>
      </c>
      <c r="AR15" t="s">
        <v>380</v>
      </c>
      <c r="AS15" t="s">
        <v>393</v>
      </c>
      <c r="AT15" t="s">
        <v>394</v>
      </c>
      <c r="AU15">
        <v>2023</v>
      </c>
      <c r="AV15">
        <v>60</v>
      </c>
      <c r="AW15">
        <v>3</v>
      </c>
      <c r="AX15" t="s">
        <v>74</v>
      </c>
      <c r="AY15" t="s">
        <v>74</v>
      </c>
      <c r="AZ15" t="s">
        <v>74</v>
      </c>
      <c r="BA15" t="s">
        <v>74</v>
      </c>
      <c r="BB15">
        <v>1525</v>
      </c>
      <c r="BC15">
        <v>1560</v>
      </c>
      <c r="BD15" t="s">
        <v>74</v>
      </c>
      <c r="BE15" t="s">
        <v>395</v>
      </c>
      <c r="BF15" t="str">
        <f>HYPERLINK("http://dx.doi.org/10.1007/s12597-023-00648-x","http://dx.doi.org/10.1007/s12597-023-00648-x")</f>
        <v>http://dx.doi.org/10.1007/s12597-023-00648-x</v>
      </c>
      <c r="BG15" t="s">
        <v>74</v>
      </c>
      <c r="BH15" t="s">
        <v>396</v>
      </c>
      <c r="BI15">
        <v>36</v>
      </c>
      <c r="BJ15" t="s">
        <v>330</v>
      </c>
      <c r="BK15" t="s">
        <v>124</v>
      </c>
      <c r="BL15" t="s">
        <v>330</v>
      </c>
      <c r="BM15" t="s">
        <v>397</v>
      </c>
      <c r="BN15" t="s">
        <v>74</v>
      </c>
      <c r="BO15" t="s">
        <v>74</v>
      </c>
      <c r="BP15" t="s">
        <v>74</v>
      </c>
      <c r="BQ15" t="s">
        <v>74</v>
      </c>
      <c r="BR15" t="s">
        <v>102</v>
      </c>
      <c r="BS15" t="s">
        <v>398</v>
      </c>
      <c r="BT15" t="str">
        <f>HYPERLINK("https%3A%2F%2Fwww.webofscience.com%2Fwos%2Fwoscc%2Ffull-record%2FWOS:001002859100001","View Full Record in Web of Science")</f>
        <v>View Full Record in Web of Science</v>
      </c>
    </row>
    <row r="16" spans="1:72" x14ac:dyDescent="0.2">
      <c r="A16" t="s">
        <v>72</v>
      </c>
      <c r="B16" t="s">
        <v>399</v>
      </c>
      <c r="C16" t="s">
        <v>74</v>
      </c>
      <c r="D16" t="s">
        <v>74</v>
      </c>
      <c r="E16" t="s">
        <v>74</v>
      </c>
      <c r="F16" t="s">
        <v>400</v>
      </c>
      <c r="G16" t="s">
        <v>74</v>
      </c>
      <c r="H16" t="s">
        <v>74</v>
      </c>
      <c r="I16" t="s">
        <v>401</v>
      </c>
      <c r="J16" t="s">
        <v>402</v>
      </c>
      <c r="K16" t="s">
        <v>74</v>
      </c>
      <c r="L16" t="s">
        <v>74</v>
      </c>
      <c r="M16" t="s">
        <v>78</v>
      </c>
      <c r="N16" t="s">
        <v>108</v>
      </c>
      <c r="O16" t="s">
        <v>74</v>
      </c>
      <c r="P16" t="s">
        <v>74</v>
      </c>
      <c r="Q16" t="s">
        <v>74</v>
      </c>
      <c r="R16" t="s">
        <v>74</v>
      </c>
      <c r="S16" t="s">
        <v>74</v>
      </c>
      <c r="T16" t="s">
        <v>403</v>
      </c>
      <c r="U16" t="s">
        <v>404</v>
      </c>
      <c r="V16" t="s">
        <v>405</v>
      </c>
      <c r="W16" t="s">
        <v>406</v>
      </c>
      <c r="X16" t="s">
        <v>407</v>
      </c>
      <c r="Y16" t="s">
        <v>114</v>
      </c>
      <c r="Z16" t="s">
        <v>408</v>
      </c>
      <c r="AA16" t="s">
        <v>74</v>
      </c>
      <c r="AB16" t="s">
        <v>74</v>
      </c>
      <c r="AC16" t="s">
        <v>74</v>
      </c>
      <c r="AD16" t="s">
        <v>74</v>
      </c>
      <c r="AE16" t="s">
        <v>74</v>
      </c>
      <c r="AF16" t="s">
        <v>74</v>
      </c>
      <c r="AG16">
        <v>61</v>
      </c>
      <c r="AH16">
        <v>9</v>
      </c>
      <c r="AI16">
        <v>9</v>
      </c>
      <c r="AJ16">
        <v>3</v>
      </c>
      <c r="AK16">
        <v>26</v>
      </c>
      <c r="AL16" t="s">
        <v>409</v>
      </c>
      <c r="AM16" t="s">
        <v>410</v>
      </c>
      <c r="AN16" t="s">
        <v>411</v>
      </c>
      <c r="AO16" t="s">
        <v>412</v>
      </c>
      <c r="AP16" t="s">
        <v>413</v>
      </c>
      <c r="AQ16" t="s">
        <v>74</v>
      </c>
      <c r="AR16" t="s">
        <v>414</v>
      </c>
      <c r="AS16" t="s">
        <v>415</v>
      </c>
      <c r="AT16" t="s">
        <v>416</v>
      </c>
      <c r="AU16">
        <v>2021</v>
      </c>
      <c r="AV16">
        <v>52</v>
      </c>
      <c r="AW16">
        <v>3</v>
      </c>
      <c r="AX16" t="s">
        <v>74</v>
      </c>
      <c r="AY16" t="s">
        <v>74</v>
      </c>
      <c r="AZ16" t="s">
        <v>74</v>
      </c>
      <c r="BA16" t="s">
        <v>74</v>
      </c>
      <c r="BB16">
        <v>543</v>
      </c>
      <c r="BC16">
        <v>566</v>
      </c>
      <c r="BD16" t="s">
        <v>74</v>
      </c>
      <c r="BE16" t="s">
        <v>417</v>
      </c>
      <c r="BF16" t="str">
        <f>HYPERLINK("http://dx.doi.org/10.1111/deci.12326","http://dx.doi.org/10.1111/deci.12326")</f>
        <v>http://dx.doi.org/10.1111/deci.12326</v>
      </c>
      <c r="BG16" t="s">
        <v>74</v>
      </c>
      <c r="BH16" t="s">
        <v>74</v>
      </c>
      <c r="BI16">
        <v>24</v>
      </c>
      <c r="BJ16" t="s">
        <v>418</v>
      </c>
      <c r="BK16" t="s">
        <v>242</v>
      </c>
      <c r="BL16" t="s">
        <v>419</v>
      </c>
      <c r="BM16" t="s">
        <v>420</v>
      </c>
      <c r="BN16" t="s">
        <v>74</v>
      </c>
      <c r="BO16" t="s">
        <v>74</v>
      </c>
      <c r="BP16" t="s">
        <v>74</v>
      </c>
      <c r="BQ16" t="s">
        <v>74</v>
      </c>
      <c r="BR16" t="s">
        <v>102</v>
      </c>
      <c r="BS16" t="s">
        <v>421</v>
      </c>
      <c r="BT16" t="str">
        <f>HYPERLINK("https%3A%2F%2Fwww.webofscience.com%2Fwos%2Fwoscc%2Ffull-record%2FWOS:000660151500001","View Full Record in Web of Science")</f>
        <v>View Full Record in Web of Science</v>
      </c>
    </row>
    <row r="17" spans="1:72" x14ac:dyDescent="0.2">
      <c r="A17" t="s">
        <v>72</v>
      </c>
      <c r="B17" t="s">
        <v>422</v>
      </c>
      <c r="C17" t="s">
        <v>74</v>
      </c>
      <c r="D17" t="s">
        <v>74</v>
      </c>
      <c r="E17" t="s">
        <v>74</v>
      </c>
      <c r="F17" t="s">
        <v>423</v>
      </c>
      <c r="G17" t="s">
        <v>74</v>
      </c>
      <c r="H17" t="s">
        <v>74</v>
      </c>
      <c r="I17" t="s">
        <v>424</v>
      </c>
      <c r="J17" t="s">
        <v>425</v>
      </c>
      <c r="K17" t="s">
        <v>74</v>
      </c>
      <c r="L17" t="s">
        <v>74</v>
      </c>
      <c r="M17" t="s">
        <v>78</v>
      </c>
      <c r="N17" t="s">
        <v>79</v>
      </c>
      <c r="O17" t="s">
        <v>74</v>
      </c>
      <c r="P17" t="s">
        <v>74</v>
      </c>
      <c r="Q17" t="s">
        <v>74</v>
      </c>
      <c r="R17" t="s">
        <v>74</v>
      </c>
      <c r="S17" t="s">
        <v>74</v>
      </c>
      <c r="T17" t="s">
        <v>426</v>
      </c>
      <c r="U17" t="s">
        <v>427</v>
      </c>
      <c r="V17" t="s">
        <v>428</v>
      </c>
      <c r="W17" t="s">
        <v>429</v>
      </c>
      <c r="X17" t="s">
        <v>430</v>
      </c>
      <c r="Y17" t="s">
        <v>431</v>
      </c>
      <c r="Z17" t="s">
        <v>432</v>
      </c>
      <c r="AA17" t="s">
        <v>433</v>
      </c>
      <c r="AB17" t="s">
        <v>74</v>
      </c>
      <c r="AC17" t="s">
        <v>434</v>
      </c>
      <c r="AD17" t="s">
        <v>435</v>
      </c>
      <c r="AE17" t="s">
        <v>436</v>
      </c>
      <c r="AF17" t="s">
        <v>74</v>
      </c>
      <c r="AG17">
        <v>79</v>
      </c>
      <c r="AH17">
        <v>30</v>
      </c>
      <c r="AI17">
        <v>30</v>
      </c>
      <c r="AJ17">
        <v>5</v>
      </c>
      <c r="AK17">
        <v>67</v>
      </c>
      <c r="AL17" t="s">
        <v>437</v>
      </c>
      <c r="AM17" t="s">
        <v>438</v>
      </c>
      <c r="AN17" t="s">
        <v>439</v>
      </c>
      <c r="AO17" t="s">
        <v>440</v>
      </c>
      <c r="AP17" t="s">
        <v>441</v>
      </c>
      <c r="AQ17" t="s">
        <v>74</v>
      </c>
      <c r="AR17" t="s">
        <v>442</v>
      </c>
      <c r="AS17" t="s">
        <v>443</v>
      </c>
      <c r="AT17" t="s">
        <v>444</v>
      </c>
      <c r="AU17">
        <v>2019</v>
      </c>
      <c r="AV17">
        <v>19</v>
      </c>
      <c r="AW17">
        <v>3</v>
      </c>
      <c r="AX17" t="s">
        <v>74</v>
      </c>
      <c r="AY17" t="s">
        <v>74</v>
      </c>
      <c r="AZ17" t="s">
        <v>74</v>
      </c>
      <c r="BA17" t="s">
        <v>74</v>
      </c>
      <c r="BB17">
        <v>343</v>
      </c>
      <c r="BC17">
        <v>366</v>
      </c>
      <c r="BD17" t="s">
        <v>74</v>
      </c>
      <c r="BE17" t="s">
        <v>445</v>
      </c>
      <c r="BF17" t="str">
        <f>HYPERLINK("http://dx.doi.org/10.1108/CI-03-2018-0013","http://dx.doi.org/10.1108/CI-03-2018-0013")</f>
        <v>http://dx.doi.org/10.1108/CI-03-2018-0013</v>
      </c>
      <c r="BG17" t="s">
        <v>74</v>
      </c>
      <c r="BH17" t="s">
        <v>74</v>
      </c>
      <c r="BI17">
        <v>24</v>
      </c>
      <c r="BJ17" t="s">
        <v>446</v>
      </c>
      <c r="BK17" t="s">
        <v>124</v>
      </c>
      <c r="BL17" t="s">
        <v>446</v>
      </c>
      <c r="BM17" t="s">
        <v>447</v>
      </c>
      <c r="BN17" t="s">
        <v>74</v>
      </c>
      <c r="BO17" t="s">
        <v>74</v>
      </c>
      <c r="BP17" t="s">
        <v>74</v>
      </c>
      <c r="BQ17" t="s">
        <v>74</v>
      </c>
      <c r="BR17" t="s">
        <v>102</v>
      </c>
      <c r="BS17" t="s">
        <v>448</v>
      </c>
      <c r="BT17" t="str">
        <f>HYPERLINK("https%3A%2F%2Fwww.webofscience.com%2Fwos%2Fwoscc%2Ffull-record%2FWOS:000479238300003","View Full Record in Web of Science")</f>
        <v>View Full Record in Web of Science</v>
      </c>
    </row>
    <row r="18" spans="1:72" x14ac:dyDescent="0.2">
      <c r="A18" t="s">
        <v>72</v>
      </c>
      <c r="B18" t="s">
        <v>449</v>
      </c>
      <c r="C18" t="s">
        <v>74</v>
      </c>
      <c r="D18" t="s">
        <v>74</v>
      </c>
      <c r="E18" t="s">
        <v>74</v>
      </c>
      <c r="F18" t="s">
        <v>450</v>
      </c>
      <c r="G18" t="s">
        <v>74</v>
      </c>
      <c r="H18" t="s">
        <v>74</v>
      </c>
      <c r="I18" t="s">
        <v>451</v>
      </c>
      <c r="J18" t="s">
        <v>452</v>
      </c>
      <c r="K18" t="s">
        <v>74</v>
      </c>
      <c r="L18" t="s">
        <v>74</v>
      </c>
      <c r="M18" t="s">
        <v>78</v>
      </c>
      <c r="N18" t="s">
        <v>108</v>
      </c>
      <c r="O18" t="s">
        <v>74</v>
      </c>
      <c r="P18" t="s">
        <v>74</v>
      </c>
      <c r="Q18" t="s">
        <v>74</v>
      </c>
      <c r="R18" t="s">
        <v>74</v>
      </c>
      <c r="S18" t="s">
        <v>74</v>
      </c>
      <c r="T18" t="s">
        <v>453</v>
      </c>
      <c r="U18" t="s">
        <v>454</v>
      </c>
      <c r="V18" t="s">
        <v>455</v>
      </c>
      <c r="W18" t="s">
        <v>456</v>
      </c>
      <c r="X18" t="s">
        <v>457</v>
      </c>
      <c r="Y18" t="s">
        <v>458</v>
      </c>
      <c r="Z18" t="s">
        <v>459</v>
      </c>
      <c r="AA18" t="s">
        <v>460</v>
      </c>
      <c r="AB18" t="s">
        <v>461</v>
      </c>
      <c r="AC18" t="s">
        <v>74</v>
      </c>
      <c r="AD18" t="s">
        <v>74</v>
      </c>
      <c r="AE18" t="s">
        <v>74</v>
      </c>
      <c r="AF18" t="s">
        <v>74</v>
      </c>
      <c r="AG18">
        <v>44</v>
      </c>
      <c r="AH18">
        <v>2</v>
      </c>
      <c r="AI18">
        <v>2</v>
      </c>
      <c r="AJ18">
        <v>3</v>
      </c>
      <c r="AK18">
        <v>32</v>
      </c>
      <c r="AL18" t="s">
        <v>462</v>
      </c>
      <c r="AM18" t="s">
        <v>280</v>
      </c>
      <c r="AN18" t="s">
        <v>463</v>
      </c>
      <c r="AO18" t="s">
        <v>464</v>
      </c>
      <c r="AP18" t="s">
        <v>465</v>
      </c>
      <c r="AQ18" t="s">
        <v>74</v>
      </c>
      <c r="AR18" t="s">
        <v>466</v>
      </c>
      <c r="AS18" t="s">
        <v>467</v>
      </c>
      <c r="AT18" t="s">
        <v>468</v>
      </c>
      <c r="AU18">
        <v>2022</v>
      </c>
      <c r="AV18">
        <v>26</v>
      </c>
      <c r="AW18">
        <v>4</v>
      </c>
      <c r="AX18" t="s">
        <v>74</v>
      </c>
      <c r="AY18" t="s">
        <v>74</v>
      </c>
      <c r="AZ18" t="s">
        <v>74</v>
      </c>
      <c r="BA18" t="s">
        <v>74</v>
      </c>
      <c r="BB18">
        <v>710</v>
      </c>
      <c r="BC18">
        <v>738</v>
      </c>
      <c r="BD18">
        <v>2044891</v>
      </c>
      <c r="BE18" t="s">
        <v>469</v>
      </c>
      <c r="BF18" t="str">
        <f>HYPERLINK("http://dx.doi.org/10.1080/12265934.2022.2044891","http://dx.doi.org/10.1080/12265934.2022.2044891")</f>
        <v>http://dx.doi.org/10.1080/12265934.2022.2044891</v>
      </c>
      <c r="BG18" t="s">
        <v>74</v>
      </c>
      <c r="BH18" t="s">
        <v>470</v>
      </c>
      <c r="BI18">
        <v>29</v>
      </c>
      <c r="BJ18" t="s">
        <v>471</v>
      </c>
      <c r="BK18" t="s">
        <v>242</v>
      </c>
      <c r="BL18" t="s">
        <v>472</v>
      </c>
      <c r="BM18" t="s">
        <v>473</v>
      </c>
      <c r="BN18" t="s">
        <v>74</v>
      </c>
      <c r="BO18" t="s">
        <v>74</v>
      </c>
      <c r="BP18" t="s">
        <v>74</v>
      </c>
      <c r="BQ18" t="s">
        <v>74</v>
      </c>
      <c r="BR18" t="s">
        <v>102</v>
      </c>
      <c r="BS18" t="s">
        <v>474</v>
      </c>
      <c r="BT18" t="str">
        <f>HYPERLINK("https%3A%2F%2Fwww.webofscience.com%2Fwos%2Fwoscc%2Ffull-record%2FWOS:000760166200001","View Full Record in Web of Science")</f>
        <v>View Full Record in Web of Science</v>
      </c>
    </row>
    <row r="19" spans="1:72" x14ac:dyDescent="0.2">
      <c r="A19" t="s">
        <v>475</v>
      </c>
      <c r="B19" t="s">
        <v>476</v>
      </c>
      <c r="C19" t="s">
        <v>74</v>
      </c>
      <c r="D19" t="s">
        <v>477</v>
      </c>
      <c r="E19" t="s">
        <v>74</v>
      </c>
      <c r="F19" t="s">
        <v>478</v>
      </c>
      <c r="G19" t="s">
        <v>74</v>
      </c>
      <c r="H19" t="s">
        <v>74</v>
      </c>
      <c r="I19" t="s">
        <v>479</v>
      </c>
      <c r="J19" t="s">
        <v>480</v>
      </c>
      <c r="K19" t="s">
        <v>481</v>
      </c>
      <c r="L19" t="s">
        <v>74</v>
      </c>
      <c r="M19" t="s">
        <v>78</v>
      </c>
      <c r="N19" t="s">
        <v>482</v>
      </c>
      <c r="O19" t="s">
        <v>483</v>
      </c>
      <c r="P19" t="s">
        <v>484</v>
      </c>
      <c r="Q19" t="s">
        <v>485</v>
      </c>
      <c r="R19" t="s">
        <v>486</v>
      </c>
      <c r="S19" t="s">
        <v>74</v>
      </c>
      <c r="T19" t="s">
        <v>487</v>
      </c>
      <c r="U19" t="s">
        <v>488</v>
      </c>
      <c r="V19" t="s">
        <v>489</v>
      </c>
      <c r="W19" t="s">
        <v>490</v>
      </c>
      <c r="X19" t="s">
        <v>491</v>
      </c>
      <c r="Y19" t="s">
        <v>492</v>
      </c>
      <c r="Z19" t="s">
        <v>74</v>
      </c>
      <c r="AA19" t="s">
        <v>493</v>
      </c>
      <c r="AB19" t="s">
        <v>494</v>
      </c>
      <c r="AC19" t="s">
        <v>74</v>
      </c>
      <c r="AD19" t="s">
        <v>74</v>
      </c>
      <c r="AE19" t="s">
        <v>74</v>
      </c>
      <c r="AF19" t="s">
        <v>74</v>
      </c>
      <c r="AG19">
        <v>11</v>
      </c>
      <c r="AH19">
        <v>0</v>
      </c>
      <c r="AI19">
        <v>0</v>
      </c>
      <c r="AJ19">
        <v>9</v>
      </c>
      <c r="AK19">
        <v>30</v>
      </c>
      <c r="AL19" t="s">
        <v>495</v>
      </c>
      <c r="AM19" t="s">
        <v>496</v>
      </c>
      <c r="AN19" t="s">
        <v>497</v>
      </c>
      <c r="AO19" t="s">
        <v>498</v>
      </c>
      <c r="AP19" t="s">
        <v>499</v>
      </c>
      <c r="AQ19" t="s">
        <v>500</v>
      </c>
      <c r="AR19" t="s">
        <v>501</v>
      </c>
      <c r="AS19" t="s">
        <v>74</v>
      </c>
      <c r="AT19" t="s">
        <v>74</v>
      </c>
      <c r="AU19">
        <v>2021</v>
      </c>
      <c r="AV19">
        <v>633</v>
      </c>
      <c r="AW19" t="s">
        <v>74</v>
      </c>
      <c r="AX19" t="s">
        <v>74</v>
      </c>
      <c r="AY19" t="s">
        <v>74</v>
      </c>
      <c r="AZ19" t="s">
        <v>74</v>
      </c>
      <c r="BA19" t="s">
        <v>74</v>
      </c>
      <c r="BB19">
        <v>560</v>
      </c>
      <c r="BC19">
        <v>567</v>
      </c>
      <c r="BD19" t="s">
        <v>74</v>
      </c>
      <c r="BE19" t="s">
        <v>502</v>
      </c>
      <c r="BF19" t="str">
        <f>HYPERLINK("http://dx.doi.org/10.1007/978-3-030-85910-7_59","http://dx.doi.org/10.1007/978-3-030-85910-7_59")</f>
        <v>http://dx.doi.org/10.1007/978-3-030-85910-7_59</v>
      </c>
      <c r="BG19" t="s">
        <v>74</v>
      </c>
      <c r="BH19" t="s">
        <v>74</v>
      </c>
      <c r="BI19">
        <v>8</v>
      </c>
      <c r="BJ19" t="s">
        <v>503</v>
      </c>
      <c r="BK19" t="s">
        <v>504</v>
      </c>
      <c r="BL19" t="s">
        <v>505</v>
      </c>
      <c r="BM19" t="s">
        <v>506</v>
      </c>
      <c r="BN19" t="s">
        <v>74</v>
      </c>
      <c r="BO19" t="s">
        <v>74</v>
      </c>
      <c r="BP19" t="s">
        <v>74</v>
      </c>
      <c r="BQ19" t="s">
        <v>74</v>
      </c>
      <c r="BR19" t="s">
        <v>102</v>
      </c>
      <c r="BS19" t="s">
        <v>507</v>
      </c>
      <c r="BT19" t="str">
        <f>HYPERLINK("https%3A%2F%2Fwww.webofscience.com%2Fwos%2Fwoscc%2Ffull-record%2FWOS:000717519900059","View Full Record in Web of Science")</f>
        <v>View Full Record in Web of Science</v>
      </c>
    </row>
    <row r="20" spans="1:72" x14ac:dyDescent="0.2">
      <c r="A20" t="s">
        <v>72</v>
      </c>
      <c r="B20" t="s">
        <v>508</v>
      </c>
      <c r="C20" t="s">
        <v>74</v>
      </c>
      <c r="D20" t="s">
        <v>74</v>
      </c>
      <c r="E20" t="s">
        <v>74</v>
      </c>
      <c r="F20" t="s">
        <v>509</v>
      </c>
      <c r="G20" t="s">
        <v>74</v>
      </c>
      <c r="H20" t="s">
        <v>74</v>
      </c>
      <c r="I20" t="s">
        <v>510</v>
      </c>
      <c r="J20" t="s">
        <v>511</v>
      </c>
      <c r="K20" t="s">
        <v>74</v>
      </c>
      <c r="L20" t="s">
        <v>74</v>
      </c>
      <c r="M20" t="s">
        <v>78</v>
      </c>
      <c r="N20" t="s">
        <v>108</v>
      </c>
      <c r="O20" t="s">
        <v>74</v>
      </c>
      <c r="P20" t="s">
        <v>74</v>
      </c>
      <c r="Q20" t="s">
        <v>74</v>
      </c>
      <c r="R20" t="s">
        <v>74</v>
      </c>
      <c r="S20" t="s">
        <v>74</v>
      </c>
      <c r="T20" t="s">
        <v>512</v>
      </c>
      <c r="U20" t="s">
        <v>513</v>
      </c>
      <c r="V20" t="s">
        <v>514</v>
      </c>
      <c r="W20" t="s">
        <v>515</v>
      </c>
      <c r="X20" t="s">
        <v>516</v>
      </c>
      <c r="Y20" t="s">
        <v>517</v>
      </c>
      <c r="Z20" t="s">
        <v>518</v>
      </c>
      <c r="AA20" t="s">
        <v>519</v>
      </c>
      <c r="AB20" t="s">
        <v>520</v>
      </c>
      <c r="AC20" t="s">
        <v>74</v>
      </c>
      <c r="AD20" t="s">
        <v>74</v>
      </c>
      <c r="AE20" t="s">
        <v>74</v>
      </c>
      <c r="AF20" t="s">
        <v>74</v>
      </c>
      <c r="AG20">
        <v>41</v>
      </c>
      <c r="AH20">
        <v>1</v>
      </c>
      <c r="AI20">
        <v>1</v>
      </c>
      <c r="AJ20">
        <v>3</v>
      </c>
      <c r="AK20">
        <v>23</v>
      </c>
      <c r="AL20" t="s">
        <v>116</v>
      </c>
      <c r="AM20" t="s">
        <v>117</v>
      </c>
      <c r="AN20" t="s">
        <v>118</v>
      </c>
      <c r="AO20" t="s">
        <v>74</v>
      </c>
      <c r="AP20" t="s">
        <v>521</v>
      </c>
      <c r="AQ20" t="s">
        <v>74</v>
      </c>
      <c r="AR20" t="s">
        <v>511</v>
      </c>
      <c r="AS20" t="s">
        <v>522</v>
      </c>
      <c r="AT20" t="s">
        <v>394</v>
      </c>
      <c r="AU20">
        <v>2021</v>
      </c>
      <c r="AV20">
        <v>5</v>
      </c>
      <c r="AW20">
        <v>3</v>
      </c>
      <c r="AX20" t="s">
        <v>74</v>
      </c>
      <c r="AY20" t="s">
        <v>74</v>
      </c>
      <c r="AZ20" t="s">
        <v>74</v>
      </c>
      <c r="BA20" t="s">
        <v>74</v>
      </c>
      <c r="BB20" t="s">
        <v>74</v>
      </c>
      <c r="BC20" t="s">
        <v>74</v>
      </c>
      <c r="BD20">
        <v>56</v>
      </c>
      <c r="BE20" t="s">
        <v>523</v>
      </c>
      <c r="BF20" t="str">
        <f>HYPERLINK("http://dx.doi.org/10.3390/logistics5030056","http://dx.doi.org/10.3390/logistics5030056")</f>
        <v>http://dx.doi.org/10.3390/logistics5030056</v>
      </c>
      <c r="BG20" t="s">
        <v>74</v>
      </c>
      <c r="BH20" t="s">
        <v>74</v>
      </c>
      <c r="BI20">
        <v>15</v>
      </c>
      <c r="BJ20" t="s">
        <v>524</v>
      </c>
      <c r="BK20" t="s">
        <v>124</v>
      </c>
      <c r="BL20" t="s">
        <v>525</v>
      </c>
      <c r="BM20" t="s">
        <v>526</v>
      </c>
      <c r="BN20" t="s">
        <v>74</v>
      </c>
      <c r="BO20" t="s">
        <v>101</v>
      </c>
      <c r="BP20" t="s">
        <v>74</v>
      </c>
      <c r="BQ20" t="s">
        <v>74</v>
      </c>
      <c r="BR20" t="s">
        <v>102</v>
      </c>
      <c r="BS20" t="s">
        <v>527</v>
      </c>
      <c r="BT20" t="str">
        <f>HYPERLINK("https%3A%2F%2Fwww.webofscience.com%2Fwos%2Fwoscc%2Ffull-record%2FWOS:000702840800001","View Full Record in Web of Science")</f>
        <v>View Full Record in Web of Science</v>
      </c>
    </row>
    <row r="21" spans="1:72" x14ac:dyDescent="0.2">
      <c r="A21" t="s">
        <v>72</v>
      </c>
      <c r="B21" t="s">
        <v>528</v>
      </c>
      <c r="C21" t="s">
        <v>74</v>
      </c>
      <c r="D21" t="s">
        <v>74</v>
      </c>
      <c r="E21" t="s">
        <v>74</v>
      </c>
      <c r="F21" t="s">
        <v>529</v>
      </c>
      <c r="G21" t="s">
        <v>74</v>
      </c>
      <c r="H21" t="s">
        <v>74</v>
      </c>
      <c r="I21" t="s">
        <v>530</v>
      </c>
      <c r="J21" t="s">
        <v>531</v>
      </c>
      <c r="K21" t="s">
        <v>74</v>
      </c>
      <c r="L21" t="s">
        <v>74</v>
      </c>
      <c r="M21" t="s">
        <v>78</v>
      </c>
      <c r="N21" t="s">
        <v>108</v>
      </c>
      <c r="O21" t="s">
        <v>74</v>
      </c>
      <c r="P21" t="s">
        <v>74</v>
      </c>
      <c r="Q21" t="s">
        <v>74</v>
      </c>
      <c r="R21" t="s">
        <v>74</v>
      </c>
      <c r="S21" t="s">
        <v>74</v>
      </c>
      <c r="T21" t="s">
        <v>532</v>
      </c>
      <c r="U21" t="s">
        <v>533</v>
      </c>
      <c r="V21" t="s">
        <v>534</v>
      </c>
      <c r="W21" t="s">
        <v>535</v>
      </c>
      <c r="X21" t="s">
        <v>160</v>
      </c>
      <c r="Y21" t="s">
        <v>536</v>
      </c>
      <c r="Z21" t="s">
        <v>537</v>
      </c>
      <c r="AA21" t="s">
        <v>538</v>
      </c>
      <c r="AB21" t="s">
        <v>539</v>
      </c>
      <c r="AC21" t="s">
        <v>540</v>
      </c>
      <c r="AD21" t="s">
        <v>541</v>
      </c>
      <c r="AE21" t="s">
        <v>542</v>
      </c>
      <c r="AF21" t="s">
        <v>74</v>
      </c>
      <c r="AG21">
        <v>61</v>
      </c>
      <c r="AH21">
        <v>30</v>
      </c>
      <c r="AI21">
        <v>30</v>
      </c>
      <c r="AJ21">
        <v>2</v>
      </c>
      <c r="AK21">
        <v>75</v>
      </c>
      <c r="AL21" t="s">
        <v>543</v>
      </c>
      <c r="AM21" t="s">
        <v>260</v>
      </c>
      <c r="AN21" t="s">
        <v>544</v>
      </c>
      <c r="AO21" t="s">
        <v>545</v>
      </c>
      <c r="AP21" t="s">
        <v>546</v>
      </c>
      <c r="AQ21" t="s">
        <v>74</v>
      </c>
      <c r="AR21" t="s">
        <v>547</v>
      </c>
      <c r="AS21" t="s">
        <v>548</v>
      </c>
      <c r="AT21" t="s">
        <v>394</v>
      </c>
      <c r="AU21">
        <v>2019</v>
      </c>
      <c r="AV21">
        <v>135</v>
      </c>
      <c r="AW21" t="s">
        <v>74</v>
      </c>
      <c r="AX21" t="s">
        <v>74</v>
      </c>
      <c r="AY21" t="s">
        <v>74</v>
      </c>
      <c r="AZ21" t="s">
        <v>74</v>
      </c>
      <c r="BA21" t="s">
        <v>74</v>
      </c>
      <c r="BB21">
        <v>333</v>
      </c>
      <c r="BC21">
        <v>347</v>
      </c>
      <c r="BD21" t="s">
        <v>74</v>
      </c>
      <c r="BE21" t="s">
        <v>549</v>
      </c>
      <c r="BF21" t="str">
        <f>HYPERLINK("http://dx.doi.org/10.1016/j.cie.2019.06.010","http://dx.doi.org/10.1016/j.cie.2019.06.010")</f>
        <v>http://dx.doi.org/10.1016/j.cie.2019.06.010</v>
      </c>
      <c r="BG21" t="s">
        <v>74</v>
      </c>
      <c r="BH21" t="s">
        <v>74</v>
      </c>
      <c r="BI21">
        <v>15</v>
      </c>
      <c r="BJ21" t="s">
        <v>550</v>
      </c>
      <c r="BK21" t="s">
        <v>98</v>
      </c>
      <c r="BL21" t="s">
        <v>269</v>
      </c>
      <c r="BM21" t="s">
        <v>551</v>
      </c>
      <c r="BN21" t="s">
        <v>74</v>
      </c>
      <c r="BO21" t="s">
        <v>74</v>
      </c>
      <c r="BP21" t="s">
        <v>74</v>
      </c>
      <c r="BQ21" t="s">
        <v>74</v>
      </c>
      <c r="BR21" t="s">
        <v>102</v>
      </c>
      <c r="BS21" t="s">
        <v>552</v>
      </c>
      <c r="BT21" t="str">
        <f>HYPERLINK("https%3A%2F%2Fwww.webofscience.com%2Fwos%2Fwoscc%2Ffull-record%2FWOS:000482244100026","View Full Record in Web of Science")</f>
        <v>View Full Record in Web of Science</v>
      </c>
    </row>
    <row r="22" spans="1:72" x14ac:dyDescent="0.2">
      <c r="A22" t="s">
        <v>72</v>
      </c>
      <c r="B22" t="s">
        <v>553</v>
      </c>
      <c r="C22" t="s">
        <v>74</v>
      </c>
      <c r="D22" t="s">
        <v>74</v>
      </c>
      <c r="E22" t="s">
        <v>74</v>
      </c>
      <c r="F22" t="s">
        <v>554</v>
      </c>
      <c r="G22" t="s">
        <v>74</v>
      </c>
      <c r="H22" t="s">
        <v>74</v>
      </c>
      <c r="I22" t="s">
        <v>555</v>
      </c>
      <c r="J22" t="s">
        <v>556</v>
      </c>
      <c r="K22" t="s">
        <v>74</v>
      </c>
      <c r="L22" t="s">
        <v>74</v>
      </c>
      <c r="M22" t="s">
        <v>78</v>
      </c>
      <c r="N22" t="s">
        <v>79</v>
      </c>
      <c r="O22" t="s">
        <v>74</v>
      </c>
      <c r="P22" t="s">
        <v>74</v>
      </c>
      <c r="Q22" t="s">
        <v>74</v>
      </c>
      <c r="R22" t="s">
        <v>74</v>
      </c>
      <c r="S22" t="s">
        <v>74</v>
      </c>
      <c r="T22" t="s">
        <v>557</v>
      </c>
      <c r="U22" t="s">
        <v>558</v>
      </c>
      <c r="V22" t="s">
        <v>559</v>
      </c>
      <c r="W22" t="s">
        <v>560</v>
      </c>
      <c r="X22" t="s">
        <v>561</v>
      </c>
      <c r="Y22" t="s">
        <v>562</v>
      </c>
      <c r="Z22" t="s">
        <v>563</v>
      </c>
      <c r="AA22" t="s">
        <v>74</v>
      </c>
      <c r="AB22" t="s">
        <v>74</v>
      </c>
      <c r="AC22" t="s">
        <v>74</v>
      </c>
      <c r="AD22" t="s">
        <v>74</v>
      </c>
      <c r="AE22" t="s">
        <v>74</v>
      </c>
      <c r="AF22" t="s">
        <v>74</v>
      </c>
      <c r="AG22">
        <v>95</v>
      </c>
      <c r="AH22">
        <v>4</v>
      </c>
      <c r="AI22">
        <v>4</v>
      </c>
      <c r="AJ22">
        <v>7</v>
      </c>
      <c r="AK22">
        <v>14</v>
      </c>
      <c r="AL22" t="s">
        <v>437</v>
      </c>
      <c r="AM22" t="s">
        <v>564</v>
      </c>
      <c r="AN22" t="s">
        <v>565</v>
      </c>
      <c r="AO22" t="s">
        <v>566</v>
      </c>
      <c r="AP22" t="s">
        <v>74</v>
      </c>
      <c r="AQ22" t="s">
        <v>74</v>
      </c>
      <c r="AR22" t="s">
        <v>567</v>
      </c>
      <c r="AS22" t="s">
        <v>568</v>
      </c>
      <c r="AT22" t="s">
        <v>569</v>
      </c>
      <c r="AU22">
        <v>2023</v>
      </c>
      <c r="AV22">
        <v>16</v>
      </c>
      <c r="AW22">
        <v>2</v>
      </c>
      <c r="AX22" t="s">
        <v>74</v>
      </c>
      <c r="AY22" t="s">
        <v>74</v>
      </c>
      <c r="AZ22" t="s">
        <v>570</v>
      </c>
      <c r="BA22" t="s">
        <v>74</v>
      </c>
      <c r="BB22">
        <v>492</v>
      </c>
      <c r="BC22">
        <v>519</v>
      </c>
      <c r="BD22" t="s">
        <v>74</v>
      </c>
      <c r="BE22" t="s">
        <v>571</v>
      </c>
      <c r="BF22" t="str">
        <f>HYPERLINK("http://dx.doi.org/10.1108/JGOSS-06-2022-0053","http://dx.doi.org/10.1108/JGOSS-06-2022-0053")</f>
        <v>http://dx.doi.org/10.1108/JGOSS-06-2022-0053</v>
      </c>
      <c r="BG22" t="s">
        <v>74</v>
      </c>
      <c r="BH22" t="s">
        <v>572</v>
      </c>
      <c r="BI22">
        <v>28</v>
      </c>
      <c r="BJ22" t="s">
        <v>418</v>
      </c>
      <c r="BK22" t="s">
        <v>124</v>
      </c>
      <c r="BL22" t="s">
        <v>419</v>
      </c>
      <c r="BM22" t="s">
        <v>573</v>
      </c>
      <c r="BN22" t="s">
        <v>74</v>
      </c>
      <c r="BO22" t="s">
        <v>74</v>
      </c>
      <c r="BP22" t="s">
        <v>74</v>
      </c>
      <c r="BQ22" t="s">
        <v>74</v>
      </c>
      <c r="BR22" t="s">
        <v>102</v>
      </c>
      <c r="BS22" t="s">
        <v>574</v>
      </c>
      <c r="BT22" t="str">
        <f>HYPERLINK("https%3A%2F%2Fwww.webofscience.com%2Fwos%2Fwoscc%2Ffull-record%2FWOS:000846887500001","View Full Record in Web of Science")</f>
        <v>View Full Record in Web of Science</v>
      </c>
    </row>
    <row r="23" spans="1:72" x14ac:dyDescent="0.2">
      <c r="A23" t="s">
        <v>72</v>
      </c>
      <c r="B23" t="s">
        <v>575</v>
      </c>
      <c r="C23" t="s">
        <v>74</v>
      </c>
      <c r="D23" t="s">
        <v>74</v>
      </c>
      <c r="E23" t="s">
        <v>74</v>
      </c>
      <c r="F23" t="s">
        <v>576</v>
      </c>
      <c r="G23" t="s">
        <v>74</v>
      </c>
      <c r="H23" t="s">
        <v>74</v>
      </c>
      <c r="I23" t="s">
        <v>577</v>
      </c>
      <c r="J23" t="s">
        <v>578</v>
      </c>
      <c r="K23" t="s">
        <v>74</v>
      </c>
      <c r="L23" t="s">
        <v>74</v>
      </c>
      <c r="M23" t="s">
        <v>78</v>
      </c>
      <c r="N23" t="s">
        <v>108</v>
      </c>
      <c r="O23" t="s">
        <v>74</v>
      </c>
      <c r="P23" t="s">
        <v>74</v>
      </c>
      <c r="Q23" t="s">
        <v>74</v>
      </c>
      <c r="R23" t="s">
        <v>74</v>
      </c>
      <c r="S23" t="s">
        <v>74</v>
      </c>
      <c r="T23" t="s">
        <v>579</v>
      </c>
      <c r="U23" t="s">
        <v>580</v>
      </c>
      <c r="V23" t="s">
        <v>581</v>
      </c>
      <c r="W23" t="s">
        <v>582</v>
      </c>
      <c r="X23" t="s">
        <v>583</v>
      </c>
      <c r="Y23" t="s">
        <v>584</v>
      </c>
      <c r="Z23" t="s">
        <v>585</v>
      </c>
      <c r="AA23" t="s">
        <v>74</v>
      </c>
      <c r="AB23" t="s">
        <v>74</v>
      </c>
      <c r="AC23" t="s">
        <v>74</v>
      </c>
      <c r="AD23" t="s">
        <v>74</v>
      </c>
      <c r="AE23" t="s">
        <v>74</v>
      </c>
      <c r="AF23" t="s">
        <v>74</v>
      </c>
      <c r="AG23">
        <v>210</v>
      </c>
      <c r="AH23">
        <v>15</v>
      </c>
      <c r="AI23">
        <v>15</v>
      </c>
      <c r="AJ23">
        <v>7</v>
      </c>
      <c r="AK23">
        <v>24</v>
      </c>
      <c r="AL23" t="s">
        <v>209</v>
      </c>
      <c r="AM23" t="s">
        <v>210</v>
      </c>
      <c r="AN23" t="s">
        <v>211</v>
      </c>
      <c r="AO23" t="s">
        <v>586</v>
      </c>
      <c r="AP23" t="s">
        <v>587</v>
      </c>
      <c r="AQ23" t="s">
        <v>74</v>
      </c>
      <c r="AR23" t="s">
        <v>578</v>
      </c>
      <c r="AS23" t="s">
        <v>588</v>
      </c>
      <c r="AT23" t="s">
        <v>216</v>
      </c>
      <c r="AU23">
        <v>2022</v>
      </c>
      <c r="AV23">
        <v>118</v>
      </c>
      <c r="AW23" t="s">
        <v>74</v>
      </c>
      <c r="AX23" t="s">
        <v>74</v>
      </c>
      <c r="AY23" t="s">
        <v>74</v>
      </c>
      <c r="AZ23" t="s">
        <v>74</v>
      </c>
      <c r="BA23" t="s">
        <v>74</v>
      </c>
      <c r="BB23" t="s">
        <v>74</v>
      </c>
      <c r="BC23" t="s">
        <v>74</v>
      </c>
      <c r="BD23">
        <v>102236</v>
      </c>
      <c r="BE23" t="s">
        <v>589</v>
      </c>
      <c r="BF23" t="str">
        <f>HYPERLINK("http://dx.doi.org/10.1016/j.technovation.2021.102236","http://dx.doi.org/10.1016/j.technovation.2021.102236")</f>
        <v>http://dx.doi.org/10.1016/j.technovation.2021.102236</v>
      </c>
      <c r="BG23" t="s">
        <v>74</v>
      </c>
      <c r="BH23" t="s">
        <v>590</v>
      </c>
      <c r="BI23">
        <v>20</v>
      </c>
      <c r="BJ23" t="s">
        <v>591</v>
      </c>
      <c r="BK23" t="s">
        <v>147</v>
      </c>
      <c r="BL23" t="s">
        <v>592</v>
      </c>
      <c r="BM23" t="s">
        <v>593</v>
      </c>
      <c r="BN23" t="s">
        <v>74</v>
      </c>
      <c r="BO23" t="s">
        <v>594</v>
      </c>
      <c r="BP23" t="s">
        <v>74</v>
      </c>
      <c r="BQ23" t="s">
        <v>74</v>
      </c>
      <c r="BR23" t="s">
        <v>102</v>
      </c>
      <c r="BS23" t="s">
        <v>595</v>
      </c>
      <c r="BT23" t="str">
        <f>HYPERLINK("https%3A%2F%2Fwww.webofscience.com%2Fwos%2Fwoscc%2Ffull-record%2FWOS:000878734400010","View Full Record in Web of Science")</f>
        <v>View Full Record in Web of Science</v>
      </c>
    </row>
    <row r="24" spans="1:72" x14ac:dyDescent="0.2">
      <c r="A24" t="s">
        <v>72</v>
      </c>
      <c r="B24" t="s">
        <v>596</v>
      </c>
      <c r="C24" t="s">
        <v>74</v>
      </c>
      <c r="D24" t="s">
        <v>74</v>
      </c>
      <c r="E24" t="s">
        <v>74</v>
      </c>
      <c r="F24" t="s">
        <v>597</v>
      </c>
      <c r="G24" t="s">
        <v>74</v>
      </c>
      <c r="H24" t="s">
        <v>74</v>
      </c>
      <c r="I24" t="s">
        <v>598</v>
      </c>
      <c r="J24" t="s">
        <v>599</v>
      </c>
      <c r="K24" t="s">
        <v>74</v>
      </c>
      <c r="L24" t="s">
        <v>74</v>
      </c>
      <c r="M24" t="s">
        <v>78</v>
      </c>
      <c r="N24" t="s">
        <v>108</v>
      </c>
      <c r="O24" t="s">
        <v>74</v>
      </c>
      <c r="P24" t="s">
        <v>74</v>
      </c>
      <c r="Q24" t="s">
        <v>74</v>
      </c>
      <c r="R24" t="s">
        <v>74</v>
      </c>
      <c r="S24" t="s">
        <v>74</v>
      </c>
      <c r="T24" t="s">
        <v>600</v>
      </c>
      <c r="U24" t="s">
        <v>601</v>
      </c>
      <c r="V24" t="s">
        <v>602</v>
      </c>
      <c r="W24" t="s">
        <v>603</v>
      </c>
      <c r="X24" t="s">
        <v>604</v>
      </c>
      <c r="Y24" t="s">
        <v>605</v>
      </c>
      <c r="Z24" t="s">
        <v>606</v>
      </c>
      <c r="AA24" t="s">
        <v>74</v>
      </c>
      <c r="AB24" t="s">
        <v>607</v>
      </c>
      <c r="AC24" t="s">
        <v>608</v>
      </c>
      <c r="AD24" t="s">
        <v>609</v>
      </c>
      <c r="AE24" t="s">
        <v>610</v>
      </c>
      <c r="AF24" t="s">
        <v>74</v>
      </c>
      <c r="AG24">
        <v>199</v>
      </c>
      <c r="AH24">
        <v>1</v>
      </c>
      <c r="AI24">
        <v>1</v>
      </c>
      <c r="AJ24">
        <v>30</v>
      </c>
      <c r="AK24">
        <v>31</v>
      </c>
      <c r="AL24" t="s">
        <v>611</v>
      </c>
      <c r="AM24" t="s">
        <v>612</v>
      </c>
      <c r="AN24" t="s">
        <v>613</v>
      </c>
      <c r="AO24" t="s">
        <v>74</v>
      </c>
      <c r="AP24" t="s">
        <v>614</v>
      </c>
      <c r="AQ24" t="s">
        <v>74</v>
      </c>
      <c r="AR24" t="s">
        <v>599</v>
      </c>
      <c r="AS24" t="s">
        <v>615</v>
      </c>
      <c r="AT24" t="s">
        <v>616</v>
      </c>
      <c r="AU24">
        <v>2023</v>
      </c>
      <c r="AV24">
        <v>9</v>
      </c>
      <c r="AW24">
        <v>3</v>
      </c>
      <c r="AX24" t="s">
        <v>74</v>
      </c>
      <c r="AY24" t="s">
        <v>74</v>
      </c>
      <c r="AZ24" t="s">
        <v>74</v>
      </c>
      <c r="BA24" t="s">
        <v>74</v>
      </c>
      <c r="BB24" t="s">
        <v>74</v>
      </c>
      <c r="BC24" t="s">
        <v>74</v>
      </c>
      <c r="BD24" t="s">
        <v>617</v>
      </c>
      <c r="BE24" t="s">
        <v>618</v>
      </c>
      <c r="BF24" t="str">
        <f>HYPERLINK("http://dx.doi.org/10.1016/j.heliyon.2023.e14208","http://dx.doi.org/10.1016/j.heliyon.2023.e14208")</f>
        <v>http://dx.doi.org/10.1016/j.heliyon.2023.e14208</v>
      </c>
      <c r="BG24" t="s">
        <v>74</v>
      </c>
      <c r="BH24" t="s">
        <v>619</v>
      </c>
      <c r="BI24">
        <v>18</v>
      </c>
      <c r="BJ24" t="s">
        <v>620</v>
      </c>
      <c r="BK24" t="s">
        <v>98</v>
      </c>
      <c r="BL24" t="s">
        <v>621</v>
      </c>
      <c r="BM24" t="s">
        <v>622</v>
      </c>
      <c r="BN24">
        <v>36950617</v>
      </c>
      <c r="BO24" t="s">
        <v>623</v>
      </c>
      <c r="BP24" t="s">
        <v>74</v>
      </c>
      <c r="BQ24" t="s">
        <v>74</v>
      </c>
      <c r="BR24" t="s">
        <v>102</v>
      </c>
      <c r="BS24" t="s">
        <v>624</v>
      </c>
      <c r="BT24" t="str">
        <f>HYPERLINK("https%3A%2F%2Fwww.webofscience.com%2Fwos%2Fwoscc%2Ffull-record%2FWOS:000975611700001","View Full Record in Web of Science")</f>
        <v>View Full Record in Web of Science</v>
      </c>
    </row>
    <row r="25" spans="1:72" x14ac:dyDescent="0.2">
      <c r="A25" t="s">
        <v>72</v>
      </c>
      <c r="B25" t="s">
        <v>625</v>
      </c>
      <c r="C25" t="s">
        <v>74</v>
      </c>
      <c r="D25" t="s">
        <v>74</v>
      </c>
      <c r="E25" t="s">
        <v>74</v>
      </c>
      <c r="F25" t="s">
        <v>626</v>
      </c>
      <c r="G25" t="s">
        <v>74</v>
      </c>
      <c r="H25" t="s">
        <v>74</v>
      </c>
      <c r="I25" t="s">
        <v>627</v>
      </c>
      <c r="J25" t="s">
        <v>628</v>
      </c>
      <c r="K25" t="s">
        <v>74</v>
      </c>
      <c r="L25" t="s">
        <v>74</v>
      </c>
      <c r="M25" t="s">
        <v>78</v>
      </c>
      <c r="N25" t="s">
        <v>108</v>
      </c>
      <c r="O25" t="s">
        <v>74</v>
      </c>
      <c r="P25" t="s">
        <v>74</v>
      </c>
      <c r="Q25" t="s">
        <v>74</v>
      </c>
      <c r="R25" t="s">
        <v>74</v>
      </c>
      <c r="S25" t="s">
        <v>74</v>
      </c>
      <c r="T25" t="s">
        <v>629</v>
      </c>
      <c r="U25" t="s">
        <v>630</v>
      </c>
      <c r="V25" t="s">
        <v>631</v>
      </c>
      <c r="W25" t="s">
        <v>632</v>
      </c>
      <c r="X25" t="s">
        <v>633</v>
      </c>
      <c r="Y25" t="s">
        <v>634</v>
      </c>
      <c r="Z25" t="s">
        <v>635</v>
      </c>
      <c r="AA25" t="s">
        <v>74</v>
      </c>
      <c r="AB25" t="s">
        <v>74</v>
      </c>
      <c r="AC25" t="s">
        <v>74</v>
      </c>
      <c r="AD25" t="s">
        <v>74</v>
      </c>
      <c r="AE25" t="s">
        <v>74</v>
      </c>
      <c r="AF25" t="s">
        <v>74</v>
      </c>
      <c r="AG25">
        <v>39</v>
      </c>
      <c r="AH25">
        <v>3</v>
      </c>
      <c r="AI25">
        <v>3</v>
      </c>
      <c r="AJ25">
        <v>8</v>
      </c>
      <c r="AK25">
        <v>54</v>
      </c>
      <c r="AL25" t="s">
        <v>636</v>
      </c>
      <c r="AM25" t="s">
        <v>637</v>
      </c>
      <c r="AN25" t="s">
        <v>638</v>
      </c>
      <c r="AO25" t="s">
        <v>639</v>
      </c>
      <c r="AP25" t="s">
        <v>640</v>
      </c>
      <c r="AQ25" t="s">
        <v>74</v>
      </c>
      <c r="AR25" t="s">
        <v>641</v>
      </c>
      <c r="AS25" t="s">
        <v>642</v>
      </c>
      <c r="AT25" t="s">
        <v>121</v>
      </c>
      <c r="AU25">
        <v>2023</v>
      </c>
      <c r="AV25">
        <v>41</v>
      </c>
      <c r="AW25">
        <v>3</v>
      </c>
      <c r="AX25" t="s">
        <v>74</v>
      </c>
      <c r="AY25" t="s">
        <v>74</v>
      </c>
      <c r="AZ25" t="s">
        <v>74</v>
      </c>
      <c r="BA25" t="s">
        <v>74</v>
      </c>
      <c r="BB25">
        <v>175</v>
      </c>
      <c r="BC25">
        <v>190</v>
      </c>
      <c r="BD25" t="s">
        <v>643</v>
      </c>
      <c r="BE25" t="s">
        <v>644</v>
      </c>
      <c r="BF25" t="str">
        <f>HYPERLINK("http://dx.doi.org/10.1177/0887302X21998268","http://dx.doi.org/10.1177/0887302X21998268")</f>
        <v>http://dx.doi.org/10.1177/0887302X21998268</v>
      </c>
      <c r="BG25" t="s">
        <v>74</v>
      </c>
      <c r="BH25" t="s">
        <v>645</v>
      </c>
      <c r="BI25">
        <v>16</v>
      </c>
      <c r="BJ25" t="s">
        <v>646</v>
      </c>
      <c r="BK25" t="s">
        <v>242</v>
      </c>
      <c r="BL25" t="s">
        <v>647</v>
      </c>
      <c r="BM25" t="s">
        <v>648</v>
      </c>
      <c r="BN25" t="s">
        <v>74</v>
      </c>
      <c r="BO25" t="s">
        <v>74</v>
      </c>
      <c r="BP25" t="s">
        <v>74</v>
      </c>
      <c r="BQ25" t="s">
        <v>74</v>
      </c>
      <c r="BR25" t="s">
        <v>102</v>
      </c>
      <c r="BS25" t="s">
        <v>649</v>
      </c>
      <c r="BT25" t="str">
        <f>HYPERLINK("https%3A%2F%2Fwww.webofscience.com%2Fwos%2Fwoscc%2Ffull-record%2FWOS:000626226600001","View Full Record in Web of Science")</f>
        <v>View Full Record in Web of Science</v>
      </c>
    </row>
    <row r="26" spans="1:72" x14ac:dyDescent="0.2">
      <c r="A26" t="s">
        <v>72</v>
      </c>
      <c r="B26" t="s">
        <v>650</v>
      </c>
      <c r="C26" t="s">
        <v>74</v>
      </c>
      <c r="D26" t="s">
        <v>74</v>
      </c>
      <c r="E26" t="s">
        <v>74</v>
      </c>
      <c r="F26" t="s">
        <v>651</v>
      </c>
      <c r="G26" t="s">
        <v>74</v>
      </c>
      <c r="H26" t="s">
        <v>74</v>
      </c>
      <c r="I26" t="s">
        <v>652</v>
      </c>
      <c r="J26" t="s">
        <v>653</v>
      </c>
      <c r="K26" t="s">
        <v>74</v>
      </c>
      <c r="L26" t="s">
        <v>74</v>
      </c>
      <c r="M26" t="s">
        <v>78</v>
      </c>
      <c r="N26" t="s">
        <v>108</v>
      </c>
      <c r="O26" t="s">
        <v>74</v>
      </c>
      <c r="P26" t="s">
        <v>74</v>
      </c>
      <c r="Q26" t="s">
        <v>74</v>
      </c>
      <c r="R26" t="s">
        <v>74</v>
      </c>
      <c r="S26" t="s">
        <v>74</v>
      </c>
      <c r="T26" t="s">
        <v>654</v>
      </c>
      <c r="U26" t="s">
        <v>655</v>
      </c>
      <c r="V26" t="s">
        <v>656</v>
      </c>
      <c r="W26" t="s">
        <v>657</v>
      </c>
      <c r="X26" t="s">
        <v>658</v>
      </c>
      <c r="Y26" t="s">
        <v>659</v>
      </c>
      <c r="Z26" t="s">
        <v>660</v>
      </c>
      <c r="AA26" t="s">
        <v>661</v>
      </c>
      <c r="AB26" t="s">
        <v>662</v>
      </c>
      <c r="AC26" t="s">
        <v>663</v>
      </c>
      <c r="AD26" t="s">
        <v>664</v>
      </c>
      <c r="AE26" t="s">
        <v>665</v>
      </c>
      <c r="AF26" t="s">
        <v>74</v>
      </c>
      <c r="AG26">
        <v>123</v>
      </c>
      <c r="AH26">
        <v>1</v>
      </c>
      <c r="AI26">
        <v>1</v>
      </c>
      <c r="AJ26">
        <v>10</v>
      </c>
      <c r="AK26">
        <v>10</v>
      </c>
      <c r="AL26" t="s">
        <v>666</v>
      </c>
      <c r="AM26" t="s">
        <v>667</v>
      </c>
      <c r="AN26" t="s">
        <v>668</v>
      </c>
      <c r="AO26" t="s">
        <v>74</v>
      </c>
      <c r="AP26" t="s">
        <v>669</v>
      </c>
      <c r="AQ26" t="s">
        <v>74</v>
      </c>
      <c r="AR26" t="s">
        <v>670</v>
      </c>
      <c r="AS26" t="s">
        <v>671</v>
      </c>
      <c r="AT26" t="s">
        <v>672</v>
      </c>
      <c r="AU26">
        <v>2023</v>
      </c>
      <c r="AV26">
        <v>11</v>
      </c>
      <c r="AW26" t="s">
        <v>74</v>
      </c>
      <c r="AX26" t="s">
        <v>74</v>
      </c>
      <c r="AY26" t="s">
        <v>74</v>
      </c>
      <c r="AZ26" t="s">
        <v>74</v>
      </c>
      <c r="BA26" t="s">
        <v>74</v>
      </c>
      <c r="BB26" t="s">
        <v>74</v>
      </c>
      <c r="BC26" t="s">
        <v>74</v>
      </c>
      <c r="BD26">
        <v>1085936</v>
      </c>
      <c r="BE26" t="s">
        <v>673</v>
      </c>
      <c r="BF26" t="str">
        <f>HYPERLINK("http://dx.doi.org/10.3389/fenvs.2023.1085936","http://dx.doi.org/10.3389/fenvs.2023.1085936")</f>
        <v>http://dx.doi.org/10.3389/fenvs.2023.1085936</v>
      </c>
      <c r="BG26" t="s">
        <v>74</v>
      </c>
      <c r="BH26" t="s">
        <v>74</v>
      </c>
      <c r="BI26">
        <v>14</v>
      </c>
      <c r="BJ26" t="s">
        <v>674</v>
      </c>
      <c r="BK26" t="s">
        <v>98</v>
      </c>
      <c r="BL26" t="s">
        <v>675</v>
      </c>
      <c r="BM26" t="s">
        <v>676</v>
      </c>
      <c r="BN26" t="s">
        <v>74</v>
      </c>
      <c r="BO26" t="s">
        <v>101</v>
      </c>
      <c r="BP26" t="s">
        <v>74</v>
      </c>
      <c r="BQ26" t="s">
        <v>74</v>
      </c>
      <c r="BR26" t="s">
        <v>102</v>
      </c>
      <c r="BS26" t="s">
        <v>677</v>
      </c>
      <c r="BT26" t="str">
        <f>HYPERLINK("https%3A%2F%2Fwww.webofscience.com%2Fwos%2Fwoscc%2Ffull-record%2FWOS:000969113600001","View Full Record in Web of Science")</f>
        <v>View Full Record in Web of Science</v>
      </c>
    </row>
    <row r="27" spans="1:72" x14ac:dyDescent="0.2">
      <c r="A27" t="s">
        <v>72</v>
      </c>
      <c r="B27" t="s">
        <v>678</v>
      </c>
      <c r="C27" t="s">
        <v>74</v>
      </c>
      <c r="D27" t="s">
        <v>74</v>
      </c>
      <c r="E27" t="s">
        <v>74</v>
      </c>
      <c r="F27" t="s">
        <v>679</v>
      </c>
      <c r="G27" t="s">
        <v>74</v>
      </c>
      <c r="H27" t="s">
        <v>74</v>
      </c>
      <c r="I27" t="s">
        <v>680</v>
      </c>
      <c r="J27" t="s">
        <v>681</v>
      </c>
      <c r="K27" t="s">
        <v>74</v>
      </c>
      <c r="L27" t="s">
        <v>74</v>
      </c>
      <c r="M27" t="s">
        <v>78</v>
      </c>
      <c r="N27" t="s">
        <v>108</v>
      </c>
      <c r="O27" t="s">
        <v>74</v>
      </c>
      <c r="P27" t="s">
        <v>74</v>
      </c>
      <c r="Q27" t="s">
        <v>74</v>
      </c>
      <c r="R27" t="s">
        <v>74</v>
      </c>
      <c r="S27" t="s">
        <v>74</v>
      </c>
      <c r="T27" t="s">
        <v>682</v>
      </c>
      <c r="U27" t="s">
        <v>683</v>
      </c>
      <c r="V27" t="s">
        <v>684</v>
      </c>
      <c r="W27" t="s">
        <v>685</v>
      </c>
      <c r="X27" t="s">
        <v>686</v>
      </c>
      <c r="Y27" t="s">
        <v>687</v>
      </c>
      <c r="Z27" t="s">
        <v>688</v>
      </c>
      <c r="AA27" t="s">
        <v>74</v>
      </c>
      <c r="AB27" t="s">
        <v>74</v>
      </c>
      <c r="AC27" t="s">
        <v>689</v>
      </c>
      <c r="AD27" t="s">
        <v>690</v>
      </c>
      <c r="AE27" t="s">
        <v>691</v>
      </c>
      <c r="AF27" t="s">
        <v>74</v>
      </c>
      <c r="AG27">
        <v>59</v>
      </c>
      <c r="AH27">
        <v>1</v>
      </c>
      <c r="AI27">
        <v>1</v>
      </c>
      <c r="AJ27">
        <v>2</v>
      </c>
      <c r="AK27">
        <v>9</v>
      </c>
      <c r="AL27" t="s">
        <v>462</v>
      </c>
      <c r="AM27" t="s">
        <v>280</v>
      </c>
      <c r="AN27" t="s">
        <v>463</v>
      </c>
      <c r="AO27" t="s">
        <v>692</v>
      </c>
      <c r="AP27" t="s">
        <v>693</v>
      </c>
      <c r="AQ27" t="s">
        <v>74</v>
      </c>
      <c r="AR27" t="s">
        <v>694</v>
      </c>
      <c r="AS27" t="s">
        <v>695</v>
      </c>
      <c r="AT27" t="s">
        <v>696</v>
      </c>
      <c r="AU27">
        <v>2023</v>
      </c>
      <c r="AV27">
        <v>25</v>
      </c>
      <c r="AW27">
        <v>3</v>
      </c>
      <c r="AX27" t="s">
        <v>74</v>
      </c>
      <c r="AY27" t="s">
        <v>74</v>
      </c>
      <c r="AZ27" t="s">
        <v>74</v>
      </c>
      <c r="BA27" t="s">
        <v>74</v>
      </c>
      <c r="BB27">
        <v>225</v>
      </c>
      <c r="BC27">
        <v>241</v>
      </c>
      <c r="BD27" t="s">
        <v>74</v>
      </c>
      <c r="BE27" t="s">
        <v>697</v>
      </c>
      <c r="BF27" t="str">
        <f>HYPERLINK("http://dx.doi.org/10.1080/1523908X.2022.2094353","http://dx.doi.org/10.1080/1523908X.2022.2094353")</f>
        <v>http://dx.doi.org/10.1080/1523908X.2022.2094353</v>
      </c>
      <c r="BG27" t="s">
        <v>74</v>
      </c>
      <c r="BH27" t="s">
        <v>698</v>
      </c>
      <c r="BI27">
        <v>17</v>
      </c>
      <c r="BJ27" t="s">
        <v>699</v>
      </c>
      <c r="BK27" t="s">
        <v>242</v>
      </c>
      <c r="BL27" t="s">
        <v>700</v>
      </c>
      <c r="BM27" t="s">
        <v>701</v>
      </c>
      <c r="BN27" t="s">
        <v>74</v>
      </c>
      <c r="BO27" t="s">
        <v>702</v>
      </c>
      <c r="BP27" t="s">
        <v>74</v>
      </c>
      <c r="BQ27" t="s">
        <v>74</v>
      </c>
      <c r="BR27" t="s">
        <v>102</v>
      </c>
      <c r="BS27" t="s">
        <v>703</v>
      </c>
      <c r="BT27" t="str">
        <f>HYPERLINK("https%3A%2F%2Fwww.webofscience.com%2Fwos%2Fwoscc%2Ffull-record%2FWOS:000821421700001","View Full Record in Web of Science")</f>
        <v>View Full Record in Web of Science</v>
      </c>
    </row>
    <row r="28" spans="1:72" x14ac:dyDescent="0.2">
      <c r="A28" t="s">
        <v>72</v>
      </c>
      <c r="B28" t="s">
        <v>704</v>
      </c>
      <c r="C28" t="s">
        <v>74</v>
      </c>
      <c r="D28" t="s">
        <v>74</v>
      </c>
      <c r="E28" t="s">
        <v>74</v>
      </c>
      <c r="F28" t="s">
        <v>705</v>
      </c>
      <c r="G28" t="s">
        <v>74</v>
      </c>
      <c r="H28" t="s">
        <v>74</v>
      </c>
      <c r="I28" t="s">
        <v>706</v>
      </c>
      <c r="J28" t="s">
        <v>707</v>
      </c>
      <c r="K28" t="s">
        <v>74</v>
      </c>
      <c r="L28" t="s">
        <v>74</v>
      </c>
      <c r="M28" t="s">
        <v>78</v>
      </c>
      <c r="N28" t="s">
        <v>108</v>
      </c>
      <c r="O28" t="s">
        <v>74</v>
      </c>
      <c r="P28" t="s">
        <v>74</v>
      </c>
      <c r="Q28" t="s">
        <v>74</v>
      </c>
      <c r="R28" t="s">
        <v>74</v>
      </c>
      <c r="S28" t="s">
        <v>74</v>
      </c>
      <c r="T28" t="s">
        <v>708</v>
      </c>
      <c r="U28" t="s">
        <v>709</v>
      </c>
      <c r="V28" t="s">
        <v>710</v>
      </c>
      <c r="W28" t="s">
        <v>711</v>
      </c>
      <c r="X28" t="s">
        <v>712</v>
      </c>
      <c r="Y28" t="s">
        <v>713</v>
      </c>
      <c r="Z28" t="s">
        <v>714</v>
      </c>
      <c r="AA28" t="s">
        <v>715</v>
      </c>
      <c r="AB28" t="s">
        <v>716</v>
      </c>
      <c r="AC28" t="s">
        <v>74</v>
      </c>
      <c r="AD28" t="s">
        <v>74</v>
      </c>
      <c r="AE28" t="s">
        <v>74</v>
      </c>
      <c r="AF28" t="s">
        <v>74</v>
      </c>
      <c r="AG28">
        <v>94</v>
      </c>
      <c r="AH28">
        <v>7</v>
      </c>
      <c r="AI28">
        <v>7</v>
      </c>
      <c r="AJ28">
        <v>5</v>
      </c>
      <c r="AK28">
        <v>31</v>
      </c>
      <c r="AL28" t="s">
        <v>409</v>
      </c>
      <c r="AM28" t="s">
        <v>410</v>
      </c>
      <c r="AN28" t="s">
        <v>411</v>
      </c>
      <c r="AO28" t="s">
        <v>717</v>
      </c>
      <c r="AP28" t="s">
        <v>718</v>
      </c>
      <c r="AQ28" t="s">
        <v>74</v>
      </c>
      <c r="AR28" t="s">
        <v>719</v>
      </c>
      <c r="AS28" t="s">
        <v>720</v>
      </c>
      <c r="AT28" t="s">
        <v>194</v>
      </c>
      <c r="AU28">
        <v>2021</v>
      </c>
      <c r="AV28">
        <v>38</v>
      </c>
      <c r="AW28">
        <v>6</v>
      </c>
      <c r="AX28" t="s">
        <v>74</v>
      </c>
      <c r="AY28" t="s">
        <v>74</v>
      </c>
      <c r="AZ28" t="s">
        <v>74</v>
      </c>
      <c r="BA28" t="s">
        <v>74</v>
      </c>
      <c r="BB28">
        <v>640</v>
      </c>
      <c r="BC28">
        <v>660</v>
      </c>
      <c r="BD28" t="s">
        <v>74</v>
      </c>
      <c r="BE28" t="s">
        <v>721</v>
      </c>
      <c r="BF28" t="str">
        <f>HYPERLINK("http://dx.doi.org/10.1111/ropr.12448","http://dx.doi.org/10.1111/ropr.12448")</f>
        <v>http://dx.doi.org/10.1111/ropr.12448</v>
      </c>
      <c r="BG28" t="s">
        <v>74</v>
      </c>
      <c r="BH28" t="s">
        <v>722</v>
      </c>
      <c r="BI28">
        <v>21</v>
      </c>
      <c r="BJ28" t="s">
        <v>723</v>
      </c>
      <c r="BK28" t="s">
        <v>242</v>
      </c>
      <c r="BL28" t="s">
        <v>724</v>
      </c>
      <c r="BM28" t="s">
        <v>725</v>
      </c>
      <c r="BN28" t="s">
        <v>74</v>
      </c>
      <c r="BO28" t="s">
        <v>726</v>
      </c>
      <c r="BP28" t="s">
        <v>74</v>
      </c>
      <c r="BQ28" t="s">
        <v>74</v>
      </c>
      <c r="BR28" t="s">
        <v>102</v>
      </c>
      <c r="BS28" t="s">
        <v>727</v>
      </c>
      <c r="BT28" t="str">
        <f>HYPERLINK("https%3A%2F%2Fwww.webofscience.com%2Fwos%2Fwoscc%2Ffull-record%2FWOS:000694642700001","View Full Record in Web of Science")</f>
        <v>View Full Record in Web of Science</v>
      </c>
    </row>
    <row r="29" spans="1:72" x14ac:dyDescent="0.2">
      <c r="A29" t="s">
        <v>72</v>
      </c>
      <c r="B29" t="s">
        <v>728</v>
      </c>
      <c r="C29" t="s">
        <v>74</v>
      </c>
      <c r="D29" t="s">
        <v>74</v>
      </c>
      <c r="E29" t="s">
        <v>74</v>
      </c>
      <c r="F29" t="s">
        <v>729</v>
      </c>
      <c r="G29" t="s">
        <v>74</v>
      </c>
      <c r="H29" t="s">
        <v>74</v>
      </c>
      <c r="I29" t="s">
        <v>730</v>
      </c>
      <c r="J29" t="s">
        <v>337</v>
      </c>
      <c r="K29" t="s">
        <v>74</v>
      </c>
      <c r="L29" t="s">
        <v>74</v>
      </c>
      <c r="M29" t="s">
        <v>78</v>
      </c>
      <c r="N29" t="s">
        <v>108</v>
      </c>
      <c r="O29" t="s">
        <v>74</v>
      </c>
      <c r="P29" t="s">
        <v>74</v>
      </c>
      <c r="Q29" t="s">
        <v>74</v>
      </c>
      <c r="R29" t="s">
        <v>74</v>
      </c>
      <c r="S29" t="s">
        <v>74</v>
      </c>
      <c r="T29" t="s">
        <v>731</v>
      </c>
      <c r="U29" t="s">
        <v>732</v>
      </c>
      <c r="V29" t="s">
        <v>733</v>
      </c>
      <c r="W29" t="s">
        <v>734</v>
      </c>
      <c r="X29" t="s">
        <v>735</v>
      </c>
      <c r="Y29" t="s">
        <v>736</v>
      </c>
      <c r="Z29" t="s">
        <v>737</v>
      </c>
      <c r="AA29" t="s">
        <v>74</v>
      </c>
      <c r="AB29" t="s">
        <v>74</v>
      </c>
      <c r="AC29" t="s">
        <v>74</v>
      </c>
      <c r="AD29" t="s">
        <v>74</v>
      </c>
      <c r="AE29" t="s">
        <v>74</v>
      </c>
      <c r="AF29" t="s">
        <v>74</v>
      </c>
      <c r="AG29">
        <v>70</v>
      </c>
      <c r="AH29">
        <v>2</v>
      </c>
      <c r="AI29">
        <v>2</v>
      </c>
      <c r="AJ29">
        <v>28</v>
      </c>
      <c r="AK29">
        <v>28</v>
      </c>
      <c r="AL29" t="s">
        <v>347</v>
      </c>
      <c r="AM29" t="s">
        <v>348</v>
      </c>
      <c r="AN29" t="s">
        <v>349</v>
      </c>
      <c r="AO29" t="s">
        <v>350</v>
      </c>
      <c r="AP29" t="s">
        <v>351</v>
      </c>
      <c r="AQ29" t="s">
        <v>74</v>
      </c>
      <c r="AR29" t="s">
        <v>352</v>
      </c>
      <c r="AS29" t="s">
        <v>353</v>
      </c>
      <c r="AT29" t="s">
        <v>738</v>
      </c>
      <c r="AU29">
        <v>2023</v>
      </c>
      <c r="AV29">
        <v>187</v>
      </c>
      <c r="AW29" t="s">
        <v>74</v>
      </c>
      <c r="AX29" t="s">
        <v>74</v>
      </c>
      <c r="AY29" t="s">
        <v>74</v>
      </c>
      <c r="AZ29" t="s">
        <v>74</v>
      </c>
      <c r="BA29" t="s">
        <v>74</v>
      </c>
      <c r="BB29" t="s">
        <v>74</v>
      </c>
      <c r="BC29" t="s">
        <v>74</v>
      </c>
      <c r="BD29">
        <v>122210</v>
      </c>
      <c r="BE29" t="s">
        <v>739</v>
      </c>
      <c r="BF29" t="str">
        <f>HYPERLINK("http://dx.doi.org/10.1016/j.techfore.2022.122210","http://dx.doi.org/10.1016/j.techfore.2022.122210")</f>
        <v>http://dx.doi.org/10.1016/j.techfore.2022.122210</v>
      </c>
      <c r="BG29" t="s">
        <v>74</v>
      </c>
      <c r="BH29" t="s">
        <v>740</v>
      </c>
      <c r="BI29">
        <v>11</v>
      </c>
      <c r="BJ29" t="s">
        <v>356</v>
      </c>
      <c r="BK29" t="s">
        <v>242</v>
      </c>
      <c r="BL29" t="s">
        <v>357</v>
      </c>
      <c r="BM29" t="s">
        <v>741</v>
      </c>
      <c r="BN29" t="s">
        <v>74</v>
      </c>
      <c r="BO29" t="s">
        <v>74</v>
      </c>
      <c r="BP29" t="s">
        <v>74</v>
      </c>
      <c r="BQ29" t="s">
        <v>74</v>
      </c>
      <c r="BR29" t="s">
        <v>102</v>
      </c>
      <c r="BS29" t="s">
        <v>742</v>
      </c>
      <c r="BT29" t="str">
        <f>HYPERLINK("https%3A%2F%2Fwww.webofscience.com%2Fwos%2Fwoscc%2Ffull-record%2FWOS:000969505700009","View Full Record in Web of Science")</f>
        <v>View Full Record in Web of Science</v>
      </c>
    </row>
    <row r="30" spans="1:72" x14ac:dyDescent="0.2">
      <c r="A30" t="s">
        <v>72</v>
      </c>
      <c r="B30" t="s">
        <v>743</v>
      </c>
      <c r="C30" t="s">
        <v>74</v>
      </c>
      <c r="D30" t="s">
        <v>74</v>
      </c>
      <c r="E30" t="s">
        <v>74</v>
      </c>
      <c r="F30" t="s">
        <v>744</v>
      </c>
      <c r="G30" t="s">
        <v>74</v>
      </c>
      <c r="H30" t="s">
        <v>74</v>
      </c>
      <c r="I30" t="s">
        <v>745</v>
      </c>
      <c r="J30" t="s">
        <v>131</v>
      </c>
      <c r="K30" t="s">
        <v>74</v>
      </c>
      <c r="L30" t="s">
        <v>74</v>
      </c>
      <c r="M30" t="s">
        <v>78</v>
      </c>
      <c r="N30" t="s">
        <v>108</v>
      </c>
      <c r="O30" t="s">
        <v>74</v>
      </c>
      <c r="P30" t="s">
        <v>74</v>
      </c>
      <c r="Q30" t="s">
        <v>74</v>
      </c>
      <c r="R30" t="s">
        <v>74</v>
      </c>
      <c r="S30" t="s">
        <v>74</v>
      </c>
      <c r="T30" t="s">
        <v>746</v>
      </c>
      <c r="U30" t="s">
        <v>747</v>
      </c>
      <c r="V30" t="s">
        <v>748</v>
      </c>
      <c r="W30" t="s">
        <v>749</v>
      </c>
      <c r="X30" t="s">
        <v>750</v>
      </c>
      <c r="Y30" t="s">
        <v>751</v>
      </c>
      <c r="Z30" t="s">
        <v>752</v>
      </c>
      <c r="AA30" t="s">
        <v>753</v>
      </c>
      <c r="AB30" t="s">
        <v>754</v>
      </c>
      <c r="AC30" t="s">
        <v>74</v>
      </c>
      <c r="AD30" t="s">
        <v>74</v>
      </c>
      <c r="AE30" t="s">
        <v>74</v>
      </c>
      <c r="AF30" t="s">
        <v>74</v>
      </c>
      <c r="AG30">
        <v>115</v>
      </c>
      <c r="AH30">
        <v>16</v>
      </c>
      <c r="AI30">
        <v>16</v>
      </c>
      <c r="AJ30">
        <v>8</v>
      </c>
      <c r="AK30">
        <v>53</v>
      </c>
      <c r="AL30" t="s">
        <v>116</v>
      </c>
      <c r="AM30" t="s">
        <v>117</v>
      </c>
      <c r="AN30" t="s">
        <v>118</v>
      </c>
      <c r="AO30" t="s">
        <v>74</v>
      </c>
      <c r="AP30" t="s">
        <v>142</v>
      </c>
      <c r="AQ30" t="s">
        <v>74</v>
      </c>
      <c r="AR30" t="s">
        <v>143</v>
      </c>
      <c r="AS30" t="s">
        <v>144</v>
      </c>
      <c r="AT30" t="s">
        <v>738</v>
      </c>
      <c r="AU30">
        <v>2021</v>
      </c>
      <c r="AV30">
        <v>13</v>
      </c>
      <c r="AW30">
        <v>3</v>
      </c>
      <c r="AX30" t="s">
        <v>74</v>
      </c>
      <c r="AY30" t="s">
        <v>74</v>
      </c>
      <c r="AZ30" t="s">
        <v>74</v>
      </c>
      <c r="BA30" t="s">
        <v>74</v>
      </c>
      <c r="BB30" t="s">
        <v>74</v>
      </c>
      <c r="BC30" t="s">
        <v>74</v>
      </c>
      <c r="BD30">
        <v>1269</v>
      </c>
      <c r="BE30" t="s">
        <v>755</v>
      </c>
      <c r="BF30" t="str">
        <f>HYPERLINK("http://dx.doi.org/10.3390/su13031269","http://dx.doi.org/10.3390/su13031269")</f>
        <v>http://dx.doi.org/10.3390/su13031269</v>
      </c>
      <c r="BG30" t="s">
        <v>74</v>
      </c>
      <c r="BH30" t="s">
        <v>74</v>
      </c>
      <c r="BI30">
        <v>19</v>
      </c>
      <c r="BJ30" t="s">
        <v>146</v>
      </c>
      <c r="BK30" t="s">
        <v>147</v>
      </c>
      <c r="BL30" t="s">
        <v>148</v>
      </c>
      <c r="BM30" t="s">
        <v>756</v>
      </c>
      <c r="BN30" t="s">
        <v>74</v>
      </c>
      <c r="BO30" t="s">
        <v>757</v>
      </c>
      <c r="BP30" t="s">
        <v>74</v>
      </c>
      <c r="BQ30" t="s">
        <v>74</v>
      </c>
      <c r="BR30" t="s">
        <v>102</v>
      </c>
      <c r="BS30" t="s">
        <v>758</v>
      </c>
      <c r="BT30" t="str">
        <f>HYPERLINK("https%3A%2F%2Fwww.webofscience.com%2Fwos%2Fwoscc%2Ffull-record%2FWOS:000615661100001","View Full Record in Web of Science")</f>
        <v>View Full Record in Web of Science</v>
      </c>
    </row>
    <row r="31" spans="1:72" x14ac:dyDescent="0.2">
      <c r="A31" t="s">
        <v>72</v>
      </c>
      <c r="B31" t="s">
        <v>759</v>
      </c>
      <c r="C31" t="s">
        <v>74</v>
      </c>
      <c r="D31" t="s">
        <v>74</v>
      </c>
      <c r="E31" t="s">
        <v>74</v>
      </c>
      <c r="F31" t="s">
        <v>760</v>
      </c>
      <c r="G31" t="s">
        <v>74</v>
      </c>
      <c r="H31" t="s">
        <v>74</v>
      </c>
      <c r="I31" t="s">
        <v>761</v>
      </c>
      <c r="J31" t="s">
        <v>762</v>
      </c>
      <c r="K31" t="s">
        <v>74</v>
      </c>
      <c r="L31" t="s">
        <v>74</v>
      </c>
      <c r="M31" t="s">
        <v>78</v>
      </c>
      <c r="N31" t="s">
        <v>763</v>
      </c>
      <c r="O31" t="s">
        <v>74</v>
      </c>
      <c r="P31" t="s">
        <v>74</v>
      </c>
      <c r="Q31" t="s">
        <v>74</v>
      </c>
      <c r="R31" t="s">
        <v>74</v>
      </c>
      <c r="S31" t="s">
        <v>74</v>
      </c>
      <c r="T31" t="s">
        <v>764</v>
      </c>
      <c r="U31" t="s">
        <v>765</v>
      </c>
      <c r="V31" t="s">
        <v>766</v>
      </c>
      <c r="W31" t="s">
        <v>767</v>
      </c>
      <c r="X31" t="s">
        <v>768</v>
      </c>
      <c r="Y31" t="s">
        <v>769</v>
      </c>
      <c r="Z31" t="s">
        <v>770</v>
      </c>
      <c r="AA31" t="s">
        <v>771</v>
      </c>
      <c r="AB31" t="s">
        <v>772</v>
      </c>
      <c r="AC31" t="s">
        <v>74</v>
      </c>
      <c r="AD31" t="s">
        <v>74</v>
      </c>
      <c r="AE31" t="s">
        <v>74</v>
      </c>
      <c r="AF31" t="s">
        <v>74</v>
      </c>
      <c r="AG31">
        <v>133</v>
      </c>
      <c r="AH31">
        <v>4</v>
      </c>
      <c r="AI31">
        <v>4</v>
      </c>
      <c r="AJ31">
        <v>41</v>
      </c>
      <c r="AK31">
        <v>66</v>
      </c>
      <c r="AL31" t="s">
        <v>279</v>
      </c>
      <c r="AM31" t="s">
        <v>280</v>
      </c>
      <c r="AN31" t="s">
        <v>281</v>
      </c>
      <c r="AO31" t="s">
        <v>773</v>
      </c>
      <c r="AP31" t="s">
        <v>774</v>
      </c>
      <c r="AQ31" t="s">
        <v>74</v>
      </c>
      <c r="AR31" t="s">
        <v>775</v>
      </c>
      <c r="AS31" t="s">
        <v>776</v>
      </c>
      <c r="AT31" t="s">
        <v>777</v>
      </c>
      <c r="AU31">
        <v>2023</v>
      </c>
      <c r="AV31" t="s">
        <v>74</v>
      </c>
      <c r="AW31" t="s">
        <v>74</v>
      </c>
      <c r="AX31" t="s">
        <v>74</v>
      </c>
      <c r="AY31" t="s">
        <v>74</v>
      </c>
      <c r="AZ31" t="s">
        <v>74</v>
      </c>
      <c r="BA31" t="s">
        <v>74</v>
      </c>
      <c r="BB31" t="s">
        <v>74</v>
      </c>
      <c r="BC31" t="s">
        <v>74</v>
      </c>
      <c r="BD31" t="s">
        <v>74</v>
      </c>
      <c r="BE31" t="s">
        <v>778</v>
      </c>
      <c r="BF31" t="str">
        <f>HYPERLINK("http://dx.doi.org/10.1080/00207543.2023.2165190","http://dx.doi.org/10.1080/00207543.2023.2165190")</f>
        <v>http://dx.doi.org/10.1080/00207543.2023.2165190</v>
      </c>
      <c r="BG31" t="s">
        <v>74</v>
      </c>
      <c r="BH31" t="s">
        <v>779</v>
      </c>
      <c r="BI31">
        <v>23</v>
      </c>
      <c r="BJ31" t="s">
        <v>780</v>
      </c>
      <c r="BK31" t="s">
        <v>98</v>
      </c>
      <c r="BL31" t="s">
        <v>781</v>
      </c>
      <c r="BM31" t="s">
        <v>782</v>
      </c>
      <c r="BN31" t="s">
        <v>74</v>
      </c>
      <c r="BO31" t="s">
        <v>74</v>
      </c>
      <c r="BP31" t="s">
        <v>74</v>
      </c>
      <c r="BQ31" t="s">
        <v>74</v>
      </c>
      <c r="BR31" t="s">
        <v>102</v>
      </c>
      <c r="BS31" t="s">
        <v>783</v>
      </c>
      <c r="BT31" t="str">
        <f>HYPERLINK("https%3A%2F%2Fwww.webofscience.com%2Fwos%2Fwoscc%2Ffull-record%2FWOS:000920143600001","View Full Record in Web of Science")</f>
        <v>View Full Record in Web of Science</v>
      </c>
    </row>
    <row r="32" spans="1:72" x14ac:dyDescent="0.2">
      <c r="A32" t="s">
        <v>72</v>
      </c>
      <c r="B32" t="s">
        <v>784</v>
      </c>
      <c r="C32" t="s">
        <v>74</v>
      </c>
      <c r="D32" t="s">
        <v>74</v>
      </c>
      <c r="E32" t="s">
        <v>74</v>
      </c>
      <c r="F32" t="s">
        <v>785</v>
      </c>
      <c r="G32" t="s">
        <v>74</v>
      </c>
      <c r="H32" t="s">
        <v>74</v>
      </c>
      <c r="I32" t="s">
        <v>786</v>
      </c>
      <c r="J32" t="s">
        <v>787</v>
      </c>
      <c r="K32" t="s">
        <v>74</v>
      </c>
      <c r="L32" t="s">
        <v>74</v>
      </c>
      <c r="M32" t="s">
        <v>78</v>
      </c>
      <c r="N32" t="s">
        <v>108</v>
      </c>
      <c r="O32" t="s">
        <v>74</v>
      </c>
      <c r="P32" t="s">
        <v>74</v>
      </c>
      <c r="Q32" t="s">
        <v>74</v>
      </c>
      <c r="R32" t="s">
        <v>74</v>
      </c>
      <c r="S32" t="s">
        <v>74</v>
      </c>
      <c r="T32" t="s">
        <v>788</v>
      </c>
      <c r="U32" t="s">
        <v>74</v>
      </c>
      <c r="V32" t="s">
        <v>789</v>
      </c>
      <c r="W32" t="s">
        <v>790</v>
      </c>
      <c r="X32" t="s">
        <v>791</v>
      </c>
      <c r="Y32" t="s">
        <v>792</v>
      </c>
      <c r="Z32" t="s">
        <v>793</v>
      </c>
      <c r="AA32" t="s">
        <v>794</v>
      </c>
      <c r="AB32" t="s">
        <v>795</v>
      </c>
      <c r="AC32" t="s">
        <v>74</v>
      </c>
      <c r="AD32" t="s">
        <v>74</v>
      </c>
      <c r="AE32" t="s">
        <v>74</v>
      </c>
      <c r="AF32" t="s">
        <v>74</v>
      </c>
      <c r="AG32">
        <v>11</v>
      </c>
      <c r="AH32">
        <v>16</v>
      </c>
      <c r="AI32">
        <v>16</v>
      </c>
      <c r="AJ32">
        <v>4</v>
      </c>
      <c r="AK32">
        <v>30</v>
      </c>
      <c r="AL32" t="s">
        <v>409</v>
      </c>
      <c r="AM32" t="s">
        <v>410</v>
      </c>
      <c r="AN32" t="s">
        <v>411</v>
      </c>
      <c r="AO32" t="s">
        <v>796</v>
      </c>
      <c r="AP32" t="s">
        <v>797</v>
      </c>
      <c r="AQ32" t="s">
        <v>74</v>
      </c>
      <c r="AR32" t="s">
        <v>798</v>
      </c>
      <c r="AS32" t="s">
        <v>799</v>
      </c>
      <c r="AT32" t="s">
        <v>800</v>
      </c>
      <c r="AU32">
        <v>2020</v>
      </c>
      <c r="AV32">
        <v>56</v>
      </c>
      <c r="AW32">
        <v>2</v>
      </c>
      <c r="AX32" t="s">
        <v>74</v>
      </c>
      <c r="AY32" t="s">
        <v>74</v>
      </c>
      <c r="AZ32" t="s">
        <v>74</v>
      </c>
      <c r="BA32" t="s">
        <v>74</v>
      </c>
      <c r="BB32">
        <v>3</v>
      </c>
      <c r="BC32">
        <v>6</v>
      </c>
      <c r="BD32" t="s">
        <v>74</v>
      </c>
      <c r="BE32" t="s">
        <v>801</v>
      </c>
      <c r="BF32" t="str">
        <f>HYPERLINK("http://dx.doi.org/10.1111/jscm.12227","http://dx.doi.org/10.1111/jscm.12227")</f>
        <v>http://dx.doi.org/10.1111/jscm.12227</v>
      </c>
      <c r="BG32" t="s">
        <v>74</v>
      </c>
      <c r="BH32" t="s">
        <v>802</v>
      </c>
      <c r="BI32">
        <v>4</v>
      </c>
      <c r="BJ32" t="s">
        <v>418</v>
      </c>
      <c r="BK32" t="s">
        <v>242</v>
      </c>
      <c r="BL32" t="s">
        <v>419</v>
      </c>
      <c r="BM32" t="s">
        <v>803</v>
      </c>
      <c r="BN32" t="s">
        <v>74</v>
      </c>
      <c r="BO32" t="s">
        <v>804</v>
      </c>
      <c r="BP32" t="s">
        <v>74</v>
      </c>
      <c r="BQ32" t="s">
        <v>74</v>
      </c>
      <c r="BR32" t="s">
        <v>102</v>
      </c>
      <c r="BS32" t="s">
        <v>805</v>
      </c>
      <c r="BT32" t="str">
        <f>HYPERLINK("https%3A%2F%2Fwww.webofscience.com%2Fwos%2Fwoscc%2Ffull-record%2FWOS:000524308700001","View Full Record in Web of Science")</f>
        <v>View Full Record in Web of Science</v>
      </c>
    </row>
    <row r="33" spans="1:72" x14ac:dyDescent="0.2">
      <c r="A33" t="s">
        <v>72</v>
      </c>
      <c r="B33" t="s">
        <v>806</v>
      </c>
      <c r="C33" t="s">
        <v>74</v>
      </c>
      <c r="D33" t="s">
        <v>74</v>
      </c>
      <c r="E33" t="s">
        <v>74</v>
      </c>
      <c r="F33" t="s">
        <v>807</v>
      </c>
      <c r="G33" t="s">
        <v>74</v>
      </c>
      <c r="H33" t="s">
        <v>74</v>
      </c>
      <c r="I33" t="s">
        <v>808</v>
      </c>
      <c r="J33" t="s">
        <v>809</v>
      </c>
      <c r="K33" t="s">
        <v>74</v>
      </c>
      <c r="L33" t="s">
        <v>74</v>
      </c>
      <c r="M33" t="s">
        <v>78</v>
      </c>
      <c r="N33" t="s">
        <v>108</v>
      </c>
      <c r="O33" t="s">
        <v>74</v>
      </c>
      <c r="P33" t="s">
        <v>74</v>
      </c>
      <c r="Q33" t="s">
        <v>74</v>
      </c>
      <c r="R33" t="s">
        <v>74</v>
      </c>
      <c r="S33" t="s">
        <v>74</v>
      </c>
      <c r="T33" t="s">
        <v>810</v>
      </c>
      <c r="U33" t="s">
        <v>811</v>
      </c>
      <c r="V33" t="s">
        <v>812</v>
      </c>
      <c r="W33" t="s">
        <v>813</v>
      </c>
      <c r="X33" t="s">
        <v>814</v>
      </c>
      <c r="Y33" t="s">
        <v>815</v>
      </c>
      <c r="Z33" t="s">
        <v>816</v>
      </c>
      <c r="AA33" t="s">
        <v>74</v>
      </c>
      <c r="AB33" t="s">
        <v>817</v>
      </c>
      <c r="AC33" t="s">
        <v>818</v>
      </c>
      <c r="AD33" t="s">
        <v>819</v>
      </c>
      <c r="AE33" t="s">
        <v>820</v>
      </c>
      <c r="AF33" t="s">
        <v>74</v>
      </c>
      <c r="AG33">
        <v>61</v>
      </c>
      <c r="AH33">
        <v>7</v>
      </c>
      <c r="AI33">
        <v>7</v>
      </c>
      <c r="AJ33">
        <v>7</v>
      </c>
      <c r="AK33">
        <v>29</v>
      </c>
      <c r="AL33" t="s">
        <v>409</v>
      </c>
      <c r="AM33" t="s">
        <v>410</v>
      </c>
      <c r="AN33" t="s">
        <v>411</v>
      </c>
      <c r="AO33" t="s">
        <v>821</v>
      </c>
      <c r="AP33" t="s">
        <v>822</v>
      </c>
      <c r="AQ33" t="s">
        <v>74</v>
      </c>
      <c r="AR33" t="s">
        <v>823</v>
      </c>
      <c r="AS33" t="s">
        <v>824</v>
      </c>
      <c r="AT33" t="s">
        <v>616</v>
      </c>
      <c r="AU33">
        <v>2021</v>
      </c>
      <c r="AV33">
        <v>30</v>
      </c>
      <c r="AW33">
        <v>1</v>
      </c>
      <c r="AX33" t="s">
        <v>74</v>
      </c>
      <c r="AY33" t="s">
        <v>74</v>
      </c>
      <c r="AZ33" t="s">
        <v>74</v>
      </c>
      <c r="BA33" t="s">
        <v>74</v>
      </c>
      <c r="BB33">
        <v>12</v>
      </c>
      <c r="BC33">
        <v>30</v>
      </c>
      <c r="BD33" t="s">
        <v>74</v>
      </c>
      <c r="BE33" t="s">
        <v>825</v>
      </c>
      <c r="BF33" t="str">
        <f>HYPERLINK("http://dx.doi.org/10.1111/caim.12401","http://dx.doi.org/10.1111/caim.12401")</f>
        <v>http://dx.doi.org/10.1111/caim.12401</v>
      </c>
      <c r="BG33" t="s">
        <v>74</v>
      </c>
      <c r="BH33" t="s">
        <v>826</v>
      </c>
      <c r="BI33">
        <v>19</v>
      </c>
      <c r="BJ33" t="s">
        <v>418</v>
      </c>
      <c r="BK33" t="s">
        <v>242</v>
      </c>
      <c r="BL33" t="s">
        <v>419</v>
      </c>
      <c r="BM33" t="s">
        <v>827</v>
      </c>
      <c r="BN33" t="s">
        <v>74</v>
      </c>
      <c r="BO33" t="s">
        <v>702</v>
      </c>
      <c r="BP33" t="s">
        <v>74</v>
      </c>
      <c r="BQ33" t="s">
        <v>74</v>
      </c>
      <c r="BR33" t="s">
        <v>102</v>
      </c>
      <c r="BS33" t="s">
        <v>828</v>
      </c>
      <c r="BT33" t="str">
        <f>HYPERLINK("https%3A%2F%2Fwww.webofscience.com%2Fwos%2Fwoscc%2Ffull-record%2FWOS:000563855000001","View Full Record in Web of Science")</f>
        <v>View Full Record in Web of Science</v>
      </c>
    </row>
    <row r="34" spans="1:72" x14ac:dyDescent="0.2">
      <c r="A34" t="s">
        <v>72</v>
      </c>
      <c r="B34" t="s">
        <v>829</v>
      </c>
      <c r="C34" t="s">
        <v>74</v>
      </c>
      <c r="D34" t="s">
        <v>74</v>
      </c>
      <c r="E34" t="s">
        <v>74</v>
      </c>
      <c r="F34" t="s">
        <v>830</v>
      </c>
      <c r="G34" t="s">
        <v>74</v>
      </c>
      <c r="H34" t="s">
        <v>74</v>
      </c>
      <c r="I34" t="s">
        <v>831</v>
      </c>
      <c r="J34" t="s">
        <v>832</v>
      </c>
      <c r="K34" t="s">
        <v>74</v>
      </c>
      <c r="L34" t="s">
        <v>74</v>
      </c>
      <c r="M34" t="s">
        <v>78</v>
      </c>
      <c r="N34" t="s">
        <v>108</v>
      </c>
      <c r="O34" t="s">
        <v>74</v>
      </c>
      <c r="P34" t="s">
        <v>74</v>
      </c>
      <c r="Q34" t="s">
        <v>74</v>
      </c>
      <c r="R34" t="s">
        <v>74</v>
      </c>
      <c r="S34" t="s">
        <v>74</v>
      </c>
      <c r="T34" t="s">
        <v>833</v>
      </c>
      <c r="U34" t="s">
        <v>834</v>
      </c>
      <c r="V34" t="s">
        <v>835</v>
      </c>
      <c r="W34" t="s">
        <v>836</v>
      </c>
      <c r="X34" t="s">
        <v>837</v>
      </c>
      <c r="Y34" t="s">
        <v>838</v>
      </c>
      <c r="Z34" t="s">
        <v>839</v>
      </c>
      <c r="AA34" t="s">
        <v>840</v>
      </c>
      <c r="AB34" t="s">
        <v>841</v>
      </c>
      <c r="AC34" t="s">
        <v>74</v>
      </c>
      <c r="AD34" t="s">
        <v>74</v>
      </c>
      <c r="AE34" t="s">
        <v>74</v>
      </c>
      <c r="AF34" t="s">
        <v>74</v>
      </c>
      <c r="AG34">
        <v>169</v>
      </c>
      <c r="AH34">
        <v>29</v>
      </c>
      <c r="AI34">
        <v>29</v>
      </c>
      <c r="AJ34">
        <v>14</v>
      </c>
      <c r="AK34">
        <v>59</v>
      </c>
      <c r="AL34" t="s">
        <v>347</v>
      </c>
      <c r="AM34" t="s">
        <v>348</v>
      </c>
      <c r="AN34" t="s">
        <v>349</v>
      </c>
      <c r="AO34" t="s">
        <v>842</v>
      </c>
      <c r="AP34" t="s">
        <v>843</v>
      </c>
      <c r="AQ34" t="s">
        <v>74</v>
      </c>
      <c r="AR34" t="s">
        <v>844</v>
      </c>
      <c r="AS34" t="s">
        <v>845</v>
      </c>
      <c r="AT34" t="s">
        <v>846</v>
      </c>
      <c r="AU34">
        <v>2021</v>
      </c>
      <c r="AV34">
        <v>95</v>
      </c>
      <c r="AW34" t="s">
        <v>74</v>
      </c>
      <c r="AX34" t="s">
        <v>74</v>
      </c>
      <c r="AY34" t="s">
        <v>74</v>
      </c>
      <c r="AZ34" t="s">
        <v>74</v>
      </c>
      <c r="BA34" t="s">
        <v>74</v>
      </c>
      <c r="BB34">
        <v>70</v>
      </c>
      <c r="BC34">
        <v>84</v>
      </c>
      <c r="BD34" t="s">
        <v>74</v>
      </c>
      <c r="BE34" t="s">
        <v>847</v>
      </c>
      <c r="BF34" t="str">
        <f>HYPERLINK("http://dx.doi.org/10.1016/j.indmarman.2021.04.005","http://dx.doi.org/10.1016/j.indmarman.2021.04.005")</f>
        <v>http://dx.doi.org/10.1016/j.indmarman.2021.04.005</v>
      </c>
      <c r="BG34" t="s">
        <v>74</v>
      </c>
      <c r="BH34" t="s">
        <v>848</v>
      </c>
      <c r="BI34">
        <v>15</v>
      </c>
      <c r="BJ34" t="s">
        <v>849</v>
      </c>
      <c r="BK34" t="s">
        <v>242</v>
      </c>
      <c r="BL34" t="s">
        <v>419</v>
      </c>
      <c r="BM34" t="s">
        <v>850</v>
      </c>
      <c r="BN34" t="s">
        <v>74</v>
      </c>
      <c r="BO34" t="s">
        <v>726</v>
      </c>
      <c r="BP34" t="s">
        <v>74</v>
      </c>
      <c r="BQ34" t="s">
        <v>74</v>
      </c>
      <c r="BR34" t="s">
        <v>102</v>
      </c>
      <c r="BS34" t="s">
        <v>851</v>
      </c>
      <c r="BT34" t="str">
        <f>HYPERLINK("https%3A%2F%2Fwww.webofscience.com%2Fwos%2Fwoscc%2Ffull-record%2FWOS:000653015800009","View Full Record in Web of Science")</f>
        <v>View Full Record in Web of Science</v>
      </c>
    </row>
    <row r="35" spans="1:72" x14ac:dyDescent="0.2">
      <c r="A35" t="s">
        <v>72</v>
      </c>
      <c r="B35" t="s">
        <v>852</v>
      </c>
      <c r="C35" t="s">
        <v>74</v>
      </c>
      <c r="D35" t="s">
        <v>74</v>
      </c>
      <c r="E35" t="s">
        <v>74</v>
      </c>
      <c r="F35" t="s">
        <v>853</v>
      </c>
      <c r="G35" t="s">
        <v>74</v>
      </c>
      <c r="H35" t="s">
        <v>74</v>
      </c>
      <c r="I35" t="s">
        <v>854</v>
      </c>
      <c r="J35" t="s">
        <v>762</v>
      </c>
      <c r="K35" t="s">
        <v>74</v>
      </c>
      <c r="L35" t="s">
        <v>74</v>
      </c>
      <c r="M35" t="s">
        <v>78</v>
      </c>
      <c r="N35" t="s">
        <v>108</v>
      </c>
      <c r="O35" t="s">
        <v>74</v>
      </c>
      <c r="P35" t="s">
        <v>74</v>
      </c>
      <c r="Q35" t="s">
        <v>74</v>
      </c>
      <c r="R35" t="s">
        <v>74</v>
      </c>
      <c r="S35" t="s">
        <v>74</v>
      </c>
      <c r="T35" t="s">
        <v>855</v>
      </c>
      <c r="U35" t="s">
        <v>856</v>
      </c>
      <c r="V35" t="s">
        <v>857</v>
      </c>
      <c r="W35" t="s">
        <v>858</v>
      </c>
      <c r="X35" t="s">
        <v>859</v>
      </c>
      <c r="Y35" t="s">
        <v>860</v>
      </c>
      <c r="Z35" t="s">
        <v>861</v>
      </c>
      <c r="AA35" t="s">
        <v>74</v>
      </c>
      <c r="AB35" t="s">
        <v>74</v>
      </c>
      <c r="AC35" t="s">
        <v>862</v>
      </c>
      <c r="AD35" t="s">
        <v>863</v>
      </c>
      <c r="AE35" t="s">
        <v>864</v>
      </c>
      <c r="AF35" t="s">
        <v>74</v>
      </c>
      <c r="AG35">
        <v>187</v>
      </c>
      <c r="AH35">
        <v>0</v>
      </c>
      <c r="AI35">
        <v>0</v>
      </c>
      <c r="AJ35">
        <v>10</v>
      </c>
      <c r="AK35">
        <v>51</v>
      </c>
      <c r="AL35" t="s">
        <v>279</v>
      </c>
      <c r="AM35" t="s">
        <v>280</v>
      </c>
      <c r="AN35" t="s">
        <v>281</v>
      </c>
      <c r="AO35" t="s">
        <v>773</v>
      </c>
      <c r="AP35" t="s">
        <v>774</v>
      </c>
      <c r="AQ35" t="s">
        <v>74</v>
      </c>
      <c r="AR35" t="s">
        <v>775</v>
      </c>
      <c r="AS35" t="s">
        <v>776</v>
      </c>
      <c r="AT35" t="s">
        <v>865</v>
      </c>
      <c r="AU35">
        <v>2023</v>
      </c>
      <c r="AV35">
        <v>61</v>
      </c>
      <c r="AW35">
        <v>10</v>
      </c>
      <c r="AX35" t="s">
        <v>74</v>
      </c>
      <c r="AY35" t="s">
        <v>74</v>
      </c>
      <c r="AZ35" t="s">
        <v>74</v>
      </c>
      <c r="BA35" t="s">
        <v>74</v>
      </c>
      <c r="BB35">
        <v>3350</v>
      </c>
      <c r="BC35">
        <v>3376</v>
      </c>
      <c r="BD35" t="s">
        <v>74</v>
      </c>
      <c r="BE35" t="s">
        <v>866</v>
      </c>
      <c r="BF35" t="str">
        <f>HYPERLINK("http://dx.doi.org/10.1080/00207543.2022.2081629","http://dx.doi.org/10.1080/00207543.2022.2081629")</f>
        <v>http://dx.doi.org/10.1080/00207543.2022.2081629</v>
      </c>
      <c r="BG35" t="s">
        <v>74</v>
      </c>
      <c r="BH35" t="s">
        <v>867</v>
      </c>
      <c r="BI35">
        <v>27</v>
      </c>
      <c r="BJ35" t="s">
        <v>780</v>
      </c>
      <c r="BK35" t="s">
        <v>98</v>
      </c>
      <c r="BL35" t="s">
        <v>781</v>
      </c>
      <c r="BM35" t="s">
        <v>868</v>
      </c>
      <c r="BN35" t="s">
        <v>74</v>
      </c>
      <c r="BO35" t="s">
        <v>702</v>
      </c>
      <c r="BP35" t="s">
        <v>74</v>
      </c>
      <c r="BQ35" t="s">
        <v>74</v>
      </c>
      <c r="BR35" t="s">
        <v>102</v>
      </c>
      <c r="BS35" t="s">
        <v>869</v>
      </c>
      <c r="BT35" t="str">
        <f>HYPERLINK("https%3A%2F%2Fwww.webofscience.com%2Fwos%2Fwoscc%2Ffull-record%2FWOS:000807616600001","View Full Record in Web of Science")</f>
        <v>View Full Record in Web of Science</v>
      </c>
    </row>
    <row r="36" spans="1:72" x14ac:dyDescent="0.2">
      <c r="A36" t="s">
        <v>72</v>
      </c>
      <c r="B36" t="s">
        <v>870</v>
      </c>
      <c r="C36" t="s">
        <v>74</v>
      </c>
      <c r="D36" t="s">
        <v>74</v>
      </c>
      <c r="E36" t="s">
        <v>74</v>
      </c>
      <c r="F36" t="s">
        <v>871</v>
      </c>
      <c r="G36" t="s">
        <v>74</v>
      </c>
      <c r="H36" t="s">
        <v>74</v>
      </c>
      <c r="I36" t="s">
        <v>872</v>
      </c>
      <c r="J36" t="s">
        <v>873</v>
      </c>
      <c r="K36" t="s">
        <v>74</v>
      </c>
      <c r="L36" t="s">
        <v>74</v>
      </c>
      <c r="M36" t="s">
        <v>78</v>
      </c>
      <c r="N36" t="s">
        <v>79</v>
      </c>
      <c r="O36" t="s">
        <v>74</v>
      </c>
      <c r="P36" t="s">
        <v>74</v>
      </c>
      <c r="Q36" t="s">
        <v>74</v>
      </c>
      <c r="R36" t="s">
        <v>74</v>
      </c>
      <c r="S36" t="s">
        <v>74</v>
      </c>
      <c r="T36" t="s">
        <v>874</v>
      </c>
      <c r="U36" t="s">
        <v>875</v>
      </c>
      <c r="V36" t="s">
        <v>876</v>
      </c>
      <c r="W36" t="s">
        <v>877</v>
      </c>
      <c r="X36" t="s">
        <v>878</v>
      </c>
      <c r="Y36" t="s">
        <v>879</v>
      </c>
      <c r="Z36" t="s">
        <v>880</v>
      </c>
      <c r="AA36" t="s">
        <v>881</v>
      </c>
      <c r="AB36" t="s">
        <v>882</v>
      </c>
      <c r="AC36" t="s">
        <v>74</v>
      </c>
      <c r="AD36" t="s">
        <v>74</v>
      </c>
      <c r="AE36" t="s">
        <v>74</v>
      </c>
      <c r="AF36" t="s">
        <v>74</v>
      </c>
      <c r="AG36">
        <v>222</v>
      </c>
      <c r="AH36">
        <v>16</v>
      </c>
      <c r="AI36">
        <v>16</v>
      </c>
      <c r="AJ36">
        <v>24</v>
      </c>
      <c r="AK36">
        <v>144</v>
      </c>
      <c r="AL36" t="s">
        <v>209</v>
      </c>
      <c r="AM36" t="s">
        <v>210</v>
      </c>
      <c r="AN36" t="s">
        <v>211</v>
      </c>
      <c r="AO36" t="s">
        <v>883</v>
      </c>
      <c r="AP36" t="s">
        <v>884</v>
      </c>
      <c r="AQ36" t="s">
        <v>74</v>
      </c>
      <c r="AR36" t="s">
        <v>885</v>
      </c>
      <c r="AS36" t="s">
        <v>886</v>
      </c>
      <c r="AT36" t="s">
        <v>372</v>
      </c>
      <c r="AU36">
        <v>2022</v>
      </c>
      <c r="AV36">
        <v>243</v>
      </c>
      <c r="AW36" t="s">
        <v>74</v>
      </c>
      <c r="AX36" t="s">
        <v>74</v>
      </c>
      <c r="AY36" t="s">
        <v>74</v>
      </c>
      <c r="AZ36" t="s">
        <v>74</v>
      </c>
      <c r="BA36" t="s">
        <v>74</v>
      </c>
      <c r="BB36" t="s">
        <v>74</v>
      </c>
      <c r="BC36" t="s">
        <v>74</v>
      </c>
      <c r="BD36">
        <v>108340</v>
      </c>
      <c r="BE36" t="s">
        <v>887</v>
      </c>
      <c r="BF36" t="str">
        <f>HYPERLINK("http://dx.doi.org/10.1016/j.ijpe.2021.108340","http://dx.doi.org/10.1016/j.ijpe.2021.108340")</f>
        <v>http://dx.doi.org/10.1016/j.ijpe.2021.108340</v>
      </c>
      <c r="BG36" t="s">
        <v>74</v>
      </c>
      <c r="BH36" t="s">
        <v>267</v>
      </c>
      <c r="BI36">
        <v>19</v>
      </c>
      <c r="BJ36" t="s">
        <v>780</v>
      </c>
      <c r="BK36" t="s">
        <v>98</v>
      </c>
      <c r="BL36" t="s">
        <v>781</v>
      </c>
      <c r="BM36" t="s">
        <v>888</v>
      </c>
      <c r="BN36" t="s">
        <v>74</v>
      </c>
      <c r="BO36" t="s">
        <v>889</v>
      </c>
      <c r="BP36" t="s">
        <v>74</v>
      </c>
      <c r="BQ36" t="s">
        <v>74</v>
      </c>
      <c r="BR36" t="s">
        <v>102</v>
      </c>
      <c r="BS36" t="s">
        <v>890</v>
      </c>
      <c r="BT36" t="str">
        <f>HYPERLINK("https%3A%2F%2Fwww.webofscience.com%2Fwos%2Fwoscc%2Ffull-record%2FWOS:000711561100005","View Full Record in Web of Science")</f>
        <v>View Full Record in Web of Science</v>
      </c>
    </row>
    <row r="37" spans="1:72" x14ac:dyDescent="0.2">
      <c r="A37" t="s">
        <v>72</v>
      </c>
      <c r="B37" t="s">
        <v>891</v>
      </c>
      <c r="C37" t="s">
        <v>74</v>
      </c>
      <c r="D37" t="s">
        <v>74</v>
      </c>
      <c r="E37" t="s">
        <v>74</v>
      </c>
      <c r="F37" t="s">
        <v>892</v>
      </c>
      <c r="G37" t="s">
        <v>74</v>
      </c>
      <c r="H37" t="s">
        <v>74</v>
      </c>
      <c r="I37" t="s">
        <v>893</v>
      </c>
      <c r="J37" t="s">
        <v>894</v>
      </c>
      <c r="K37" t="s">
        <v>74</v>
      </c>
      <c r="L37" t="s">
        <v>74</v>
      </c>
      <c r="M37" t="s">
        <v>78</v>
      </c>
      <c r="N37" t="s">
        <v>108</v>
      </c>
      <c r="O37" t="s">
        <v>74</v>
      </c>
      <c r="P37" t="s">
        <v>74</v>
      </c>
      <c r="Q37" t="s">
        <v>74</v>
      </c>
      <c r="R37" t="s">
        <v>74</v>
      </c>
      <c r="S37" t="s">
        <v>74</v>
      </c>
      <c r="T37" t="s">
        <v>895</v>
      </c>
      <c r="U37" t="s">
        <v>896</v>
      </c>
      <c r="V37" t="s">
        <v>897</v>
      </c>
      <c r="W37" t="s">
        <v>898</v>
      </c>
      <c r="X37" t="s">
        <v>899</v>
      </c>
      <c r="Y37" t="s">
        <v>900</v>
      </c>
      <c r="Z37" t="s">
        <v>901</v>
      </c>
      <c r="AA37" t="s">
        <v>902</v>
      </c>
      <c r="AB37" t="s">
        <v>903</v>
      </c>
      <c r="AC37" t="s">
        <v>74</v>
      </c>
      <c r="AD37" t="s">
        <v>74</v>
      </c>
      <c r="AE37" t="s">
        <v>74</v>
      </c>
      <c r="AF37" t="s">
        <v>74</v>
      </c>
      <c r="AG37">
        <v>147</v>
      </c>
      <c r="AH37">
        <v>17</v>
      </c>
      <c r="AI37">
        <v>17</v>
      </c>
      <c r="AJ37">
        <v>1</v>
      </c>
      <c r="AK37">
        <v>16</v>
      </c>
      <c r="AL37" t="s">
        <v>437</v>
      </c>
      <c r="AM37" t="s">
        <v>438</v>
      </c>
      <c r="AN37" t="s">
        <v>439</v>
      </c>
      <c r="AO37" t="s">
        <v>904</v>
      </c>
      <c r="AP37" t="s">
        <v>905</v>
      </c>
      <c r="AQ37" t="s">
        <v>74</v>
      </c>
      <c r="AR37" t="s">
        <v>906</v>
      </c>
      <c r="AS37" t="s">
        <v>907</v>
      </c>
      <c r="AT37" t="s">
        <v>908</v>
      </c>
      <c r="AU37">
        <v>2022</v>
      </c>
      <c r="AV37">
        <v>71</v>
      </c>
      <c r="AW37">
        <v>1</v>
      </c>
      <c r="AX37" t="s">
        <v>74</v>
      </c>
      <c r="AY37" t="s">
        <v>74</v>
      </c>
      <c r="AZ37" t="s">
        <v>74</v>
      </c>
      <c r="BA37" t="s">
        <v>74</v>
      </c>
      <c r="BB37">
        <v>125</v>
      </c>
      <c r="BC37">
        <v>155</v>
      </c>
      <c r="BD37" t="s">
        <v>74</v>
      </c>
      <c r="BE37" t="s">
        <v>909</v>
      </c>
      <c r="BF37" t="str">
        <f>HYPERLINK("http://dx.doi.org/10.1108/IJPPM-06-2020-0298","http://dx.doi.org/10.1108/IJPPM-06-2020-0298")</f>
        <v>http://dx.doi.org/10.1108/IJPPM-06-2020-0298</v>
      </c>
      <c r="BG37" t="s">
        <v>74</v>
      </c>
      <c r="BH37" t="s">
        <v>910</v>
      </c>
      <c r="BI37">
        <v>31</v>
      </c>
      <c r="BJ37" t="s">
        <v>418</v>
      </c>
      <c r="BK37" t="s">
        <v>124</v>
      </c>
      <c r="BL37" t="s">
        <v>419</v>
      </c>
      <c r="BM37" t="s">
        <v>911</v>
      </c>
      <c r="BN37" t="s">
        <v>74</v>
      </c>
      <c r="BO37" t="s">
        <v>74</v>
      </c>
      <c r="BP37" t="s">
        <v>74</v>
      </c>
      <c r="BQ37" t="s">
        <v>74</v>
      </c>
      <c r="BR37" t="s">
        <v>102</v>
      </c>
      <c r="BS37" t="s">
        <v>912</v>
      </c>
      <c r="BT37" t="str">
        <f>HYPERLINK("https%3A%2F%2Fwww.webofscience.com%2Fwos%2Fwoscc%2Ffull-record%2FWOS:000592701100001","View Full Record in Web of Science")</f>
        <v>View Full Record in Web of Science</v>
      </c>
    </row>
    <row r="38" spans="1:72" x14ac:dyDescent="0.2">
      <c r="A38" t="s">
        <v>72</v>
      </c>
      <c r="B38" t="s">
        <v>913</v>
      </c>
      <c r="C38" t="s">
        <v>74</v>
      </c>
      <c r="D38" t="s">
        <v>74</v>
      </c>
      <c r="E38" t="s">
        <v>74</v>
      </c>
      <c r="F38" t="s">
        <v>914</v>
      </c>
      <c r="G38" t="s">
        <v>74</v>
      </c>
      <c r="H38" t="s">
        <v>74</v>
      </c>
      <c r="I38" t="s">
        <v>915</v>
      </c>
      <c r="J38" t="s">
        <v>916</v>
      </c>
      <c r="K38" t="s">
        <v>74</v>
      </c>
      <c r="L38" t="s">
        <v>74</v>
      </c>
      <c r="M38" t="s">
        <v>78</v>
      </c>
      <c r="N38" t="s">
        <v>917</v>
      </c>
      <c r="O38" t="s">
        <v>74</v>
      </c>
      <c r="P38" t="s">
        <v>74</v>
      </c>
      <c r="Q38" t="s">
        <v>74</v>
      </c>
      <c r="R38" t="s">
        <v>74</v>
      </c>
      <c r="S38" t="s">
        <v>74</v>
      </c>
      <c r="T38" t="s">
        <v>918</v>
      </c>
      <c r="U38" t="s">
        <v>919</v>
      </c>
      <c r="V38" t="s">
        <v>920</v>
      </c>
      <c r="W38" t="s">
        <v>921</v>
      </c>
      <c r="X38" t="s">
        <v>561</v>
      </c>
      <c r="Y38" t="s">
        <v>922</v>
      </c>
      <c r="Z38" t="s">
        <v>923</v>
      </c>
      <c r="AA38" t="s">
        <v>74</v>
      </c>
      <c r="AB38" t="s">
        <v>74</v>
      </c>
      <c r="AC38" t="s">
        <v>74</v>
      </c>
      <c r="AD38" t="s">
        <v>74</v>
      </c>
      <c r="AE38" t="s">
        <v>74</v>
      </c>
      <c r="AF38" t="s">
        <v>74</v>
      </c>
      <c r="AG38">
        <v>78</v>
      </c>
      <c r="AH38">
        <v>2</v>
      </c>
      <c r="AI38">
        <v>2</v>
      </c>
      <c r="AJ38">
        <v>10</v>
      </c>
      <c r="AK38">
        <v>10</v>
      </c>
      <c r="AL38" t="s">
        <v>437</v>
      </c>
      <c r="AM38" t="s">
        <v>438</v>
      </c>
      <c r="AN38" t="s">
        <v>439</v>
      </c>
      <c r="AO38" t="s">
        <v>924</v>
      </c>
      <c r="AP38" t="s">
        <v>925</v>
      </c>
      <c r="AQ38" t="s">
        <v>74</v>
      </c>
      <c r="AR38" t="s">
        <v>926</v>
      </c>
      <c r="AS38" t="s">
        <v>927</v>
      </c>
      <c r="AT38" t="s">
        <v>928</v>
      </c>
      <c r="AU38">
        <v>2023</v>
      </c>
      <c r="AV38" t="s">
        <v>74</v>
      </c>
      <c r="AW38" t="s">
        <v>74</v>
      </c>
      <c r="AX38" t="s">
        <v>74</v>
      </c>
      <c r="AY38" t="s">
        <v>74</v>
      </c>
      <c r="AZ38" t="s">
        <v>74</v>
      </c>
      <c r="BA38" t="s">
        <v>74</v>
      </c>
      <c r="BB38" t="s">
        <v>74</v>
      </c>
      <c r="BC38" t="s">
        <v>74</v>
      </c>
      <c r="BD38" t="s">
        <v>74</v>
      </c>
      <c r="BE38" t="s">
        <v>929</v>
      </c>
      <c r="BF38" t="str">
        <f>HYPERLINK("http://dx.doi.org/10.1108/JBIM-02-2023-0122","http://dx.doi.org/10.1108/JBIM-02-2023-0122")</f>
        <v>http://dx.doi.org/10.1108/JBIM-02-2023-0122</v>
      </c>
      <c r="BG38" t="s">
        <v>74</v>
      </c>
      <c r="BH38" t="s">
        <v>930</v>
      </c>
      <c r="BI38">
        <v>21</v>
      </c>
      <c r="BJ38" t="s">
        <v>931</v>
      </c>
      <c r="BK38" t="s">
        <v>242</v>
      </c>
      <c r="BL38" t="s">
        <v>419</v>
      </c>
      <c r="BM38" t="s">
        <v>932</v>
      </c>
      <c r="BN38" t="s">
        <v>74</v>
      </c>
      <c r="BO38" t="s">
        <v>74</v>
      </c>
      <c r="BP38" t="s">
        <v>74</v>
      </c>
      <c r="BQ38" t="s">
        <v>74</v>
      </c>
      <c r="BR38" t="s">
        <v>102</v>
      </c>
      <c r="BS38" t="s">
        <v>933</v>
      </c>
      <c r="BT38" t="str">
        <f>HYPERLINK("https%3A%2F%2Fwww.webofscience.com%2Fwos%2Fwoscc%2Ffull-record%2FWOS:000987700500001","View Full Record in Web of Science")</f>
        <v>View Full Record in Web of Science</v>
      </c>
    </row>
    <row r="39" spans="1:72" x14ac:dyDescent="0.2">
      <c r="A39" t="s">
        <v>72</v>
      </c>
      <c r="B39" t="s">
        <v>934</v>
      </c>
      <c r="C39" t="s">
        <v>74</v>
      </c>
      <c r="D39" t="s">
        <v>74</v>
      </c>
      <c r="E39" t="s">
        <v>74</v>
      </c>
      <c r="F39" t="s">
        <v>935</v>
      </c>
      <c r="G39" t="s">
        <v>74</v>
      </c>
      <c r="H39" t="s">
        <v>74</v>
      </c>
      <c r="I39" t="s">
        <v>936</v>
      </c>
      <c r="J39" t="s">
        <v>937</v>
      </c>
      <c r="K39" t="s">
        <v>74</v>
      </c>
      <c r="L39" t="s">
        <v>74</v>
      </c>
      <c r="M39" t="s">
        <v>78</v>
      </c>
      <c r="N39" t="s">
        <v>108</v>
      </c>
      <c r="O39" t="s">
        <v>74</v>
      </c>
      <c r="P39" t="s">
        <v>74</v>
      </c>
      <c r="Q39" t="s">
        <v>74</v>
      </c>
      <c r="R39" t="s">
        <v>74</v>
      </c>
      <c r="S39" t="s">
        <v>74</v>
      </c>
      <c r="T39" t="s">
        <v>74</v>
      </c>
      <c r="U39" t="s">
        <v>74</v>
      </c>
      <c r="V39" t="s">
        <v>938</v>
      </c>
      <c r="W39" t="s">
        <v>939</v>
      </c>
      <c r="X39" t="s">
        <v>940</v>
      </c>
      <c r="Y39" t="s">
        <v>941</v>
      </c>
      <c r="Z39" t="s">
        <v>942</v>
      </c>
      <c r="AA39" t="s">
        <v>943</v>
      </c>
      <c r="AB39" t="s">
        <v>944</v>
      </c>
      <c r="AC39" t="s">
        <v>945</v>
      </c>
      <c r="AD39" t="s">
        <v>946</v>
      </c>
      <c r="AE39" t="s">
        <v>947</v>
      </c>
      <c r="AF39" t="s">
        <v>74</v>
      </c>
      <c r="AG39">
        <v>25</v>
      </c>
      <c r="AH39">
        <v>121</v>
      </c>
      <c r="AI39">
        <v>123</v>
      </c>
      <c r="AJ39">
        <v>5</v>
      </c>
      <c r="AK39">
        <v>64</v>
      </c>
      <c r="AL39" t="s">
        <v>948</v>
      </c>
      <c r="AM39" t="s">
        <v>949</v>
      </c>
      <c r="AN39" t="s">
        <v>950</v>
      </c>
      <c r="AO39" t="s">
        <v>951</v>
      </c>
      <c r="AP39" t="s">
        <v>74</v>
      </c>
      <c r="AQ39" t="s">
        <v>74</v>
      </c>
      <c r="AR39" t="s">
        <v>937</v>
      </c>
      <c r="AS39" t="s">
        <v>952</v>
      </c>
      <c r="AT39" t="s">
        <v>953</v>
      </c>
      <c r="AU39">
        <v>2020</v>
      </c>
      <c r="AV39">
        <v>15</v>
      </c>
      <c r="AW39">
        <v>9</v>
      </c>
      <c r="AX39" t="s">
        <v>74</v>
      </c>
      <c r="AY39" t="s">
        <v>74</v>
      </c>
      <c r="AZ39" t="s">
        <v>74</v>
      </c>
      <c r="BA39" t="s">
        <v>74</v>
      </c>
      <c r="BB39" t="s">
        <v>74</v>
      </c>
      <c r="BC39" t="s">
        <v>74</v>
      </c>
      <c r="BD39" t="s">
        <v>954</v>
      </c>
      <c r="BE39" t="s">
        <v>955</v>
      </c>
      <c r="BF39" t="str">
        <f>HYPERLINK("http://dx.doi.org/10.1371/journal.pone.0239441","http://dx.doi.org/10.1371/journal.pone.0239441")</f>
        <v>http://dx.doi.org/10.1371/journal.pone.0239441</v>
      </c>
      <c r="BG39" t="s">
        <v>74</v>
      </c>
      <c r="BH39" t="s">
        <v>74</v>
      </c>
      <c r="BI39">
        <v>12</v>
      </c>
      <c r="BJ39" t="s">
        <v>620</v>
      </c>
      <c r="BK39" t="s">
        <v>98</v>
      </c>
      <c r="BL39" t="s">
        <v>621</v>
      </c>
      <c r="BM39" t="s">
        <v>956</v>
      </c>
      <c r="BN39">
        <v>32976519</v>
      </c>
      <c r="BO39" t="s">
        <v>957</v>
      </c>
      <c r="BP39" t="s">
        <v>74</v>
      </c>
      <c r="BQ39" t="s">
        <v>74</v>
      </c>
      <c r="BR39" t="s">
        <v>102</v>
      </c>
      <c r="BS39" t="s">
        <v>958</v>
      </c>
      <c r="BT39" t="str">
        <f>HYPERLINK("https%3A%2F%2Fwww.webofscience.com%2Fwos%2Fwoscc%2Ffull-record%2FWOS:000576266600002","View Full Record in Web of Science")</f>
        <v>View Full Record in Web of Science</v>
      </c>
    </row>
    <row r="40" spans="1:72" x14ac:dyDescent="0.2">
      <c r="A40" t="s">
        <v>72</v>
      </c>
      <c r="B40" t="s">
        <v>959</v>
      </c>
      <c r="C40" t="s">
        <v>74</v>
      </c>
      <c r="D40" t="s">
        <v>74</v>
      </c>
      <c r="E40" t="s">
        <v>74</v>
      </c>
      <c r="F40" t="s">
        <v>960</v>
      </c>
      <c r="G40" t="s">
        <v>74</v>
      </c>
      <c r="H40" t="s">
        <v>74</v>
      </c>
      <c r="I40" t="s">
        <v>961</v>
      </c>
      <c r="J40" t="s">
        <v>131</v>
      </c>
      <c r="K40" t="s">
        <v>74</v>
      </c>
      <c r="L40" t="s">
        <v>74</v>
      </c>
      <c r="M40" t="s">
        <v>78</v>
      </c>
      <c r="N40" t="s">
        <v>79</v>
      </c>
      <c r="O40" t="s">
        <v>74</v>
      </c>
      <c r="P40" t="s">
        <v>74</v>
      </c>
      <c r="Q40" t="s">
        <v>74</v>
      </c>
      <c r="R40" t="s">
        <v>74</v>
      </c>
      <c r="S40" t="s">
        <v>74</v>
      </c>
      <c r="T40" t="s">
        <v>962</v>
      </c>
      <c r="U40" t="s">
        <v>963</v>
      </c>
      <c r="V40" t="s">
        <v>964</v>
      </c>
      <c r="W40" t="s">
        <v>965</v>
      </c>
      <c r="X40" t="s">
        <v>966</v>
      </c>
      <c r="Y40" t="s">
        <v>967</v>
      </c>
      <c r="Z40" t="s">
        <v>968</v>
      </c>
      <c r="AA40" t="s">
        <v>74</v>
      </c>
      <c r="AB40" t="s">
        <v>969</v>
      </c>
      <c r="AC40" t="s">
        <v>74</v>
      </c>
      <c r="AD40" t="s">
        <v>74</v>
      </c>
      <c r="AE40" t="s">
        <v>74</v>
      </c>
      <c r="AF40" t="s">
        <v>74</v>
      </c>
      <c r="AG40">
        <v>168</v>
      </c>
      <c r="AH40">
        <v>1</v>
      </c>
      <c r="AI40">
        <v>1</v>
      </c>
      <c r="AJ40">
        <v>10</v>
      </c>
      <c r="AK40">
        <v>23</v>
      </c>
      <c r="AL40" t="s">
        <v>116</v>
      </c>
      <c r="AM40" t="s">
        <v>117</v>
      </c>
      <c r="AN40" t="s">
        <v>118</v>
      </c>
      <c r="AO40" t="s">
        <v>74</v>
      </c>
      <c r="AP40" t="s">
        <v>142</v>
      </c>
      <c r="AQ40" t="s">
        <v>74</v>
      </c>
      <c r="AR40" t="s">
        <v>143</v>
      </c>
      <c r="AS40" t="s">
        <v>144</v>
      </c>
      <c r="AT40" t="s">
        <v>216</v>
      </c>
      <c r="AU40">
        <v>2022</v>
      </c>
      <c r="AV40">
        <v>14</v>
      </c>
      <c r="AW40">
        <v>23</v>
      </c>
      <c r="AX40" t="s">
        <v>74</v>
      </c>
      <c r="AY40" t="s">
        <v>74</v>
      </c>
      <c r="AZ40" t="s">
        <v>74</v>
      </c>
      <c r="BA40" t="s">
        <v>74</v>
      </c>
      <c r="BB40" t="s">
        <v>74</v>
      </c>
      <c r="BC40" t="s">
        <v>74</v>
      </c>
      <c r="BD40">
        <v>15943</v>
      </c>
      <c r="BE40" t="s">
        <v>970</v>
      </c>
      <c r="BF40" t="str">
        <f>HYPERLINK("http://dx.doi.org/10.3390/su142315943","http://dx.doi.org/10.3390/su142315943")</f>
        <v>http://dx.doi.org/10.3390/su142315943</v>
      </c>
      <c r="BG40" t="s">
        <v>74</v>
      </c>
      <c r="BH40" t="s">
        <v>74</v>
      </c>
      <c r="BI40">
        <v>33</v>
      </c>
      <c r="BJ40" t="s">
        <v>146</v>
      </c>
      <c r="BK40" t="s">
        <v>147</v>
      </c>
      <c r="BL40" t="s">
        <v>148</v>
      </c>
      <c r="BM40" t="s">
        <v>971</v>
      </c>
      <c r="BN40" t="s">
        <v>74</v>
      </c>
      <c r="BO40" t="s">
        <v>126</v>
      </c>
      <c r="BP40" t="s">
        <v>74</v>
      </c>
      <c r="BQ40" t="s">
        <v>74</v>
      </c>
      <c r="BR40" t="s">
        <v>102</v>
      </c>
      <c r="BS40" t="s">
        <v>972</v>
      </c>
      <c r="BT40" t="str">
        <f>HYPERLINK("https%3A%2F%2Fwww.webofscience.com%2Fwos%2Fwoscc%2Ffull-record%2FWOS:000897617700001","View Full Record in Web of Science")</f>
        <v>View Full Record in Web of Science</v>
      </c>
    </row>
    <row r="41" spans="1:72" x14ac:dyDescent="0.2">
      <c r="A41" t="s">
        <v>72</v>
      </c>
      <c r="B41" t="s">
        <v>973</v>
      </c>
      <c r="C41" t="s">
        <v>74</v>
      </c>
      <c r="D41" t="s">
        <v>74</v>
      </c>
      <c r="E41" t="s">
        <v>74</v>
      </c>
      <c r="F41" t="s">
        <v>974</v>
      </c>
      <c r="G41" t="s">
        <v>74</v>
      </c>
      <c r="H41" t="s">
        <v>74</v>
      </c>
      <c r="I41" t="s">
        <v>975</v>
      </c>
      <c r="J41" t="s">
        <v>976</v>
      </c>
      <c r="K41" t="s">
        <v>74</v>
      </c>
      <c r="L41" t="s">
        <v>74</v>
      </c>
      <c r="M41" t="s">
        <v>78</v>
      </c>
      <c r="N41" t="s">
        <v>108</v>
      </c>
      <c r="O41" t="s">
        <v>74</v>
      </c>
      <c r="P41" t="s">
        <v>74</v>
      </c>
      <c r="Q41" t="s">
        <v>74</v>
      </c>
      <c r="R41" t="s">
        <v>74</v>
      </c>
      <c r="S41" t="s">
        <v>74</v>
      </c>
      <c r="T41" t="s">
        <v>977</v>
      </c>
      <c r="U41" t="s">
        <v>978</v>
      </c>
      <c r="V41" t="s">
        <v>979</v>
      </c>
      <c r="W41" t="s">
        <v>980</v>
      </c>
      <c r="X41" t="s">
        <v>981</v>
      </c>
      <c r="Y41" t="s">
        <v>982</v>
      </c>
      <c r="Z41" t="s">
        <v>983</v>
      </c>
      <c r="AA41" t="s">
        <v>984</v>
      </c>
      <c r="AB41" t="s">
        <v>985</v>
      </c>
      <c r="AC41" t="s">
        <v>986</v>
      </c>
      <c r="AD41" t="s">
        <v>987</v>
      </c>
      <c r="AE41" t="s">
        <v>988</v>
      </c>
      <c r="AF41" t="s">
        <v>74</v>
      </c>
      <c r="AG41">
        <v>59</v>
      </c>
      <c r="AH41">
        <v>18</v>
      </c>
      <c r="AI41">
        <v>18</v>
      </c>
      <c r="AJ41">
        <v>15</v>
      </c>
      <c r="AK41">
        <v>113</v>
      </c>
      <c r="AL41" t="s">
        <v>259</v>
      </c>
      <c r="AM41" t="s">
        <v>260</v>
      </c>
      <c r="AN41" t="s">
        <v>261</v>
      </c>
      <c r="AO41" t="s">
        <v>989</v>
      </c>
      <c r="AP41" t="s">
        <v>990</v>
      </c>
      <c r="AQ41" t="s">
        <v>74</v>
      </c>
      <c r="AR41" t="s">
        <v>991</v>
      </c>
      <c r="AS41" t="s">
        <v>992</v>
      </c>
      <c r="AT41" t="s">
        <v>993</v>
      </c>
      <c r="AU41">
        <v>2019</v>
      </c>
      <c r="AV41">
        <v>239</v>
      </c>
      <c r="AW41" t="s">
        <v>74</v>
      </c>
      <c r="AX41" t="s">
        <v>74</v>
      </c>
      <c r="AY41" t="s">
        <v>74</v>
      </c>
      <c r="AZ41" t="s">
        <v>74</v>
      </c>
      <c r="BA41" t="s">
        <v>74</v>
      </c>
      <c r="BB41" t="s">
        <v>74</v>
      </c>
      <c r="BC41" t="s">
        <v>74</v>
      </c>
      <c r="BD41">
        <v>117977</v>
      </c>
      <c r="BE41" t="s">
        <v>994</v>
      </c>
      <c r="BF41" t="str">
        <f>HYPERLINK("http://dx.doi.org/10.1016/j.jclepro.2019.117977","http://dx.doi.org/10.1016/j.jclepro.2019.117977")</f>
        <v>http://dx.doi.org/10.1016/j.jclepro.2019.117977</v>
      </c>
      <c r="BG41" t="s">
        <v>74</v>
      </c>
      <c r="BH41" t="s">
        <v>74</v>
      </c>
      <c r="BI41">
        <v>12</v>
      </c>
      <c r="BJ41" t="s">
        <v>995</v>
      </c>
      <c r="BK41" t="s">
        <v>147</v>
      </c>
      <c r="BL41" t="s">
        <v>996</v>
      </c>
      <c r="BM41" t="s">
        <v>997</v>
      </c>
      <c r="BN41" t="s">
        <v>74</v>
      </c>
      <c r="BO41" t="s">
        <v>74</v>
      </c>
      <c r="BP41" t="s">
        <v>74</v>
      </c>
      <c r="BQ41" t="s">
        <v>74</v>
      </c>
      <c r="BR41" t="s">
        <v>102</v>
      </c>
      <c r="BS41" t="s">
        <v>998</v>
      </c>
      <c r="BT41" t="str">
        <f>HYPERLINK("https%3A%2F%2Fwww.webofscience.com%2Fwos%2Fwoscc%2Ffull-record%2FWOS:000487237100122","View Full Record in Web of Science")</f>
        <v>View Full Record in Web of Science</v>
      </c>
    </row>
    <row r="42" spans="1:72" x14ac:dyDescent="0.2">
      <c r="A42" t="s">
        <v>72</v>
      </c>
      <c r="B42" t="s">
        <v>999</v>
      </c>
      <c r="C42" t="s">
        <v>74</v>
      </c>
      <c r="D42" t="s">
        <v>74</v>
      </c>
      <c r="E42" t="s">
        <v>74</v>
      </c>
      <c r="F42" t="s">
        <v>1000</v>
      </c>
      <c r="G42" t="s">
        <v>74</v>
      </c>
      <c r="H42" t="s">
        <v>74</v>
      </c>
      <c r="I42" t="s">
        <v>1001</v>
      </c>
      <c r="J42" t="s">
        <v>1002</v>
      </c>
      <c r="K42" t="s">
        <v>74</v>
      </c>
      <c r="L42" t="s">
        <v>74</v>
      </c>
      <c r="M42" t="s">
        <v>78</v>
      </c>
      <c r="N42" t="s">
        <v>108</v>
      </c>
      <c r="O42" t="s">
        <v>74</v>
      </c>
      <c r="P42" t="s">
        <v>74</v>
      </c>
      <c r="Q42" t="s">
        <v>74</v>
      </c>
      <c r="R42" t="s">
        <v>74</v>
      </c>
      <c r="S42" t="s">
        <v>74</v>
      </c>
      <c r="T42" t="s">
        <v>1003</v>
      </c>
      <c r="U42" t="s">
        <v>74</v>
      </c>
      <c r="V42" t="s">
        <v>1004</v>
      </c>
      <c r="W42" t="s">
        <v>1005</v>
      </c>
      <c r="X42" t="s">
        <v>1006</v>
      </c>
      <c r="Y42" t="s">
        <v>1007</v>
      </c>
      <c r="Z42" t="s">
        <v>1008</v>
      </c>
      <c r="AA42" t="s">
        <v>1009</v>
      </c>
      <c r="AB42" t="s">
        <v>1010</v>
      </c>
      <c r="AC42" t="s">
        <v>74</v>
      </c>
      <c r="AD42" t="s">
        <v>74</v>
      </c>
      <c r="AE42" t="s">
        <v>74</v>
      </c>
      <c r="AF42" t="s">
        <v>74</v>
      </c>
      <c r="AG42">
        <v>59</v>
      </c>
      <c r="AH42">
        <v>2</v>
      </c>
      <c r="AI42">
        <v>2</v>
      </c>
      <c r="AJ42">
        <v>3</v>
      </c>
      <c r="AK42">
        <v>15</v>
      </c>
      <c r="AL42" t="s">
        <v>1011</v>
      </c>
      <c r="AM42" t="s">
        <v>260</v>
      </c>
      <c r="AN42" t="s">
        <v>1012</v>
      </c>
      <c r="AO42" t="s">
        <v>1013</v>
      </c>
      <c r="AP42" t="s">
        <v>1014</v>
      </c>
      <c r="AQ42" t="s">
        <v>74</v>
      </c>
      <c r="AR42" t="s">
        <v>1015</v>
      </c>
      <c r="AS42" t="s">
        <v>1016</v>
      </c>
      <c r="AT42" t="s">
        <v>394</v>
      </c>
      <c r="AU42">
        <v>2022</v>
      </c>
      <c r="AV42">
        <v>120</v>
      </c>
      <c r="AW42" t="s">
        <v>74</v>
      </c>
      <c r="AX42" t="s">
        <v>74</v>
      </c>
      <c r="AY42" t="s">
        <v>74</v>
      </c>
      <c r="AZ42" t="s">
        <v>74</v>
      </c>
      <c r="BA42" t="s">
        <v>74</v>
      </c>
      <c r="BB42" t="s">
        <v>74</v>
      </c>
      <c r="BC42" t="s">
        <v>74</v>
      </c>
      <c r="BD42">
        <v>102821</v>
      </c>
      <c r="BE42" t="s">
        <v>1017</v>
      </c>
      <c r="BF42" t="str">
        <f>HYPERLINK("http://dx.doi.org/10.1016/j.cose.2022.102821","http://dx.doi.org/10.1016/j.cose.2022.102821")</f>
        <v>http://dx.doi.org/10.1016/j.cose.2022.102821</v>
      </c>
      <c r="BG42" t="s">
        <v>74</v>
      </c>
      <c r="BH42" t="s">
        <v>698</v>
      </c>
      <c r="BI42">
        <v>10</v>
      </c>
      <c r="BJ42" t="s">
        <v>123</v>
      </c>
      <c r="BK42" t="s">
        <v>98</v>
      </c>
      <c r="BL42" t="s">
        <v>99</v>
      </c>
      <c r="BM42" t="s">
        <v>1018</v>
      </c>
      <c r="BN42">
        <v>35813991</v>
      </c>
      <c r="BO42" t="s">
        <v>1019</v>
      </c>
      <c r="BP42" t="s">
        <v>74</v>
      </c>
      <c r="BQ42" t="s">
        <v>74</v>
      </c>
      <c r="BR42" t="s">
        <v>102</v>
      </c>
      <c r="BS42" t="s">
        <v>1020</v>
      </c>
      <c r="BT42" t="str">
        <f>HYPERLINK("https%3A%2F%2Fwww.webofscience.com%2Fwos%2Fwoscc%2Ffull-record%2FWOS:000888181200002","View Full Record in Web of Science")</f>
        <v>View Full Record in Web of Science</v>
      </c>
    </row>
    <row r="43" spans="1:72" x14ac:dyDescent="0.2">
      <c r="A43" t="s">
        <v>72</v>
      </c>
      <c r="B43" t="s">
        <v>1021</v>
      </c>
      <c r="C43" t="s">
        <v>74</v>
      </c>
      <c r="D43" t="s">
        <v>74</v>
      </c>
      <c r="E43" t="s">
        <v>74</v>
      </c>
      <c r="F43" t="s">
        <v>1022</v>
      </c>
      <c r="G43" t="s">
        <v>74</v>
      </c>
      <c r="H43" t="s">
        <v>74</v>
      </c>
      <c r="I43" t="s">
        <v>1023</v>
      </c>
      <c r="J43" t="s">
        <v>131</v>
      </c>
      <c r="K43" t="s">
        <v>74</v>
      </c>
      <c r="L43" t="s">
        <v>74</v>
      </c>
      <c r="M43" t="s">
        <v>78</v>
      </c>
      <c r="N43" t="s">
        <v>108</v>
      </c>
      <c r="O43" t="s">
        <v>74</v>
      </c>
      <c r="P43" t="s">
        <v>74</v>
      </c>
      <c r="Q43" t="s">
        <v>74</v>
      </c>
      <c r="R43" t="s">
        <v>74</v>
      </c>
      <c r="S43" t="s">
        <v>74</v>
      </c>
      <c r="T43" t="s">
        <v>1024</v>
      </c>
      <c r="U43" t="s">
        <v>1025</v>
      </c>
      <c r="V43" t="s">
        <v>1026</v>
      </c>
      <c r="W43" t="s">
        <v>1027</v>
      </c>
      <c r="X43" t="s">
        <v>1028</v>
      </c>
      <c r="Y43" t="s">
        <v>1029</v>
      </c>
      <c r="Z43" t="s">
        <v>1030</v>
      </c>
      <c r="AA43" t="s">
        <v>1031</v>
      </c>
      <c r="AB43" t="s">
        <v>1032</v>
      </c>
      <c r="AC43" t="s">
        <v>74</v>
      </c>
      <c r="AD43" t="s">
        <v>74</v>
      </c>
      <c r="AE43" t="s">
        <v>74</v>
      </c>
      <c r="AF43" t="s">
        <v>74</v>
      </c>
      <c r="AG43">
        <v>65</v>
      </c>
      <c r="AH43">
        <v>3</v>
      </c>
      <c r="AI43">
        <v>3</v>
      </c>
      <c r="AJ43">
        <v>10</v>
      </c>
      <c r="AK43">
        <v>10</v>
      </c>
      <c r="AL43" t="s">
        <v>116</v>
      </c>
      <c r="AM43" t="s">
        <v>117</v>
      </c>
      <c r="AN43" t="s">
        <v>118</v>
      </c>
      <c r="AO43" t="s">
        <v>74</v>
      </c>
      <c r="AP43" t="s">
        <v>142</v>
      </c>
      <c r="AQ43" t="s">
        <v>74</v>
      </c>
      <c r="AR43" t="s">
        <v>143</v>
      </c>
      <c r="AS43" t="s">
        <v>144</v>
      </c>
      <c r="AT43" t="s">
        <v>1033</v>
      </c>
      <c r="AU43">
        <v>2023</v>
      </c>
      <c r="AV43">
        <v>15</v>
      </c>
      <c r="AW43">
        <v>9</v>
      </c>
      <c r="AX43" t="s">
        <v>74</v>
      </c>
      <c r="AY43" t="s">
        <v>74</v>
      </c>
      <c r="AZ43" t="s">
        <v>74</v>
      </c>
      <c r="BA43" t="s">
        <v>74</v>
      </c>
      <c r="BB43" t="s">
        <v>74</v>
      </c>
      <c r="BC43" t="s">
        <v>74</v>
      </c>
      <c r="BD43">
        <v>7496</v>
      </c>
      <c r="BE43" t="s">
        <v>1034</v>
      </c>
      <c r="BF43" t="str">
        <f>HYPERLINK("http://dx.doi.org/10.3390/su15097496","http://dx.doi.org/10.3390/su15097496")</f>
        <v>http://dx.doi.org/10.3390/su15097496</v>
      </c>
      <c r="BG43" t="s">
        <v>74</v>
      </c>
      <c r="BH43" t="s">
        <v>74</v>
      </c>
      <c r="BI43">
        <v>23</v>
      </c>
      <c r="BJ43" t="s">
        <v>146</v>
      </c>
      <c r="BK43" t="s">
        <v>147</v>
      </c>
      <c r="BL43" t="s">
        <v>148</v>
      </c>
      <c r="BM43" t="s">
        <v>1035</v>
      </c>
      <c r="BN43" t="s">
        <v>74</v>
      </c>
      <c r="BO43" t="s">
        <v>126</v>
      </c>
      <c r="BP43" t="s">
        <v>74</v>
      </c>
      <c r="BQ43" t="s">
        <v>74</v>
      </c>
      <c r="BR43" t="s">
        <v>102</v>
      </c>
      <c r="BS43" t="s">
        <v>1036</v>
      </c>
      <c r="BT43" t="str">
        <f>HYPERLINK("https%3A%2F%2Fwww.webofscience.com%2Fwos%2Fwoscc%2Ffull-record%2FWOS:000987794900001","View Full Record in Web of Science")</f>
        <v>View Full Record in Web of Science</v>
      </c>
    </row>
    <row r="44" spans="1:72" x14ac:dyDescent="0.2">
      <c r="A44" t="s">
        <v>72</v>
      </c>
      <c r="B44" t="s">
        <v>1037</v>
      </c>
      <c r="C44" t="s">
        <v>74</v>
      </c>
      <c r="D44" t="s">
        <v>74</v>
      </c>
      <c r="E44" t="s">
        <v>74</v>
      </c>
      <c r="F44" t="s">
        <v>1038</v>
      </c>
      <c r="G44" t="s">
        <v>74</v>
      </c>
      <c r="H44" t="s">
        <v>74</v>
      </c>
      <c r="I44" t="s">
        <v>1039</v>
      </c>
      <c r="J44" t="s">
        <v>1040</v>
      </c>
      <c r="K44" t="s">
        <v>74</v>
      </c>
      <c r="L44" t="s">
        <v>74</v>
      </c>
      <c r="M44" t="s">
        <v>78</v>
      </c>
      <c r="N44" t="s">
        <v>108</v>
      </c>
      <c r="O44" t="s">
        <v>74</v>
      </c>
      <c r="P44" t="s">
        <v>74</v>
      </c>
      <c r="Q44" t="s">
        <v>74</v>
      </c>
      <c r="R44" t="s">
        <v>74</v>
      </c>
      <c r="S44" t="s">
        <v>74</v>
      </c>
      <c r="T44" t="s">
        <v>74</v>
      </c>
      <c r="U44" t="s">
        <v>1041</v>
      </c>
      <c r="V44" t="s">
        <v>1042</v>
      </c>
      <c r="W44" t="s">
        <v>1043</v>
      </c>
      <c r="X44" t="s">
        <v>1044</v>
      </c>
      <c r="Y44" t="s">
        <v>1045</v>
      </c>
      <c r="Z44" t="s">
        <v>1046</v>
      </c>
      <c r="AA44" t="s">
        <v>74</v>
      </c>
      <c r="AB44" t="s">
        <v>74</v>
      </c>
      <c r="AC44" t="s">
        <v>74</v>
      </c>
      <c r="AD44" t="s">
        <v>74</v>
      </c>
      <c r="AE44" t="s">
        <v>74</v>
      </c>
      <c r="AF44" t="s">
        <v>74</v>
      </c>
      <c r="AG44">
        <v>68</v>
      </c>
      <c r="AH44">
        <v>2</v>
      </c>
      <c r="AI44">
        <v>2</v>
      </c>
      <c r="AJ44">
        <v>7</v>
      </c>
      <c r="AK44">
        <v>17</v>
      </c>
      <c r="AL44" t="s">
        <v>1047</v>
      </c>
      <c r="AM44" t="s">
        <v>1048</v>
      </c>
      <c r="AN44" t="s">
        <v>1049</v>
      </c>
      <c r="AO44" t="s">
        <v>1050</v>
      </c>
      <c r="AP44" t="s">
        <v>1051</v>
      </c>
      <c r="AQ44" t="s">
        <v>74</v>
      </c>
      <c r="AR44" t="s">
        <v>1052</v>
      </c>
      <c r="AS44" t="s">
        <v>1053</v>
      </c>
      <c r="AT44" t="s">
        <v>1054</v>
      </c>
      <c r="AU44">
        <v>2021</v>
      </c>
      <c r="AV44">
        <v>35</v>
      </c>
      <c r="AW44">
        <v>12</v>
      </c>
      <c r="AX44" t="s">
        <v>74</v>
      </c>
      <c r="AY44" t="s">
        <v>74</v>
      </c>
      <c r="AZ44" t="s">
        <v>74</v>
      </c>
      <c r="BA44" t="s">
        <v>74</v>
      </c>
      <c r="BB44">
        <v>857</v>
      </c>
      <c r="BC44">
        <v>875</v>
      </c>
      <c r="BD44" t="s">
        <v>74</v>
      </c>
      <c r="BE44" t="s">
        <v>1055</v>
      </c>
      <c r="BF44" t="str">
        <f>HYPERLINK("http://dx.doi.org/10.1080/08839514.2021.1936423","http://dx.doi.org/10.1080/08839514.2021.1936423")</f>
        <v>http://dx.doi.org/10.1080/08839514.2021.1936423</v>
      </c>
      <c r="BG44" t="s">
        <v>74</v>
      </c>
      <c r="BH44" t="s">
        <v>1056</v>
      </c>
      <c r="BI44">
        <v>19</v>
      </c>
      <c r="BJ44" t="s">
        <v>1057</v>
      </c>
      <c r="BK44" t="s">
        <v>147</v>
      </c>
      <c r="BL44" t="s">
        <v>269</v>
      </c>
      <c r="BM44" t="s">
        <v>1058</v>
      </c>
      <c r="BN44" t="s">
        <v>74</v>
      </c>
      <c r="BO44" t="s">
        <v>804</v>
      </c>
      <c r="BP44" t="s">
        <v>74</v>
      </c>
      <c r="BQ44" t="s">
        <v>74</v>
      </c>
      <c r="BR44" t="s">
        <v>102</v>
      </c>
      <c r="BS44" t="s">
        <v>1059</v>
      </c>
      <c r="BT44" t="str">
        <f>HYPERLINK("https%3A%2F%2Fwww.webofscience.com%2Fwos%2Fwoscc%2Ffull-record%2FWOS:000674800400001","View Full Record in Web of Science")</f>
        <v>View Full Record in Web of Science</v>
      </c>
    </row>
    <row r="45" spans="1:72" x14ac:dyDescent="0.2">
      <c r="A45" t="s">
        <v>72</v>
      </c>
      <c r="B45" t="s">
        <v>1060</v>
      </c>
      <c r="C45" t="s">
        <v>74</v>
      </c>
      <c r="D45" t="s">
        <v>74</v>
      </c>
      <c r="E45" t="s">
        <v>74</v>
      </c>
      <c r="F45" t="s">
        <v>1061</v>
      </c>
      <c r="G45" t="s">
        <v>74</v>
      </c>
      <c r="H45" t="s">
        <v>74</v>
      </c>
      <c r="I45" t="s">
        <v>1062</v>
      </c>
      <c r="J45" t="s">
        <v>976</v>
      </c>
      <c r="K45" t="s">
        <v>74</v>
      </c>
      <c r="L45" t="s">
        <v>74</v>
      </c>
      <c r="M45" t="s">
        <v>78</v>
      </c>
      <c r="N45" t="s">
        <v>108</v>
      </c>
      <c r="O45" t="s">
        <v>74</v>
      </c>
      <c r="P45" t="s">
        <v>74</v>
      </c>
      <c r="Q45" t="s">
        <v>74</v>
      </c>
      <c r="R45" t="s">
        <v>74</v>
      </c>
      <c r="S45" t="s">
        <v>74</v>
      </c>
      <c r="T45" t="s">
        <v>1063</v>
      </c>
      <c r="U45" t="s">
        <v>1064</v>
      </c>
      <c r="V45" t="s">
        <v>1065</v>
      </c>
      <c r="W45" t="s">
        <v>1066</v>
      </c>
      <c r="X45" t="s">
        <v>1067</v>
      </c>
      <c r="Y45" t="s">
        <v>1068</v>
      </c>
      <c r="Z45" t="s">
        <v>1069</v>
      </c>
      <c r="AA45" t="s">
        <v>74</v>
      </c>
      <c r="AB45" t="s">
        <v>1070</v>
      </c>
      <c r="AC45" t="s">
        <v>1071</v>
      </c>
      <c r="AD45" t="s">
        <v>1072</v>
      </c>
      <c r="AE45" t="s">
        <v>1073</v>
      </c>
      <c r="AF45" t="s">
        <v>74</v>
      </c>
      <c r="AG45">
        <v>94</v>
      </c>
      <c r="AH45">
        <v>8</v>
      </c>
      <c r="AI45">
        <v>8</v>
      </c>
      <c r="AJ45">
        <v>3</v>
      </c>
      <c r="AK45">
        <v>20</v>
      </c>
      <c r="AL45" t="s">
        <v>259</v>
      </c>
      <c r="AM45" t="s">
        <v>260</v>
      </c>
      <c r="AN45" t="s">
        <v>261</v>
      </c>
      <c r="AO45" t="s">
        <v>989</v>
      </c>
      <c r="AP45" t="s">
        <v>990</v>
      </c>
      <c r="AQ45" t="s">
        <v>74</v>
      </c>
      <c r="AR45" t="s">
        <v>991</v>
      </c>
      <c r="AS45" t="s">
        <v>992</v>
      </c>
      <c r="AT45" t="s">
        <v>1074</v>
      </c>
      <c r="AU45">
        <v>2021</v>
      </c>
      <c r="AV45">
        <v>279</v>
      </c>
      <c r="AW45" t="s">
        <v>74</v>
      </c>
      <c r="AX45" t="s">
        <v>74</v>
      </c>
      <c r="AY45" t="s">
        <v>74</v>
      </c>
      <c r="AZ45" t="s">
        <v>74</v>
      </c>
      <c r="BA45" t="s">
        <v>74</v>
      </c>
      <c r="BB45" t="s">
        <v>74</v>
      </c>
      <c r="BC45" t="s">
        <v>74</v>
      </c>
      <c r="BD45">
        <v>123523</v>
      </c>
      <c r="BE45" t="s">
        <v>1075</v>
      </c>
      <c r="BF45" t="str">
        <f>HYPERLINK("http://dx.doi.org/10.1016/j.jclepro.2020.123523","http://dx.doi.org/10.1016/j.jclepro.2020.123523")</f>
        <v>http://dx.doi.org/10.1016/j.jclepro.2020.123523</v>
      </c>
      <c r="BG45" t="s">
        <v>74</v>
      </c>
      <c r="BH45" t="s">
        <v>74</v>
      </c>
      <c r="BI45">
        <v>10</v>
      </c>
      <c r="BJ45" t="s">
        <v>995</v>
      </c>
      <c r="BK45" t="s">
        <v>147</v>
      </c>
      <c r="BL45" t="s">
        <v>996</v>
      </c>
      <c r="BM45" t="s">
        <v>1076</v>
      </c>
      <c r="BN45" t="s">
        <v>74</v>
      </c>
      <c r="BO45" t="s">
        <v>74</v>
      </c>
      <c r="BP45" t="s">
        <v>74</v>
      </c>
      <c r="BQ45" t="s">
        <v>74</v>
      </c>
      <c r="BR45" t="s">
        <v>102</v>
      </c>
      <c r="BS45" t="s">
        <v>1077</v>
      </c>
      <c r="BT45" t="str">
        <f>HYPERLINK("https%3A%2F%2Fwww.webofscience.com%2Fwos%2Fwoscc%2Ffull-record%2FWOS:000613139700040","View Full Record in Web of Science")</f>
        <v>View Full Record in Web of Science</v>
      </c>
    </row>
    <row r="46" spans="1:72" x14ac:dyDescent="0.2">
      <c r="A46" t="s">
        <v>72</v>
      </c>
      <c r="B46" t="s">
        <v>1078</v>
      </c>
      <c r="C46" t="s">
        <v>74</v>
      </c>
      <c r="D46" t="s">
        <v>74</v>
      </c>
      <c r="E46" t="s">
        <v>74</v>
      </c>
      <c r="F46" t="s">
        <v>1079</v>
      </c>
      <c r="G46" t="s">
        <v>74</v>
      </c>
      <c r="H46" t="s">
        <v>74</v>
      </c>
      <c r="I46" t="s">
        <v>1080</v>
      </c>
      <c r="J46" t="s">
        <v>1081</v>
      </c>
      <c r="K46" t="s">
        <v>74</v>
      </c>
      <c r="L46" t="s">
        <v>74</v>
      </c>
      <c r="M46" t="s">
        <v>78</v>
      </c>
      <c r="N46" t="s">
        <v>763</v>
      </c>
      <c r="O46" t="s">
        <v>74</v>
      </c>
      <c r="P46" t="s">
        <v>74</v>
      </c>
      <c r="Q46" t="s">
        <v>74</v>
      </c>
      <c r="R46" t="s">
        <v>74</v>
      </c>
      <c r="S46" t="s">
        <v>74</v>
      </c>
      <c r="T46" t="s">
        <v>1082</v>
      </c>
      <c r="U46" t="s">
        <v>1083</v>
      </c>
      <c r="V46" t="s">
        <v>1084</v>
      </c>
      <c r="W46" t="s">
        <v>1085</v>
      </c>
      <c r="X46" t="s">
        <v>1086</v>
      </c>
      <c r="Y46" t="s">
        <v>1087</v>
      </c>
      <c r="Z46" t="s">
        <v>1088</v>
      </c>
      <c r="AA46" t="s">
        <v>1089</v>
      </c>
      <c r="AB46" t="s">
        <v>74</v>
      </c>
      <c r="AC46" t="s">
        <v>1090</v>
      </c>
      <c r="AD46" t="s">
        <v>1091</v>
      </c>
      <c r="AE46" t="s">
        <v>1092</v>
      </c>
      <c r="AF46" t="s">
        <v>74</v>
      </c>
      <c r="AG46">
        <v>58</v>
      </c>
      <c r="AH46">
        <v>17</v>
      </c>
      <c r="AI46">
        <v>17</v>
      </c>
      <c r="AJ46">
        <v>26</v>
      </c>
      <c r="AK46">
        <v>149</v>
      </c>
      <c r="AL46" t="s">
        <v>279</v>
      </c>
      <c r="AM46" t="s">
        <v>280</v>
      </c>
      <c r="AN46" t="s">
        <v>281</v>
      </c>
      <c r="AO46" t="s">
        <v>1093</v>
      </c>
      <c r="AP46" t="s">
        <v>1094</v>
      </c>
      <c r="AQ46" t="s">
        <v>74</v>
      </c>
      <c r="AR46" t="s">
        <v>1095</v>
      </c>
      <c r="AS46" t="s">
        <v>1096</v>
      </c>
      <c r="AT46" t="s">
        <v>1097</v>
      </c>
      <c r="AU46">
        <v>2022</v>
      </c>
      <c r="AV46" t="s">
        <v>74</v>
      </c>
      <c r="AW46" t="s">
        <v>74</v>
      </c>
      <c r="AX46" t="s">
        <v>74</v>
      </c>
      <c r="AY46" t="s">
        <v>74</v>
      </c>
      <c r="AZ46" t="s">
        <v>74</v>
      </c>
      <c r="BA46" t="s">
        <v>74</v>
      </c>
      <c r="BB46" t="s">
        <v>74</v>
      </c>
      <c r="BC46" t="s">
        <v>74</v>
      </c>
      <c r="BD46" t="s">
        <v>74</v>
      </c>
      <c r="BE46" t="s">
        <v>1098</v>
      </c>
      <c r="BF46" t="str">
        <f>HYPERLINK("http://dx.doi.org/10.1080/09537287.2022.2058997","http://dx.doi.org/10.1080/09537287.2022.2058997")</f>
        <v>http://dx.doi.org/10.1080/09537287.2022.2058997</v>
      </c>
      <c r="BG46" t="s">
        <v>74</v>
      </c>
      <c r="BH46" t="s">
        <v>1099</v>
      </c>
      <c r="BI46">
        <v>15</v>
      </c>
      <c r="BJ46" t="s">
        <v>780</v>
      </c>
      <c r="BK46" t="s">
        <v>98</v>
      </c>
      <c r="BL46" t="s">
        <v>781</v>
      </c>
      <c r="BM46" t="s">
        <v>1100</v>
      </c>
      <c r="BN46" t="s">
        <v>74</v>
      </c>
      <c r="BO46" t="s">
        <v>74</v>
      </c>
      <c r="BP46" t="s">
        <v>74</v>
      </c>
      <c r="BQ46" t="s">
        <v>74</v>
      </c>
      <c r="BR46" t="s">
        <v>102</v>
      </c>
      <c r="BS46" t="s">
        <v>1101</v>
      </c>
      <c r="BT46" t="str">
        <f>HYPERLINK("https%3A%2F%2Fwww.webofscience.com%2Fwos%2Fwoscc%2Ffull-record%2FWOS:000777925200001","View Full Record in Web of Science")</f>
        <v>View Full Record in Web of Science</v>
      </c>
    </row>
    <row r="47" spans="1:72" x14ac:dyDescent="0.2">
      <c r="A47" t="s">
        <v>72</v>
      </c>
      <c r="B47" t="s">
        <v>1102</v>
      </c>
      <c r="C47" t="s">
        <v>74</v>
      </c>
      <c r="D47" t="s">
        <v>74</v>
      </c>
      <c r="E47" t="s">
        <v>74</v>
      </c>
      <c r="F47" t="s">
        <v>1103</v>
      </c>
      <c r="G47" t="s">
        <v>74</v>
      </c>
      <c r="H47" t="s">
        <v>74</v>
      </c>
      <c r="I47" t="s">
        <v>1104</v>
      </c>
      <c r="J47" t="s">
        <v>1105</v>
      </c>
      <c r="K47" t="s">
        <v>74</v>
      </c>
      <c r="L47" t="s">
        <v>74</v>
      </c>
      <c r="M47" t="s">
        <v>78</v>
      </c>
      <c r="N47" t="s">
        <v>108</v>
      </c>
      <c r="O47" t="s">
        <v>74</v>
      </c>
      <c r="P47" t="s">
        <v>74</v>
      </c>
      <c r="Q47" t="s">
        <v>74</v>
      </c>
      <c r="R47" t="s">
        <v>74</v>
      </c>
      <c r="S47" t="s">
        <v>74</v>
      </c>
      <c r="T47" t="s">
        <v>1106</v>
      </c>
      <c r="U47" t="s">
        <v>1107</v>
      </c>
      <c r="V47" t="s">
        <v>1108</v>
      </c>
      <c r="W47" t="s">
        <v>1109</v>
      </c>
      <c r="X47" t="s">
        <v>1110</v>
      </c>
      <c r="Y47" t="s">
        <v>1111</v>
      </c>
      <c r="Z47" t="s">
        <v>1112</v>
      </c>
      <c r="AA47" t="s">
        <v>1113</v>
      </c>
      <c r="AB47" t="s">
        <v>1114</v>
      </c>
      <c r="AC47" t="s">
        <v>1115</v>
      </c>
      <c r="AD47" t="s">
        <v>1116</v>
      </c>
      <c r="AE47" t="s">
        <v>1117</v>
      </c>
      <c r="AF47" t="s">
        <v>74</v>
      </c>
      <c r="AG47">
        <v>77</v>
      </c>
      <c r="AH47">
        <v>0</v>
      </c>
      <c r="AI47">
        <v>0</v>
      </c>
      <c r="AJ47">
        <v>9</v>
      </c>
      <c r="AK47">
        <v>12</v>
      </c>
      <c r="AL47" t="s">
        <v>116</v>
      </c>
      <c r="AM47" t="s">
        <v>117</v>
      </c>
      <c r="AN47" t="s">
        <v>118</v>
      </c>
      <c r="AO47" t="s">
        <v>74</v>
      </c>
      <c r="AP47" t="s">
        <v>1118</v>
      </c>
      <c r="AQ47" t="s">
        <v>74</v>
      </c>
      <c r="AR47" t="s">
        <v>1105</v>
      </c>
      <c r="AS47" t="s">
        <v>1119</v>
      </c>
      <c r="AT47" t="s">
        <v>616</v>
      </c>
      <c r="AU47">
        <v>2023</v>
      </c>
      <c r="AV47">
        <v>12</v>
      </c>
      <c r="AW47">
        <v>5</v>
      </c>
      <c r="AX47" t="s">
        <v>74</v>
      </c>
      <c r="AY47" t="s">
        <v>74</v>
      </c>
      <c r="AZ47" t="s">
        <v>74</v>
      </c>
      <c r="BA47" t="s">
        <v>74</v>
      </c>
      <c r="BB47" t="s">
        <v>74</v>
      </c>
      <c r="BC47" t="s">
        <v>74</v>
      </c>
      <c r="BD47">
        <v>1036</v>
      </c>
      <c r="BE47" t="s">
        <v>1120</v>
      </c>
      <c r="BF47" t="str">
        <f>HYPERLINK("http://dx.doi.org/10.3390/foods12051036","http://dx.doi.org/10.3390/foods12051036")</f>
        <v>http://dx.doi.org/10.3390/foods12051036</v>
      </c>
      <c r="BG47" t="s">
        <v>74</v>
      </c>
      <c r="BH47" t="s">
        <v>74</v>
      </c>
      <c r="BI47">
        <v>19</v>
      </c>
      <c r="BJ47" t="s">
        <v>1121</v>
      </c>
      <c r="BK47" t="s">
        <v>98</v>
      </c>
      <c r="BL47" t="s">
        <v>1121</v>
      </c>
      <c r="BM47" t="s">
        <v>1122</v>
      </c>
      <c r="BN47">
        <v>36900553</v>
      </c>
      <c r="BO47" t="s">
        <v>101</v>
      </c>
      <c r="BP47" t="s">
        <v>74</v>
      </c>
      <c r="BQ47" t="s">
        <v>74</v>
      </c>
      <c r="BR47" t="s">
        <v>102</v>
      </c>
      <c r="BS47" t="s">
        <v>1123</v>
      </c>
      <c r="BT47" t="str">
        <f>HYPERLINK("https%3A%2F%2Fwww.webofscience.com%2Fwos%2Fwoscc%2Ffull-record%2FWOS:000947724600001","View Full Record in Web of Science")</f>
        <v>View Full Record in Web of Science</v>
      </c>
    </row>
    <row r="48" spans="1:72" x14ac:dyDescent="0.2">
      <c r="A48" t="s">
        <v>72</v>
      </c>
      <c r="B48" t="s">
        <v>1124</v>
      </c>
      <c r="C48" t="s">
        <v>74</v>
      </c>
      <c r="D48" t="s">
        <v>74</v>
      </c>
      <c r="E48" t="s">
        <v>74</v>
      </c>
      <c r="F48" t="s">
        <v>1125</v>
      </c>
      <c r="G48" t="s">
        <v>74</v>
      </c>
      <c r="H48" t="s">
        <v>74</v>
      </c>
      <c r="I48" t="s">
        <v>1126</v>
      </c>
      <c r="J48" t="s">
        <v>311</v>
      </c>
      <c r="K48" t="s">
        <v>74</v>
      </c>
      <c r="L48" t="s">
        <v>74</v>
      </c>
      <c r="M48" t="s">
        <v>78</v>
      </c>
      <c r="N48" t="s">
        <v>108</v>
      </c>
      <c r="O48" t="s">
        <v>74</v>
      </c>
      <c r="P48" t="s">
        <v>74</v>
      </c>
      <c r="Q48" t="s">
        <v>74</v>
      </c>
      <c r="R48" t="s">
        <v>74</v>
      </c>
      <c r="S48" t="s">
        <v>74</v>
      </c>
      <c r="T48" t="s">
        <v>1127</v>
      </c>
      <c r="U48" t="s">
        <v>1128</v>
      </c>
      <c r="V48" t="s">
        <v>1129</v>
      </c>
      <c r="W48" t="s">
        <v>1130</v>
      </c>
      <c r="X48" t="s">
        <v>1131</v>
      </c>
      <c r="Y48" t="s">
        <v>1132</v>
      </c>
      <c r="Z48" t="s">
        <v>1133</v>
      </c>
      <c r="AA48" t="s">
        <v>1134</v>
      </c>
      <c r="AB48" t="s">
        <v>1135</v>
      </c>
      <c r="AC48" t="s">
        <v>74</v>
      </c>
      <c r="AD48" t="s">
        <v>74</v>
      </c>
      <c r="AE48" t="s">
        <v>74</v>
      </c>
      <c r="AF48" t="s">
        <v>74</v>
      </c>
      <c r="AG48">
        <v>64</v>
      </c>
      <c r="AH48">
        <v>4</v>
      </c>
      <c r="AI48">
        <v>4</v>
      </c>
      <c r="AJ48">
        <v>7</v>
      </c>
      <c r="AK48">
        <v>25</v>
      </c>
      <c r="AL48" t="s">
        <v>321</v>
      </c>
      <c r="AM48" t="s">
        <v>322</v>
      </c>
      <c r="AN48" t="s">
        <v>323</v>
      </c>
      <c r="AO48" t="s">
        <v>324</v>
      </c>
      <c r="AP48" t="s">
        <v>325</v>
      </c>
      <c r="AQ48" t="s">
        <v>74</v>
      </c>
      <c r="AR48" t="s">
        <v>326</v>
      </c>
      <c r="AS48" t="s">
        <v>327</v>
      </c>
      <c r="AT48" t="s">
        <v>239</v>
      </c>
      <c r="AU48">
        <v>2023</v>
      </c>
      <c r="AV48">
        <v>327</v>
      </c>
      <c r="AW48">
        <v>2</v>
      </c>
      <c r="AX48" t="s">
        <v>74</v>
      </c>
      <c r="AY48" t="s">
        <v>74</v>
      </c>
      <c r="AZ48" t="s">
        <v>570</v>
      </c>
      <c r="BA48" t="s">
        <v>74</v>
      </c>
      <c r="BB48">
        <v>713</v>
      </c>
      <c r="BC48">
        <v>734</v>
      </c>
      <c r="BD48" t="s">
        <v>74</v>
      </c>
      <c r="BE48" t="s">
        <v>1136</v>
      </c>
      <c r="BF48" t="str">
        <f>HYPERLINK("http://dx.doi.org/10.1007/s10479-022-04997-6","http://dx.doi.org/10.1007/s10479-022-04997-6")</f>
        <v>http://dx.doi.org/10.1007/s10479-022-04997-6</v>
      </c>
      <c r="BG48" t="s">
        <v>74</v>
      </c>
      <c r="BH48" t="s">
        <v>218</v>
      </c>
      <c r="BI48">
        <v>22</v>
      </c>
      <c r="BJ48" t="s">
        <v>330</v>
      </c>
      <c r="BK48" t="s">
        <v>98</v>
      </c>
      <c r="BL48" t="s">
        <v>330</v>
      </c>
      <c r="BM48" t="s">
        <v>1137</v>
      </c>
      <c r="BN48">
        <v>36407940</v>
      </c>
      <c r="BO48" t="s">
        <v>1138</v>
      </c>
      <c r="BP48" t="s">
        <v>74</v>
      </c>
      <c r="BQ48" t="s">
        <v>74</v>
      </c>
      <c r="BR48" t="s">
        <v>102</v>
      </c>
      <c r="BS48" t="s">
        <v>1139</v>
      </c>
      <c r="BT48" t="str">
        <f>HYPERLINK("https%3A%2F%2Fwww.webofscience.com%2Fwos%2Fwoscc%2Ffull-record%2FWOS:000879722500005","View Full Record in Web of Science")</f>
        <v>View Full Record in Web of Science</v>
      </c>
    </row>
    <row r="49" spans="1:72" x14ac:dyDescent="0.2">
      <c r="A49" t="s">
        <v>72</v>
      </c>
      <c r="B49" t="s">
        <v>1140</v>
      </c>
      <c r="C49" t="s">
        <v>74</v>
      </c>
      <c r="D49" t="s">
        <v>74</v>
      </c>
      <c r="E49" t="s">
        <v>74</v>
      </c>
      <c r="F49" t="s">
        <v>1141</v>
      </c>
      <c r="G49" t="s">
        <v>74</v>
      </c>
      <c r="H49" t="s">
        <v>74</v>
      </c>
      <c r="I49" t="s">
        <v>1142</v>
      </c>
      <c r="J49" t="s">
        <v>249</v>
      </c>
      <c r="K49" t="s">
        <v>74</v>
      </c>
      <c r="L49" t="s">
        <v>74</v>
      </c>
      <c r="M49" t="s">
        <v>78</v>
      </c>
      <c r="N49" t="s">
        <v>108</v>
      </c>
      <c r="O49" t="s">
        <v>74</v>
      </c>
      <c r="P49" t="s">
        <v>74</v>
      </c>
      <c r="Q49" t="s">
        <v>74</v>
      </c>
      <c r="R49" t="s">
        <v>74</v>
      </c>
      <c r="S49" t="s">
        <v>74</v>
      </c>
      <c r="T49" t="s">
        <v>1143</v>
      </c>
      <c r="U49" t="s">
        <v>1144</v>
      </c>
      <c r="V49" t="s">
        <v>1145</v>
      </c>
      <c r="W49" t="s">
        <v>1146</v>
      </c>
      <c r="X49" t="s">
        <v>1147</v>
      </c>
      <c r="Y49" t="s">
        <v>1148</v>
      </c>
      <c r="Z49" t="s">
        <v>1149</v>
      </c>
      <c r="AA49" t="s">
        <v>74</v>
      </c>
      <c r="AB49" t="s">
        <v>1150</v>
      </c>
      <c r="AC49" t="s">
        <v>74</v>
      </c>
      <c r="AD49" t="s">
        <v>74</v>
      </c>
      <c r="AE49" t="s">
        <v>74</v>
      </c>
      <c r="AF49" t="s">
        <v>74</v>
      </c>
      <c r="AG49">
        <v>62</v>
      </c>
      <c r="AH49">
        <v>44</v>
      </c>
      <c r="AI49">
        <v>46</v>
      </c>
      <c r="AJ49">
        <v>19</v>
      </c>
      <c r="AK49">
        <v>145</v>
      </c>
      <c r="AL49" t="s">
        <v>259</v>
      </c>
      <c r="AM49" t="s">
        <v>260</v>
      </c>
      <c r="AN49" t="s">
        <v>261</v>
      </c>
      <c r="AO49" t="s">
        <v>262</v>
      </c>
      <c r="AP49" t="s">
        <v>263</v>
      </c>
      <c r="AQ49" t="s">
        <v>74</v>
      </c>
      <c r="AR49" t="s">
        <v>264</v>
      </c>
      <c r="AS49" t="s">
        <v>265</v>
      </c>
      <c r="AT49" t="s">
        <v>239</v>
      </c>
      <c r="AU49">
        <v>2020</v>
      </c>
      <c r="AV49">
        <v>45</v>
      </c>
      <c r="AW49" t="s">
        <v>74</v>
      </c>
      <c r="AX49" t="s">
        <v>74</v>
      </c>
      <c r="AY49" t="s">
        <v>74</v>
      </c>
      <c r="AZ49" t="s">
        <v>74</v>
      </c>
      <c r="BA49" t="s">
        <v>74</v>
      </c>
      <c r="BB49" t="s">
        <v>74</v>
      </c>
      <c r="BC49" t="s">
        <v>74</v>
      </c>
      <c r="BD49">
        <v>101053</v>
      </c>
      <c r="BE49" t="s">
        <v>1151</v>
      </c>
      <c r="BF49" t="str">
        <f>HYPERLINK("http://dx.doi.org/10.1016/j.aei.2020.101053","http://dx.doi.org/10.1016/j.aei.2020.101053")</f>
        <v>http://dx.doi.org/10.1016/j.aei.2020.101053</v>
      </c>
      <c r="BG49" t="s">
        <v>74</v>
      </c>
      <c r="BH49" t="s">
        <v>74</v>
      </c>
      <c r="BI49">
        <v>17</v>
      </c>
      <c r="BJ49" t="s">
        <v>268</v>
      </c>
      <c r="BK49" t="s">
        <v>147</v>
      </c>
      <c r="BL49" t="s">
        <v>269</v>
      </c>
      <c r="BM49" t="s">
        <v>1152</v>
      </c>
      <c r="BN49" t="s">
        <v>74</v>
      </c>
      <c r="BO49" t="s">
        <v>74</v>
      </c>
      <c r="BP49" t="s">
        <v>74</v>
      </c>
      <c r="BQ49" t="s">
        <v>74</v>
      </c>
      <c r="BR49" t="s">
        <v>102</v>
      </c>
      <c r="BS49" t="s">
        <v>1153</v>
      </c>
      <c r="BT49" t="str">
        <f>HYPERLINK("https%3A%2F%2Fwww.webofscience.com%2Fwos%2Fwoscc%2Ffull-record%2FWOS:000552715300001","View Full Record in Web of Science")</f>
        <v>View Full Record in Web of Science</v>
      </c>
    </row>
    <row r="50" spans="1:72" x14ac:dyDescent="0.2">
      <c r="A50" t="s">
        <v>72</v>
      </c>
      <c r="B50" t="s">
        <v>1154</v>
      </c>
      <c r="C50" t="s">
        <v>74</v>
      </c>
      <c r="D50" t="s">
        <v>74</v>
      </c>
      <c r="E50" t="s">
        <v>74</v>
      </c>
      <c r="F50" t="s">
        <v>1155</v>
      </c>
      <c r="G50" t="s">
        <v>74</v>
      </c>
      <c r="H50" t="s">
        <v>74</v>
      </c>
      <c r="I50" t="s">
        <v>1156</v>
      </c>
      <c r="J50" t="s">
        <v>1157</v>
      </c>
      <c r="K50" t="s">
        <v>74</v>
      </c>
      <c r="L50" t="s">
        <v>74</v>
      </c>
      <c r="M50" t="s">
        <v>78</v>
      </c>
      <c r="N50" t="s">
        <v>108</v>
      </c>
      <c r="O50" t="s">
        <v>74</v>
      </c>
      <c r="P50" t="s">
        <v>74</v>
      </c>
      <c r="Q50" t="s">
        <v>74</v>
      </c>
      <c r="R50" t="s">
        <v>74</v>
      </c>
      <c r="S50" t="s">
        <v>74</v>
      </c>
      <c r="T50" t="s">
        <v>1158</v>
      </c>
      <c r="U50" t="s">
        <v>1159</v>
      </c>
      <c r="V50" t="s">
        <v>1160</v>
      </c>
      <c r="W50" t="s">
        <v>1161</v>
      </c>
      <c r="X50" t="s">
        <v>1162</v>
      </c>
      <c r="Y50" t="s">
        <v>1163</v>
      </c>
      <c r="Z50" t="s">
        <v>1164</v>
      </c>
      <c r="AA50" t="s">
        <v>1165</v>
      </c>
      <c r="AB50" t="s">
        <v>1166</v>
      </c>
      <c r="AC50" t="s">
        <v>74</v>
      </c>
      <c r="AD50" t="s">
        <v>74</v>
      </c>
      <c r="AE50" t="s">
        <v>74</v>
      </c>
      <c r="AF50" t="s">
        <v>74</v>
      </c>
      <c r="AG50">
        <v>102</v>
      </c>
      <c r="AH50">
        <v>0</v>
      </c>
      <c r="AI50">
        <v>0</v>
      </c>
      <c r="AJ50">
        <v>7</v>
      </c>
      <c r="AK50">
        <v>7</v>
      </c>
      <c r="AL50" t="s">
        <v>409</v>
      </c>
      <c r="AM50" t="s">
        <v>410</v>
      </c>
      <c r="AN50" t="s">
        <v>411</v>
      </c>
      <c r="AO50" t="s">
        <v>74</v>
      </c>
      <c r="AP50" t="s">
        <v>1167</v>
      </c>
      <c r="AQ50" t="s">
        <v>74</v>
      </c>
      <c r="AR50" t="s">
        <v>1168</v>
      </c>
      <c r="AS50" t="s">
        <v>1169</v>
      </c>
      <c r="AT50" t="s">
        <v>394</v>
      </c>
      <c r="AU50">
        <v>2023</v>
      </c>
      <c r="AV50">
        <v>6</v>
      </c>
      <c r="AW50">
        <v>3</v>
      </c>
      <c r="AX50" t="s">
        <v>74</v>
      </c>
      <c r="AY50" t="s">
        <v>74</v>
      </c>
      <c r="AZ50" t="s">
        <v>74</v>
      </c>
      <c r="BA50" t="s">
        <v>74</v>
      </c>
      <c r="BB50">
        <v>397</v>
      </c>
      <c r="BC50">
        <v>410</v>
      </c>
      <c r="BD50" t="s">
        <v>74</v>
      </c>
      <c r="BE50" t="s">
        <v>1170</v>
      </c>
      <c r="BF50" t="str">
        <f>HYPERLINK("http://dx.doi.org/10.1002/bsd2.246","http://dx.doi.org/10.1002/bsd2.246")</f>
        <v>http://dx.doi.org/10.1002/bsd2.246</v>
      </c>
      <c r="BG50" t="s">
        <v>74</v>
      </c>
      <c r="BH50" t="s">
        <v>930</v>
      </c>
      <c r="BI50">
        <v>14</v>
      </c>
      <c r="BJ50" t="s">
        <v>1171</v>
      </c>
      <c r="BK50" t="s">
        <v>124</v>
      </c>
      <c r="BL50" t="s">
        <v>1172</v>
      </c>
      <c r="BM50" t="s">
        <v>1173</v>
      </c>
      <c r="BN50" t="s">
        <v>74</v>
      </c>
      <c r="BO50" t="s">
        <v>74</v>
      </c>
      <c r="BP50" t="s">
        <v>74</v>
      </c>
      <c r="BQ50" t="s">
        <v>74</v>
      </c>
      <c r="BR50" t="s">
        <v>102</v>
      </c>
      <c r="BS50" t="s">
        <v>1174</v>
      </c>
      <c r="BT50" t="str">
        <f>HYPERLINK("https%3A%2F%2Fwww.webofscience.com%2Fwos%2Fwoscc%2Ffull-record%2FWOS:000988483600001","View Full Record in Web of Science")</f>
        <v>View Full Record in Web of Science</v>
      </c>
    </row>
    <row r="51" spans="1:72" x14ac:dyDescent="0.2">
      <c r="A51" t="s">
        <v>72</v>
      </c>
      <c r="B51" t="s">
        <v>1175</v>
      </c>
      <c r="C51" t="s">
        <v>74</v>
      </c>
      <c r="D51" t="s">
        <v>74</v>
      </c>
      <c r="E51" t="s">
        <v>74</v>
      </c>
      <c r="F51" t="s">
        <v>1176</v>
      </c>
      <c r="G51" t="s">
        <v>74</v>
      </c>
      <c r="H51" t="s">
        <v>74</v>
      </c>
      <c r="I51" t="s">
        <v>1177</v>
      </c>
      <c r="J51" t="s">
        <v>1178</v>
      </c>
      <c r="K51" t="s">
        <v>74</v>
      </c>
      <c r="L51" t="s">
        <v>74</v>
      </c>
      <c r="M51" t="s">
        <v>78</v>
      </c>
      <c r="N51" t="s">
        <v>79</v>
      </c>
      <c r="O51" t="s">
        <v>74</v>
      </c>
      <c r="P51" t="s">
        <v>74</v>
      </c>
      <c r="Q51" t="s">
        <v>74</v>
      </c>
      <c r="R51" t="s">
        <v>74</v>
      </c>
      <c r="S51" t="s">
        <v>74</v>
      </c>
      <c r="T51" t="s">
        <v>1179</v>
      </c>
      <c r="U51" t="s">
        <v>1180</v>
      </c>
      <c r="V51" t="s">
        <v>1181</v>
      </c>
      <c r="W51" t="s">
        <v>1182</v>
      </c>
      <c r="X51" t="s">
        <v>1183</v>
      </c>
      <c r="Y51" t="s">
        <v>1184</v>
      </c>
      <c r="Z51" t="s">
        <v>1185</v>
      </c>
      <c r="AA51" t="s">
        <v>1186</v>
      </c>
      <c r="AB51" t="s">
        <v>1187</v>
      </c>
      <c r="AC51" t="s">
        <v>74</v>
      </c>
      <c r="AD51" t="s">
        <v>74</v>
      </c>
      <c r="AE51" t="s">
        <v>74</v>
      </c>
      <c r="AF51" t="s">
        <v>74</v>
      </c>
      <c r="AG51">
        <v>22</v>
      </c>
      <c r="AH51">
        <v>29</v>
      </c>
      <c r="AI51">
        <v>29</v>
      </c>
      <c r="AJ51">
        <v>5</v>
      </c>
      <c r="AK51">
        <v>58</v>
      </c>
      <c r="AL51" t="s">
        <v>279</v>
      </c>
      <c r="AM51" t="s">
        <v>280</v>
      </c>
      <c r="AN51" t="s">
        <v>281</v>
      </c>
      <c r="AO51" t="s">
        <v>1188</v>
      </c>
      <c r="AP51" t="s">
        <v>1189</v>
      </c>
      <c r="AQ51" t="s">
        <v>74</v>
      </c>
      <c r="AR51" t="s">
        <v>1190</v>
      </c>
      <c r="AS51" t="s">
        <v>1191</v>
      </c>
      <c r="AT51" t="s">
        <v>74</v>
      </c>
      <c r="AU51">
        <v>2018</v>
      </c>
      <c r="AV51">
        <v>12</v>
      </c>
      <c r="AW51">
        <v>2</v>
      </c>
      <c r="AX51" t="s">
        <v>74</v>
      </c>
      <c r="AY51" t="s">
        <v>74</v>
      </c>
      <c r="AZ51" t="s">
        <v>570</v>
      </c>
      <c r="BA51" t="s">
        <v>74</v>
      </c>
      <c r="BB51">
        <v>115</v>
      </c>
      <c r="BC51">
        <v>127</v>
      </c>
      <c r="BD51" t="s">
        <v>74</v>
      </c>
      <c r="BE51" t="s">
        <v>1192</v>
      </c>
      <c r="BF51" t="str">
        <f>HYPERLINK("http://dx.doi.org/10.1080/17477778.2018.1468950","http://dx.doi.org/10.1080/17477778.2018.1468950")</f>
        <v>http://dx.doi.org/10.1080/17477778.2018.1468950</v>
      </c>
      <c r="BG51" t="s">
        <v>74</v>
      </c>
      <c r="BH51" t="s">
        <v>74</v>
      </c>
      <c r="BI51">
        <v>13</v>
      </c>
      <c r="BJ51" t="s">
        <v>1193</v>
      </c>
      <c r="BK51" t="s">
        <v>147</v>
      </c>
      <c r="BL51" t="s">
        <v>1194</v>
      </c>
      <c r="BM51" t="s">
        <v>1195</v>
      </c>
      <c r="BN51" t="s">
        <v>74</v>
      </c>
      <c r="BO51" t="s">
        <v>889</v>
      </c>
      <c r="BP51" t="s">
        <v>74</v>
      </c>
      <c r="BQ51" t="s">
        <v>74</v>
      </c>
      <c r="BR51" t="s">
        <v>102</v>
      </c>
      <c r="BS51" t="s">
        <v>1196</v>
      </c>
      <c r="BT51" t="str">
        <f>HYPERLINK("https%3A%2F%2Fwww.webofscience.com%2Fwos%2Fwoscc%2Ffull-record%2FWOS:000432552700004","View Full Record in Web of Science")</f>
        <v>View Full Record in Web of Science</v>
      </c>
    </row>
    <row r="52" spans="1:72" x14ac:dyDescent="0.2">
      <c r="A52" t="s">
        <v>72</v>
      </c>
      <c r="B52" t="s">
        <v>1197</v>
      </c>
      <c r="C52" t="s">
        <v>74</v>
      </c>
      <c r="D52" t="s">
        <v>74</v>
      </c>
      <c r="E52" t="s">
        <v>74</v>
      </c>
      <c r="F52" t="s">
        <v>1198</v>
      </c>
      <c r="G52" t="s">
        <v>74</v>
      </c>
      <c r="H52" t="s">
        <v>74</v>
      </c>
      <c r="I52" t="s">
        <v>1199</v>
      </c>
      <c r="J52" t="s">
        <v>1200</v>
      </c>
      <c r="K52" t="s">
        <v>74</v>
      </c>
      <c r="L52" t="s">
        <v>74</v>
      </c>
      <c r="M52" t="s">
        <v>78</v>
      </c>
      <c r="N52" t="s">
        <v>79</v>
      </c>
      <c r="O52" t="s">
        <v>74</v>
      </c>
      <c r="P52" t="s">
        <v>74</v>
      </c>
      <c r="Q52" t="s">
        <v>74</v>
      </c>
      <c r="R52" t="s">
        <v>74</v>
      </c>
      <c r="S52" t="s">
        <v>74</v>
      </c>
      <c r="T52" t="s">
        <v>1201</v>
      </c>
      <c r="U52" t="s">
        <v>1202</v>
      </c>
      <c r="V52" t="s">
        <v>1203</v>
      </c>
      <c r="W52" t="s">
        <v>1204</v>
      </c>
      <c r="X52" t="s">
        <v>1205</v>
      </c>
      <c r="Y52" t="s">
        <v>1206</v>
      </c>
      <c r="Z52" t="s">
        <v>1207</v>
      </c>
      <c r="AA52" t="s">
        <v>1208</v>
      </c>
      <c r="AB52" t="s">
        <v>74</v>
      </c>
      <c r="AC52" t="s">
        <v>74</v>
      </c>
      <c r="AD52" t="s">
        <v>74</v>
      </c>
      <c r="AE52" t="s">
        <v>74</v>
      </c>
      <c r="AF52" t="s">
        <v>74</v>
      </c>
      <c r="AG52">
        <v>81</v>
      </c>
      <c r="AH52">
        <v>70</v>
      </c>
      <c r="AI52">
        <v>70</v>
      </c>
      <c r="AJ52">
        <v>18</v>
      </c>
      <c r="AK52">
        <v>199</v>
      </c>
      <c r="AL52" t="s">
        <v>279</v>
      </c>
      <c r="AM52" t="s">
        <v>280</v>
      </c>
      <c r="AN52" t="s">
        <v>281</v>
      </c>
      <c r="AO52" t="s">
        <v>1209</v>
      </c>
      <c r="AP52" t="s">
        <v>1210</v>
      </c>
      <c r="AQ52" t="s">
        <v>74</v>
      </c>
      <c r="AR52" t="s">
        <v>1211</v>
      </c>
      <c r="AS52" t="s">
        <v>1212</v>
      </c>
      <c r="AT52" t="s">
        <v>1213</v>
      </c>
      <c r="AU52">
        <v>2021</v>
      </c>
      <c r="AV52">
        <v>33</v>
      </c>
      <c r="AW52">
        <v>3</v>
      </c>
      <c r="AX52" t="s">
        <v>74</v>
      </c>
      <c r="AY52" t="s">
        <v>74</v>
      </c>
      <c r="AZ52" t="s">
        <v>74</v>
      </c>
      <c r="BA52" t="s">
        <v>74</v>
      </c>
      <c r="BB52">
        <v>187</v>
      </c>
      <c r="BC52">
        <v>201</v>
      </c>
      <c r="BD52" t="s">
        <v>74</v>
      </c>
      <c r="BE52" t="s">
        <v>1214</v>
      </c>
      <c r="BF52" t="str">
        <f>HYPERLINK("http://dx.doi.org/10.1080/10429247.2020.1783935","http://dx.doi.org/10.1080/10429247.2020.1783935")</f>
        <v>http://dx.doi.org/10.1080/10429247.2020.1783935</v>
      </c>
      <c r="BG52" t="s">
        <v>74</v>
      </c>
      <c r="BH52" t="s">
        <v>1215</v>
      </c>
      <c r="BI52">
        <v>15</v>
      </c>
      <c r="BJ52" t="s">
        <v>1216</v>
      </c>
      <c r="BK52" t="s">
        <v>147</v>
      </c>
      <c r="BL52" t="s">
        <v>1217</v>
      </c>
      <c r="BM52" t="s">
        <v>1218</v>
      </c>
      <c r="BN52" t="s">
        <v>74</v>
      </c>
      <c r="BO52" t="s">
        <v>74</v>
      </c>
      <c r="BP52" t="s">
        <v>74</v>
      </c>
      <c r="BQ52" t="s">
        <v>74</v>
      </c>
      <c r="BR52" t="s">
        <v>102</v>
      </c>
      <c r="BS52" t="s">
        <v>1219</v>
      </c>
      <c r="BT52" t="str">
        <f>HYPERLINK("https%3A%2F%2Fwww.webofscience.com%2Fwos%2Fwoscc%2Ffull-record%2FWOS:000548024200001","View Full Record in Web of Science")</f>
        <v>View Full Record in Web of Science</v>
      </c>
    </row>
    <row r="53" spans="1:72" x14ac:dyDescent="0.2">
      <c r="A53" t="s">
        <v>72</v>
      </c>
      <c r="B53" t="s">
        <v>1220</v>
      </c>
      <c r="C53" t="s">
        <v>74</v>
      </c>
      <c r="D53" t="s">
        <v>74</v>
      </c>
      <c r="E53" t="s">
        <v>74</v>
      </c>
      <c r="F53" t="s">
        <v>1221</v>
      </c>
      <c r="G53" t="s">
        <v>74</v>
      </c>
      <c r="H53" t="s">
        <v>74</v>
      </c>
      <c r="I53" t="s">
        <v>1222</v>
      </c>
      <c r="J53" t="s">
        <v>131</v>
      </c>
      <c r="K53" t="s">
        <v>74</v>
      </c>
      <c r="L53" t="s">
        <v>74</v>
      </c>
      <c r="M53" t="s">
        <v>78</v>
      </c>
      <c r="N53" t="s">
        <v>108</v>
      </c>
      <c r="O53" t="s">
        <v>74</v>
      </c>
      <c r="P53" t="s">
        <v>74</v>
      </c>
      <c r="Q53" t="s">
        <v>74</v>
      </c>
      <c r="R53" t="s">
        <v>74</v>
      </c>
      <c r="S53" t="s">
        <v>74</v>
      </c>
      <c r="T53" t="s">
        <v>1223</v>
      </c>
      <c r="U53" t="s">
        <v>1224</v>
      </c>
      <c r="V53" t="s">
        <v>1225</v>
      </c>
      <c r="W53" t="s">
        <v>1226</v>
      </c>
      <c r="X53" t="s">
        <v>1227</v>
      </c>
      <c r="Y53" t="s">
        <v>1228</v>
      </c>
      <c r="Z53" t="s">
        <v>1229</v>
      </c>
      <c r="AA53" t="s">
        <v>1230</v>
      </c>
      <c r="AB53" t="s">
        <v>1231</v>
      </c>
      <c r="AC53" t="s">
        <v>74</v>
      </c>
      <c r="AD53" t="s">
        <v>74</v>
      </c>
      <c r="AE53" t="s">
        <v>74</v>
      </c>
      <c r="AF53" t="s">
        <v>74</v>
      </c>
      <c r="AG53">
        <v>68</v>
      </c>
      <c r="AH53">
        <v>1</v>
      </c>
      <c r="AI53">
        <v>1</v>
      </c>
      <c r="AJ53">
        <v>7</v>
      </c>
      <c r="AK53">
        <v>33</v>
      </c>
      <c r="AL53" t="s">
        <v>116</v>
      </c>
      <c r="AM53" t="s">
        <v>117</v>
      </c>
      <c r="AN53" t="s">
        <v>118</v>
      </c>
      <c r="AO53" t="s">
        <v>74</v>
      </c>
      <c r="AP53" t="s">
        <v>142</v>
      </c>
      <c r="AQ53" t="s">
        <v>74</v>
      </c>
      <c r="AR53" t="s">
        <v>143</v>
      </c>
      <c r="AS53" t="s">
        <v>144</v>
      </c>
      <c r="AT53" t="s">
        <v>800</v>
      </c>
      <c r="AU53">
        <v>2022</v>
      </c>
      <c r="AV53">
        <v>14</v>
      </c>
      <c r="AW53">
        <v>7</v>
      </c>
      <c r="AX53" t="s">
        <v>74</v>
      </c>
      <c r="AY53" t="s">
        <v>74</v>
      </c>
      <c r="AZ53" t="s">
        <v>74</v>
      </c>
      <c r="BA53" t="s">
        <v>74</v>
      </c>
      <c r="BB53" t="s">
        <v>74</v>
      </c>
      <c r="BC53" t="s">
        <v>74</v>
      </c>
      <c r="BD53">
        <v>4255</v>
      </c>
      <c r="BE53" t="s">
        <v>1232</v>
      </c>
      <c r="BF53" t="str">
        <f>HYPERLINK("http://dx.doi.org/10.3390/su14074255","http://dx.doi.org/10.3390/su14074255")</f>
        <v>http://dx.doi.org/10.3390/su14074255</v>
      </c>
      <c r="BG53" t="s">
        <v>74</v>
      </c>
      <c r="BH53" t="s">
        <v>74</v>
      </c>
      <c r="BI53">
        <v>21</v>
      </c>
      <c r="BJ53" t="s">
        <v>146</v>
      </c>
      <c r="BK53" t="s">
        <v>147</v>
      </c>
      <c r="BL53" t="s">
        <v>148</v>
      </c>
      <c r="BM53" t="s">
        <v>1233</v>
      </c>
      <c r="BN53" t="s">
        <v>74</v>
      </c>
      <c r="BO53" t="s">
        <v>126</v>
      </c>
      <c r="BP53" t="s">
        <v>74</v>
      </c>
      <c r="BQ53" t="s">
        <v>74</v>
      </c>
      <c r="BR53" t="s">
        <v>102</v>
      </c>
      <c r="BS53" t="s">
        <v>1234</v>
      </c>
      <c r="BT53" t="str">
        <f>HYPERLINK("https%3A%2F%2Fwww.webofscience.com%2Fwos%2Fwoscc%2Ffull-record%2FWOS:000780619100001","View Full Record in Web of Science")</f>
        <v>View Full Record in Web of Science</v>
      </c>
    </row>
    <row r="54" spans="1:72" x14ac:dyDescent="0.2">
      <c r="A54" t="s">
        <v>72</v>
      </c>
      <c r="B54" t="s">
        <v>1235</v>
      </c>
      <c r="C54" t="s">
        <v>74</v>
      </c>
      <c r="D54" t="s">
        <v>74</v>
      </c>
      <c r="E54" t="s">
        <v>74</v>
      </c>
      <c r="F54" t="s">
        <v>1236</v>
      </c>
      <c r="G54" t="s">
        <v>74</v>
      </c>
      <c r="H54" t="s">
        <v>74</v>
      </c>
      <c r="I54" t="s">
        <v>1237</v>
      </c>
      <c r="J54" t="s">
        <v>1238</v>
      </c>
      <c r="K54" t="s">
        <v>74</v>
      </c>
      <c r="L54" t="s">
        <v>74</v>
      </c>
      <c r="M54" t="s">
        <v>78</v>
      </c>
      <c r="N54" t="s">
        <v>79</v>
      </c>
      <c r="O54" t="s">
        <v>74</v>
      </c>
      <c r="P54" t="s">
        <v>74</v>
      </c>
      <c r="Q54" t="s">
        <v>74</v>
      </c>
      <c r="R54" t="s">
        <v>74</v>
      </c>
      <c r="S54" t="s">
        <v>74</v>
      </c>
      <c r="T54" t="s">
        <v>1239</v>
      </c>
      <c r="U54" t="s">
        <v>1240</v>
      </c>
      <c r="V54" t="s">
        <v>1241</v>
      </c>
      <c r="W54" t="s">
        <v>1242</v>
      </c>
      <c r="X54" t="s">
        <v>1243</v>
      </c>
      <c r="Y54" t="s">
        <v>1244</v>
      </c>
      <c r="Z54" t="s">
        <v>1245</v>
      </c>
      <c r="AA54" t="s">
        <v>74</v>
      </c>
      <c r="AB54" t="s">
        <v>1246</v>
      </c>
      <c r="AC54" t="s">
        <v>1247</v>
      </c>
      <c r="AD54" t="s">
        <v>1248</v>
      </c>
      <c r="AE54" t="s">
        <v>1249</v>
      </c>
      <c r="AF54" t="s">
        <v>74</v>
      </c>
      <c r="AG54">
        <v>146</v>
      </c>
      <c r="AH54">
        <v>73</v>
      </c>
      <c r="AI54">
        <v>74</v>
      </c>
      <c r="AJ54">
        <v>27</v>
      </c>
      <c r="AK54">
        <v>151</v>
      </c>
      <c r="AL54" t="s">
        <v>409</v>
      </c>
      <c r="AM54" t="s">
        <v>410</v>
      </c>
      <c r="AN54" t="s">
        <v>411</v>
      </c>
      <c r="AO54" t="s">
        <v>1250</v>
      </c>
      <c r="AP54" t="s">
        <v>74</v>
      </c>
      <c r="AQ54" t="s">
        <v>74</v>
      </c>
      <c r="AR54" t="s">
        <v>1251</v>
      </c>
      <c r="AS54" t="s">
        <v>1252</v>
      </c>
      <c r="AT54" t="s">
        <v>616</v>
      </c>
      <c r="AU54">
        <v>2020</v>
      </c>
      <c r="AV54">
        <v>19</v>
      </c>
      <c r="AW54">
        <v>2</v>
      </c>
      <c r="AX54" t="s">
        <v>74</v>
      </c>
      <c r="AY54" t="s">
        <v>74</v>
      </c>
      <c r="AZ54" t="s">
        <v>74</v>
      </c>
      <c r="BA54" t="s">
        <v>74</v>
      </c>
      <c r="BB54">
        <v>875</v>
      </c>
      <c r="BC54">
        <v>894</v>
      </c>
      <c r="BD54" t="s">
        <v>74</v>
      </c>
      <c r="BE54" t="s">
        <v>1253</v>
      </c>
      <c r="BF54" t="str">
        <f>HYPERLINK("http://dx.doi.org/10.1111/1541-4337.12540","http://dx.doi.org/10.1111/1541-4337.12540")</f>
        <v>http://dx.doi.org/10.1111/1541-4337.12540</v>
      </c>
      <c r="BG54" t="s">
        <v>74</v>
      </c>
      <c r="BH54" t="s">
        <v>1254</v>
      </c>
      <c r="BI54">
        <v>20</v>
      </c>
      <c r="BJ54" t="s">
        <v>1121</v>
      </c>
      <c r="BK54" t="s">
        <v>147</v>
      </c>
      <c r="BL54" t="s">
        <v>1121</v>
      </c>
      <c r="BM54" t="s">
        <v>1255</v>
      </c>
      <c r="BN54">
        <v>33325182</v>
      </c>
      <c r="BO54" t="s">
        <v>804</v>
      </c>
      <c r="BP54" t="s">
        <v>74</v>
      </c>
      <c r="BQ54" t="s">
        <v>74</v>
      </c>
      <c r="BR54" t="s">
        <v>102</v>
      </c>
      <c r="BS54" t="s">
        <v>1256</v>
      </c>
      <c r="BT54" t="str">
        <f>HYPERLINK("https%3A%2F%2Fwww.webofscience.com%2Fwos%2Fwoscc%2Ffull-record%2FWOS:000513516000001","View Full Record in Web of Science")</f>
        <v>View Full Record in Web of Science</v>
      </c>
    </row>
    <row r="55" spans="1:72" x14ac:dyDescent="0.2">
      <c r="A55" t="s">
        <v>72</v>
      </c>
      <c r="B55" t="s">
        <v>1257</v>
      </c>
      <c r="C55" t="s">
        <v>74</v>
      </c>
      <c r="D55" t="s">
        <v>74</v>
      </c>
      <c r="E55" t="s">
        <v>74</v>
      </c>
      <c r="F55" t="s">
        <v>1258</v>
      </c>
      <c r="G55" t="s">
        <v>74</v>
      </c>
      <c r="H55" t="s">
        <v>74</v>
      </c>
      <c r="I55" t="s">
        <v>1259</v>
      </c>
      <c r="J55" t="s">
        <v>311</v>
      </c>
      <c r="K55" t="s">
        <v>74</v>
      </c>
      <c r="L55" t="s">
        <v>74</v>
      </c>
      <c r="M55" t="s">
        <v>78</v>
      </c>
      <c r="N55" t="s">
        <v>917</v>
      </c>
      <c r="O55" t="s">
        <v>74</v>
      </c>
      <c r="P55" t="s">
        <v>74</v>
      </c>
      <c r="Q55" t="s">
        <v>74</v>
      </c>
      <c r="R55" t="s">
        <v>74</v>
      </c>
      <c r="S55" t="s">
        <v>74</v>
      </c>
      <c r="T55" t="s">
        <v>1260</v>
      </c>
      <c r="U55" t="s">
        <v>1261</v>
      </c>
      <c r="V55" t="s">
        <v>1262</v>
      </c>
      <c r="W55" t="s">
        <v>1263</v>
      </c>
      <c r="X55" t="s">
        <v>1264</v>
      </c>
      <c r="Y55" t="s">
        <v>1265</v>
      </c>
      <c r="Z55" t="s">
        <v>1266</v>
      </c>
      <c r="AA55" t="s">
        <v>1267</v>
      </c>
      <c r="AB55" t="s">
        <v>1268</v>
      </c>
      <c r="AC55" t="s">
        <v>1269</v>
      </c>
      <c r="AD55" t="s">
        <v>1269</v>
      </c>
      <c r="AE55" t="s">
        <v>1270</v>
      </c>
      <c r="AF55" t="s">
        <v>74</v>
      </c>
      <c r="AG55">
        <v>106</v>
      </c>
      <c r="AH55">
        <v>5</v>
      </c>
      <c r="AI55">
        <v>5</v>
      </c>
      <c r="AJ55">
        <v>7</v>
      </c>
      <c r="AK55">
        <v>41</v>
      </c>
      <c r="AL55" t="s">
        <v>321</v>
      </c>
      <c r="AM55" t="s">
        <v>322</v>
      </c>
      <c r="AN55" t="s">
        <v>323</v>
      </c>
      <c r="AO55" t="s">
        <v>324</v>
      </c>
      <c r="AP55" t="s">
        <v>325</v>
      </c>
      <c r="AQ55" t="s">
        <v>74</v>
      </c>
      <c r="AR55" t="s">
        <v>326</v>
      </c>
      <c r="AS55" t="s">
        <v>327</v>
      </c>
      <c r="AT55" t="s">
        <v>1271</v>
      </c>
      <c r="AU55">
        <v>2022</v>
      </c>
      <c r="AV55" t="s">
        <v>74</v>
      </c>
      <c r="AW55" t="s">
        <v>74</v>
      </c>
      <c r="AX55" t="s">
        <v>74</v>
      </c>
      <c r="AY55" t="s">
        <v>74</v>
      </c>
      <c r="AZ55" t="s">
        <v>74</v>
      </c>
      <c r="BA55" t="s">
        <v>74</v>
      </c>
      <c r="BB55" t="s">
        <v>74</v>
      </c>
      <c r="BC55" t="s">
        <v>74</v>
      </c>
      <c r="BD55" t="s">
        <v>74</v>
      </c>
      <c r="BE55" t="s">
        <v>1272</v>
      </c>
      <c r="BF55" t="str">
        <f>HYPERLINK("http://dx.doi.org/10.1007/s10479-022-04776-3","http://dx.doi.org/10.1007/s10479-022-04776-3")</f>
        <v>http://dx.doi.org/10.1007/s10479-022-04776-3</v>
      </c>
      <c r="BG55" t="s">
        <v>74</v>
      </c>
      <c r="BH55" t="s">
        <v>867</v>
      </c>
      <c r="BI55">
        <v>21</v>
      </c>
      <c r="BJ55" t="s">
        <v>330</v>
      </c>
      <c r="BK55" t="s">
        <v>98</v>
      </c>
      <c r="BL55" t="s">
        <v>330</v>
      </c>
      <c r="BM55" t="s">
        <v>1273</v>
      </c>
      <c r="BN55">
        <v>35702424</v>
      </c>
      <c r="BO55" t="s">
        <v>359</v>
      </c>
      <c r="BP55" t="s">
        <v>74</v>
      </c>
      <c r="BQ55" t="s">
        <v>74</v>
      </c>
      <c r="BR55" t="s">
        <v>102</v>
      </c>
      <c r="BS55" t="s">
        <v>1274</v>
      </c>
      <c r="BT55" t="str">
        <f>HYPERLINK("https%3A%2F%2Fwww.webofscience.com%2Fwos%2Fwoscc%2Ffull-record%2FWOS:000809290200001","View Full Record in Web of Science")</f>
        <v>View Full Record in Web of Science</v>
      </c>
    </row>
    <row r="56" spans="1:72" x14ac:dyDescent="0.2">
      <c r="A56" t="s">
        <v>72</v>
      </c>
      <c r="B56" t="s">
        <v>1275</v>
      </c>
      <c r="C56" t="s">
        <v>74</v>
      </c>
      <c r="D56" t="s">
        <v>74</v>
      </c>
      <c r="E56" t="s">
        <v>74</v>
      </c>
      <c r="F56" t="s">
        <v>1276</v>
      </c>
      <c r="G56" t="s">
        <v>74</v>
      </c>
      <c r="H56" t="s">
        <v>74</v>
      </c>
      <c r="I56" t="s">
        <v>1277</v>
      </c>
      <c r="J56" t="s">
        <v>1278</v>
      </c>
      <c r="K56" t="s">
        <v>74</v>
      </c>
      <c r="L56" t="s">
        <v>74</v>
      </c>
      <c r="M56" t="s">
        <v>78</v>
      </c>
      <c r="N56" t="s">
        <v>79</v>
      </c>
      <c r="O56" t="s">
        <v>74</v>
      </c>
      <c r="P56" t="s">
        <v>74</v>
      </c>
      <c r="Q56" t="s">
        <v>74</v>
      </c>
      <c r="R56" t="s">
        <v>74</v>
      </c>
      <c r="S56" t="s">
        <v>74</v>
      </c>
      <c r="T56" t="s">
        <v>1279</v>
      </c>
      <c r="U56" t="s">
        <v>1280</v>
      </c>
      <c r="V56" t="s">
        <v>1281</v>
      </c>
      <c r="W56" t="s">
        <v>1282</v>
      </c>
      <c r="X56" t="s">
        <v>1283</v>
      </c>
      <c r="Y56" t="s">
        <v>1284</v>
      </c>
      <c r="Z56" t="s">
        <v>1285</v>
      </c>
      <c r="AA56" t="s">
        <v>1286</v>
      </c>
      <c r="AB56" t="s">
        <v>1287</v>
      </c>
      <c r="AC56" t="s">
        <v>74</v>
      </c>
      <c r="AD56" t="s">
        <v>74</v>
      </c>
      <c r="AE56" t="s">
        <v>74</v>
      </c>
      <c r="AF56" t="s">
        <v>74</v>
      </c>
      <c r="AG56">
        <v>82</v>
      </c>
      <c r="AH56">
        <v>20</v>
      </c>
      <c r="AI56">
        <v>20</v>
      </c>
      <c r="AJ56">
        <v>47</v>
      </c>
      <c r="AK56">
        <v>159</v>
      </c>
      <c r="AL56" t="s">
        <v>116</v>
      </c>
      <c r="AM56" t="s">
        <v>117</v>
      </c>
      <c r="AN56" t="s">
        <v>118</v>
      </c>
      <c r="AO56" t="s">
        <v>74</v>
      </c>
      <c r="AP56" t="s">
        <v>1288</v>
      </c>
      <c r="AQ56" t="s">
        <v>74</v>
      </c>
      <c r="AR56" t="s">
        <v>1278</v>
      </c>
      <c r="AS56" t="s">
        <v>1289</v>
      </c>
      <c r="AT56" t="s">
        <v>846</v>
      </c>
      <c r="AU56">
        <v>2022</v>
      </c>
      <c r="AV56">
        <v>10</v>
      </c>
      <c r="AW56">
        <v>5</v>
      </c>
      <c r="AX56" t="s">
        <v>74</v>
      </c>
      <c r="AY56" t="s">
        <v>74</v>
      </c>
      <c r="AZ56" t="s">
        <v>74</v>
      </c>
      <c r="BA56" t="s">
        <v>74</v>
      </c>
      <c r="BB56" t="s">
        <v>74</v>
      </c>
      <c r="BC56" t="s">
        <v>74</v>
      </c>
      <c r="BD56">
        <v>842</v>
      </c>
      <c r="BE56" t="s">
        <v>1290</v>
      </c>
      <c r="BF56" t="str">
        <f>HYPERLINK("http://dx.doi.org/10.3390/pr10050842","http://dx.doi.org/10.3390/pr10050842")</f>
        <v>http://dx.doi.org/10.3390/pr10050842</v>
      </c>
      <c r="BG56" t="s">
        <v>74</v>
      </c>
      <c r="BH56" t="s">
        <v>74</v>
      </c>
      <c r="BI56">
        <v>19</v>
      </c>
      <c r="BJ56" t="s">
        <v>1291</v>
      </c>
      <c r="BK56" t="s">
        <v>98</v>
      </c>
      <c r="BL56" t="s">
        <v>1292</v>
      </c>
      <c r="BM56" t="s">
        <v>1293</v>
      </c>
      <c r="BN56" t="s">
        <v>74</v>
      </c>
      <c r="BO56" t="s">
        <v>126</v>
      </c>
      <c r="BP56" t="s">
        <v>74</v>
      </c>
      <c r="BQ56" t="s">
        <v>74</v>
      </c>
      <c r="BR56" t="s">
        <v>102</v>
      </c>
      <c r="BS56" t="s">
        <v>1294</v>
      </c>
      <c r="BT56" t="str">
        <f>HYPERLINK("https%3A%2F%2Fwww.webofscience.com%2Fwos%2Fwoscc%2Ffull-record%2FWOS:000803625200001","View Full Record in Web of Science")</f>
        <v>View Full Record in Web of Science</v>
      </c>
    </row>
    <row r="57" spans="1:72" x14ac:dyDescent="0.2">
      <c r="A57" t="s">
        <v>72</v>
      </c>
      <c r="B57" t="s">
        <v>1295</v>
      </c>
      <c r="C57" t="s">
        <v>74</v>
      </c>
      <c r="D57" t="s">
        <v>74</v>
      </c>
      <c r="E57" t="s">
        <v>74</v>
      </c>
      <c r="F57" t="s">
        <v>1296</v>
      </c>
      <c r="G57" t="s">
        <v>74</v>
      </c>
      <c r="H57" t="s">
        <v>74</v>
      </c>
      <c r="I57" t="s">
        <v>1297</v>
      </c>
      <c r="J57" t="s">
        <v>976</v>
      </c>
      <c r="K57" t="s">
        <v>74</v>
      </c>
      <c r="L57" t="s">
        <v>74</v>
      </c>
      <c r="M57" t="s">
        <v>78</v>
      </c>
      <c r="N57" t="s">
        <v>108</v>
      </c>
      <c r="O57" t="s">
        <v>74</v>
      </c>
      <c r="P57" t="s">
        <v>74</v>
      </c>
      <c r="Q57" t="s">
        <v>74</v>
      </c>
      <c r="R57" t="s">
        <v>74</v>
      </c>
      <c r="S57" t="s">
        <v>74</v>
      </c>
      <c r="T57" t="s">
        <v>1298</v>
      </c>
      <c r="U57" t="s">
        <v>1299</v>
      </c>
      <c r="V57" t="s">
        <v>1300</v>
      </c>
      <c r="W57" t="s">
        <v>1301</v>
      </c>
      <c r="X57" t="s">
        <v>1302</v>
      </c>
      <c r="Y57" t="s">
        <v>1303</v>
      </c>
      <c r="Z57" t="s">
        <v>1304</v>
      </c>
      <c r="AA57" t="s">
        <v>1305</v>
      </c>
      <c r="AB57" t="s">
        <v>1306</v>
      </c>
      <c r="AC57" t="s">
        <v>1307</v>
      </c>
      <c r="AD57" t="s">
        <v>1308</v>
      </c>
      <c r="AE57" t="s">
        <v>1309</v>
      </c>
      <c r="AF57" t="s">
        <v>74</v>
      </c>
      <c r="AG57">
        <v>156</v>
      </c>
      <c r="AH57">
        <v>2</v>
      </c>
      <c r="AI57">
        <v>2</v>
      </c>
      <c r="AJ57">
        <v>12</v>
      </c>
      <c r="AK57">
        <v>12</v>
      </c>
      <c r="AL57" t="s">
        <v>259</v>
      </c>
      <c r="AM57" t="s">
        <v>260</v>
      </c>
      <c r="AN57" t="s">
        <v>261</v>
      </c>
      <c r="AO57" t="s">
        <v>989</v>
      </c>
      <c r="AP57" t="s">
        <v>990</v>
      </c>
      <c r="AQ57" t="s">
        <v>74</v>
      </c>
      <c r="AR57" t="s">
        <v>991</v>
      </c>
      <c r="AS57" t="s">
        <v>992</v>
      </c>
      <c r="AT57" t="s">
        <v>1310</v>
      </c>
      <c r="AU57">
        <v>2023</v>
      </c>
      <c r="AV57">
        <v>408</v>
      </c>
      <c r="AW57" t="s">
        <v>74</v>
      </c>
      <c r="AX57" t="s">
        <v>74</v>
      </c>
      <c r="AY57" t="s">
        <v>74</v>
      </c>
      <c r="AZ57" t="s">
        <v>74</v>
      </c>
      <c r="BA57" t="s">
        <v>74</v>
      </c>
      <c r="BB57" t="s">
        <v>74</v>
      </c>
      <c r="BC57" t="s">
        <v>74</v>
      </c>
      <c r="BD57">
        <v>137082</v>
      </c>
      <c r="BE57" t="s">
        <v>1311</v>
      </c>
      <c r="BF57" t="str">
        <f>HYPERLINK("http://dx.doi.org/10.1016/j.jclepro.2023.137082","http://dx.doi.org/10.1016/j.jclepro.2023.137082")</f>
        <v>http://dx.doi.org/10.1016/j.jclepro.2023.137082</v>
      </c>
      <c r="BG57" t="s">
        <v>74</v>
      </c>
      <c r="BH57" t="s">
        <v>355</v>
      </c>
      <c r="BI57">
        <v>15</v>
      </c>
      <c r="BJ57" t="s">
        <v>995</v>
      </c>
      <c r="BK57" t="s">
        <v>98</v>
      </c>
      <c r="BL57" t="s">
        <v>996</v>
      </c>
      <c r="BM57" t="s">
        <v>1312</v>
      </c>
      <c r="BN57" t="s">
        <v>74</v>
      </c>
      <c r="BO57" t="s">
        <v>702</v>
      </c>
      <c r="BP57" t="s">
        <v>74</v>
      </c>
      <c r="BQ57" t="s">
        <v>74</v>
      </c>
      <c r="BR57" t="s">
        <v>102</v>
      </c>
      <c r="BS57" t="s">
        <v>1313</v>
      </c>
      <c r="BT57" t="str">
        <f>HYPERLINK("https%3A%2F%2Fwww.webofscience.com%2Fwos%2Fwoscc%2Ffull-record%2FWOS:000989179700001","View Full Record in Web of Science")</f>
        <v>View Full Record in Web of Science</v>
      </c>
    </row>
    <row r="58" spans="1:72" x14ac:dyDescent="0.2">
      <c r="A58" t="s">
        <v>72</v>
      </c>
      <c r="B58" t="s">
        <v>1314</v>
      </c>
      <c r="C58" t="s">
        <v>74</v>
      </c>
      <c r="D58" t="s">
        <v>74</v>
      </c>
      <c r="E58" t="s">
        <v>74</v>
      </c>
      <c r="F58" t="s">
        <v>1315</v>
      </c>
      <c r="G58" t="s">
        <v>74</v>
      </c>
      <c r="H58" t="s">
        <v>74</v>
      </c>
      <c r="I58" t="s">
        <v>1316</v>
      </c>
      <c r="J58" t="s">
        <v>1317</v>
      </c>
      <c r="K58" t="s">
        <v>74</v>
      </c>
      <c r="L58" t="s">
        <v>74</v>
      </c>
      <c r="M58" t="s">
        <v>78</v>
      </c>
      <c r="N58" t="s">
        <v>763</v>
      </c>
      <c r="O58" t="s">
        <v>74</v>
      </c>
      <c r="P58" t="s">
        <v>74</v>
      </c>
      <c r="Q58" t="s">
        <v>74</v>
      </c>
      <c r="R58" t="s">
        <v>74</v>
      </c>
      <c r="S58" t="s">
        <v>74</v>
      </c>
      <c r="T58" t="s">
        <v>1318</v>
      </c>
      <c r="U58" t="s">
        <v>1319</v>
      </c>
      <c r="V58" t="s">
        <v>1320</v>
      </c>
      <c r="W58" t="s">
        <v>1321</v>
      </c>
      <c r="X58" t="s">
        <v>1322</v>
      </c>
      <c r="Y58" t="s">
        <v>1323</v>
      </c>
      <c r="Z58" t="s">
        <v>1324</v>
      </c>
      <c r="AA58" t="s">
        <v>74</v>
      </c>
      <c r="AB58" t="s">
        <v>74</v>
      </c>
      <c r="AC58" t="s">
        <v>74</v>
      </c>
      <c r="AD58" t="s">
        <v>74</v>
      </c>
      <c r="AE58" t="s">
        <v>74</v>
      </c>
      <c r="AF58" t="s">
        <v>74</v>
      </c>
      <c r="AG58">
        <v>57</v>
      </c>
      <c r="AH58">
        <v>0</v>
      </c>
      <c r="AI58">
        <v>0</v>
      </c>
      <c r="AJ58">
        <v>2</v>
      </c>
      <c r="AK58">
        <v>2</v>
      </c>
      <c r="AL58" t="s">
        <v>437</v>
      </c>
      <c r="AM58" t="s">
        <v>438</v>
      </c>
      <c r="AN58" t="s">
        <v>439</v>
      </c>
      <c r="AO58" t="s">
        <v>1325</v>
      </c>
      <c r="AP58" t="s">
        <v>1326</v>
      </c>
      <c r="AQ58" t="s">
        <v>74</v>
      </c>
      <c r="AR58" t="s">
        <v>1327</v>
      </c>
      <c r="AS58" t="s">
        <v>1328</v>
      </c>
      <c r="AT58" t="s">
        <v>1329</v>
      </c>
      <c r="AU58">
        <v>2023</v>
      </c>
      <c r="AV58" t="s">
        <v>74</v>
      </c>
      <c r="AW58" t="s">
        <v>74</v>
      </c>
      <c r="AX58" t="s">
        <v>74</v>
      </c>
      <c r="AY58" t="s">
        <v>74</v>
      </c>
      <c r="AZ58" t="s">
        <v>74</v>
      </c>
      <c r="BA58" t="s">
        <v>74</v>
      </c>
      <c r="BB58" t="s">
        <v>74</v>
      </c>
      <c r="BC58" t="s">
        <v>74</v>
      </c>
      <c r="BD58" t="s">
        <v>74</v>
      </c>
      <c r="BE58" t="s">
        <v>1330</v>
      </c>
      <c r="BF58" t="str">
        <f>HYPERLINK("http://dx.doi.org/10.1108/BIJ-04-2023-0273","http://dx.doi.org/10.1108/BIJ-04-2023-0273")</f>
        <v>http://dx.doi.org/10.1108/BIJ-04-2023-0273</v>
      </c>
      <c r="BG58" t="s">
        <v>74</v>
      </c>
      <c r="BH58" t="s">
        <v>1331</v>
      </c>
      <c r="BI58">
        <v>35</v>
      </c>
      <c r="BJ58" t="s">
        <v>418</v>
      </c>
      <c r="BK58" t="s">
        <v>124</v>
      </c>
      <c r="BL58" t="s">
        <v>419</v>
      </c>
      <c r="BM58" t="s">
        <v>1332</v>
      </c>
      <c r="BN58" t="s">
        <v>74</v>
      </c>
      <c r="BO58" t="s">
        <v>702</v>
      </c>
      <c r="BP58" t="s">
        <v>74</v>
      </c>
      <c r="BQ58" t="s">
        <v>74</v>
      </c>
      <c r="BR58" t="s">
        <v>102</v>
      </c>
      <c r="BS58" t="s">
        <v>1333</v>
      </c>
      <c r="BT58" t="str">
        <f>HYPERLINK("https%3A%2F%2Fwww.webofscience.com%2Fwos%2Fwoscc%2Ffull-record%2FWOS:001028506600001","View Full Record in Web of Science")</f>
        <v>View Full Record in Web of Science</v>
      </c>
    </row>
    <row r="59" spans="1:72" x14ac:dyDescent="0.2">
      <c r="A59" t="s">
        <v>72</v>
      </c>
      <c r="B59" t="s">
        <v>1334</v>
      </c>
      <c r="C59" t="s">
        <v>74</v>
      </c>
      <c r="D59" t="s">
        <v>74</v>
      </c>
      <c r="E59" t="s">
        <v>74</v>
      </c>
      <c r="F59" t="s">
        <v>1335</v>
      </c>
      <c r="G59" t="s">
        <v>74</v>
      </c>
      <c r="H59" t="s">
        <v>74</v>
      </c>
      <c r="I59" t="s">
        <v>1336</v>
      </c>
      <c r="J59" t="s">
        <v>1337</v>
      </c>
      <c r="K59" t="s">
        <v>74</v>
      </c>
      <c r="L59" t="s">
        <v>74</v>
      </c>
      <c r="M59" t="s">
        <v>78</v>
      </c>
      <c r="N59" t="s">
        <v>108</v>
      </c>
      <c r="O59" t="s">
        <v>74</v>
      </c>
      <c r="P59" t="s">
        <v>74</v>
      </c>
      <c r="Q59" t="s">
        <v>74</v>
      </c>
      <c r="R59" t="s">
        <v>74</v>
      </c>
      <c r="S59" t="s">
        <v>74</v>
      </c>
      <c r="T59" t="s">
        <v>1338</v>
      </c>
      <c r="U59" t="s">
        <v>1339</v>
      </c>
      <c r="V59" t="s">
        <v>1340</v>
      </c>
      <c r="W59" t="s">
        <v>1341</v>
      </c>
      <c r="X59" t="s">
        <v>1342</v>
      </c>
      <c r="Y59" t="s">
        <v>1343</v>
      </c>
      <c r="Z59" t="s">
        <v>1344</v>
      </c>
      <c r="AA59" t="s">
        <v>1345</v>
      </c>
      <c r="AB59" t="s">
        <v>1346</v>
      </c>
      <c r="AC59" t="s">
        <v>74</v>
      </c>
      <c r="AD59" t="s">
        <v>74</v>
      </c>
      <c r="AE59" t="s">
        <v>74</v>
      </c>
      <c r="AF59" t="s">
        <v>74</v>
      </c>
      <c r="AG59">
        <v>140</v>
      </c>
      <c r="AH59">
        <v>10</v>
      </c>
      <c r="AI59">
        <v>10</v>
      </c>
      <c r="AJ59">
        <v>25</v>
      </c>
      <c r="AK59">
        <v>94</v>
      </c>
      <c r="AL59" t="s">
        <v>409</v>
      </c>
      <c r="AM59" t="s">
        <v>410</v>
      </c>
      <c r="AN59" t="s">
        <v>411</v>
      </c>
      <c r="AO59" t="s">
        <v>1347</v>
      </c>
      <c r="AP59" t="s">
        <v>1348</v>
      </c>
      <c r="AQ59" t="s">
        <v>74</v>
      </c>
      <c r="AR59" t="s">
        <v>1349</v>
      </c>
      <c r="AS59" t="s">
        <v>1350</v>
      </c>
      <c r="AT59" t="s">
        <v>121</v>
      </c>
      <c r="AU59">
        <v>2022</v>
      </c>
      <c r="AV59">
        <v>31</v>
      </c>
      <c r="AW59">
        <v>5</v>
      </c>
      <c r="AX59" t="s">
        <v>74</v>
      </c>
      <c r="AY59" t="s">
        <v>74</v>
      </c>
      <c r="AZ59" t="s">
        <v>74</v>
      </c>
      <c r="BA59" t="s">
        <v>74</v>
      </c>
      <c r="BB59">
        <v>2400</v>
      </c>
      <c r="BC59">
        <v>2423</v>
      </c>
      <c r="BD59" t="s">
        <v>74</v>
      </c>
      <c r="BE59" t="s">
        <v>1351</v>
      </c>
      <c r="BF59" t="str">
        <f>HYPERLINK("http://dx.doi.org/10.1002/bse.3034","http://dx.doi.org/10.1002/bse.3034")</f>
        <v>http://dx.doi.org/10.1002/bse.3034</v>
      </c>
      <c r="BG59" t="s">
        <v>74</v>
      </c>
      <c r="BH59" t="s">
        <v>329</v>
      </c>
      <c r="BI59">
        <v>24</v>
      </c>
      <c r="BJ59" t="s">
        <v>1352</v>
      </c>
      <c r="BK59" t="s">
        <v>242</v>
      </c>
      <c r="BL59" t="s">
        <v>1172</v>
      </c>
      <c r="BM59" t="s">
        <v>1353</v>
      </c>
      <c r="BN59" t="s">
        <v>74</v>
      </c>
      <c r="BO59" t="s">
        <v>702</v>
      </c>
      <c r="BP59" t="s">
        <v>74</v>
      </c>
      <c r="BQ59" t="s">
        <v>74</v>
      </c>
      <c r="BR59" t="s">
        <v>102</v>
      </c>
      <c r="BS59" t="s">
        <v>1354</v>
      </c>
      <c r="BT59" t="str">
        <f>HYPERLINK("https%3A%2F%2Fwww.webofscience.com%2Fwos%2Fwoscc%2Ffull-record%2FWOS:000771506200001","View Full Record in Web of Science")</f>
        <v>View Full Record in Web of Science</v>
      </c>
    </row>
    <row r="60" spans="1:72" x14ac:dyDescent="0.2">
      <c r="A60" t="s">
        <v>72</v>
      </c>
      <c r="B60" t="s">
        <v>1355</v>
      </c>
      <c r="C60" t="s">
        <v>74</v>
      </c>
      <c r="D60" t="s">
        <v>74</v>
      </c>
      <c r="E60" t="s">
        <v>74</v>
      </c>
      <c r="F60" t="s">
        <v>1356</v>
      </c>
      <c r="G60" t="s">
        <v>74</v>
      </c>
      <c r="H60" t="s">
        <v>74</v>
      </c>
      <c r="I60" t="s">
        <v>1357</v>
      </c>
      <c r="J60" t="s">
        <v>1358</v>
      </c>
      <c r="K60" t="s">
        <v>74</v>
      </c>
      <c r="L60" t="s">
        <v>74</v>
      </c>
      <c r="M60" t="s">
        <v>78</v>
      </c>
      <c r="N60" t="s">
        <v>108</v>
      </c>
      <c r="O60" t="s">
        <v>74</v>
      </c>
      <c r="P60" t="s">
        <v>74</v>
      </c>
      <c r="Q60" t="s">
        <v>74</v>
      </c>
      <c r="R60" t="s">
        <v>74</v>
      </c>
      <c r="S60" t="s">
        <v>74</v>
      </c>
      <c r="T60" t="s">
        <v>1359</v>
      </c>
      <c r="U60" t="s">
        <v>1360</v>
      </c>
      <c r="V60" t="s">
        <v>1361</v>
      </c>
      <c r="W60" t="s">
        <v>1362</v>
      </c>
      <c r="X60" t="s">
        <v>1363</v>
      </c>
      <c r="Y60" t="s">
        <v>1364</v>
      </c>
      <c r="Z60" t="s">
        <v>1365</v>
      </c>
      <c r="AA60" t="s">
        <v>74</v>
      </c>
      <c r="AB60" t="s">
        <v>1366</v>
      </c>
      <c r="AC60" t="s">
        <v>74</v>
      </c>
      <c r="AD60" t="s">
        <v>74</v>
      </c>
      <c r="AE60" t="s">
        <v>74</v>
      </c>
      <c r="AF60" t="s">
        <v>74</v>
      </c>
      <c r="AG60">
        <v>72</v>
      </c>
      <c r="AH60">
        <v>6</v>
      </c>
      <c r="AI60">
        <v>6</v>
      </c>
      <c r="AJ60">
        <v>3</v>
      </c>
      <c r="AK60">
        <v>26</v>
      </c>
      <c r="AL60" t="s">
        <v>462</v>
      </c>
      <c r="AM60" t="s">
        <v>280</v>
      </c>
      <c r="AN60" t="s">
        <v>463</v>
      </c>
      <c r="AO60" t="s">
        <v>1367</v>
      </c>
      <c r="AP60" t="s">
        <v>1368</v>
      </c>
      <c r="AQ60" t="s">
        <v>74</v>
      </c>
      <c r="AR60" t="s">
        <v>1369</v>
      </c>
      <c r="AS60" t="s">
        <v>1370</v>
      </c>
      <c r="AT60" t="s">
        <v>1371</v>
      </c>
      <c r="AU60">
        <v>2022</v>
      </c>
      <c r="AV60">
        <v>65</v>
      </c>
      <c r="AW60">
        <v>13</v>
      </c>
      <c r="AX60" t="s">
        <v>74</v>
      </c>
      <c r="AY60" t="s">
        <v>74</v>
      </c>
      <c r="AZ60" t="s">
        <v>74</v>
      </c>
      <c r="BA60" t="s">
        <v>74</v>
      </c>
      <c r="BB60">
        <v>2436</v>
      </c>
      <c r="BC60">
        <v>2467</v>
      </c>
      <c r="BD60" t="s">
        <v>74</v>
      </c>
      <c r="BE60" t="s">
        <v>1372</v>
      </c>
      <c r="BF60" t="str">
        <f>HYPERLINK("http://dx.doi.org/10.1080/09640568.2021.1972284","http://dx.doi.org/10.1080/09640568.2021.1972284")</f>
        <v>http://dx.doi.org/10.1080/09640568.2021.1972284</v>
      </c>
      <c r="BG60" t="s">
        <v>74</v>
      </c>
      <c r="BH60" t="s">
        <v>1373</v>
      </c>
      <c r="BI60">
        <v>32</v>
      </c>
      <c r="BJ60" t="s">
        <v>699</v>
      </c>
      <c r="BK60" t="s">
        <v>242</v>
      </c>
      <c r="BL60" t="s">
        <v>700</v>
      </c>
      <c r="BM60" t="s">
        <v>1374</v>
      </c>
      <c r="BN60" t="s">
        <v>74</v>
      </c>
      <c r="BO60" t="s">
        <v>74</v>
      </c>
      <c r="BP60" t="s">
        <v>74</v>
      </c>
      <c r="BQ60" t="s">
        <v>74</v>
      </c>
      <c r="BR60" t="s">
        <v>102</v>
      </c>
      <c r="BS60" t="s">
        <v>1375</v>
      </c>
      <c r="BT60" t="str">
        <f>HYPERLINK("https%3A%2F%2Fwww.webofscience.com%2Fwos%2Fwoscc%2Ffull-record%2FWOS:000702637600001","View Full Record in Web of Science")</f>
        <v>View Full Record in Web of Science</v>
      </c>
    </row>
    <row r="61" spans="1:72" x14ac:dyDescent="0.2">
      <c r="A61" t="s">
        <v>72</v>
      </c>
      <c r="B61" t="s">
        <v>1376</v>
      </c>
      <c r="C61" t="s">
        <v>74</v>
      </c>
      <c r="D61" t="s">
        <v>74</v>
      </c>
      <c r="E61" t="s">
        <v>74</v>
      </c>
      <c r="F61" t="s">
        <v>1377</v>
      </c>
      <c r="G61" t="s">
        <v>74</v>
      </c>
      <c r="H61" t="s">
        <v>74</v>
      </c>
      <c r="I61" t="s">
        <v>1378</v>
      </c>
      <c r="J61" t="s">
        <v>337</v>
      </c>
      <c r="K61" t="s">
        <v>74</v>
      </c>
      <c r="L61" t="s">
        <v>74</v>
      </c>
      <c r="M61" t="s">
        <v>78</v>
      </c>
      <c r="N61" t="s">
        <v>108</v>
      </c>
      <c r="O61" t="s">
        <v>74</v>
      </c>
      <c r="P61" t="s">
        <v>74</v>
      </c>
      <c r="Q61" t="s">
        <v>74</v>
      </c>
      <c r="R61" t="s">
        <v>74</v>
      </c>
      <c r="S61" t="s">
        <v>74</v>
      </c>
      <c r="T61" t="s">
        <v>1379</v>
      </c>
      <c r="U61" t="s">
        <v>1380</v>
      </c>
      <c r="V61" t="s">
        <v>1381</v>
      </c>
      <c r="W61" t="s">
        <v>1382</v>
      </c>
      <c r="X61" t="s">
        <v>1383</v>
      </c>
      <c r="Y61" t="s">
        <v>1384</v>
      </c>
      <c r="Z61" t="s">
        <v>1385</v>
      </c>
      <c r="AA61" t="s">
        <v>1386</v>
      </c>
      <c r="AB61" t="s">
        <v>1387</v>
      </c>
      <c r="AC61" t="s">
        <v>74</v>
      </c>
      <c r="AD61" t="s">
        <v>74</v>
      </c>
      <c r="AE61" t="s">
        <v>74</v>
      </c>
      <c r="AF61" t="s">
        <v>74</v>
      </c>
      <c r="AG61">
        <v>120</v>
      </c>
      <c r="AH61">
        <v>0</v>
      </c>
      <c r="AI61">
        <v>0</v>
      </c>
      <c r="AJ61">
        <v>32</v>
      </c>
      <c r="AK61">
        <v>32</v>
      </c>
      <c r="AL61" t="s">
        <v>347</v>
      </c>
      <c r="AM61" t="s">
        <v>348</v>
      </c>
      <c r="AN61" t="s">
        <v>349</v>
      </c>
      <c r="AO61" t="s">
        <v>350</v>
      </c>
      <c r="AP61" t="s">
        <v>351</v>
      </c>
      <c r="AQ61" t="s">
        <v>74</v>
      </c>
      <c r="AR61" t="s">
        <v>352</v>
      </c>
      <c r="AS61" t="s">
        <v>353</v>
      </c>
      <c r="AT61" t="s">
        <v>239</v>
      </c>
      <c r="AU61">
        <v>2023</v>
      </c>
      <c r="AV61">
        <v>193</v>
      </c>
      <c r="AW61" t="s">
        <v>74</v>
      </c>
      <c r="AX61" t="s">
        <v>74</v>
      </c>
      <c r="AY61" t="s">
        <v>74</v>
      </c>
      <c r="AZ61" t="s">
        <v>74</v>
      </c>
      <c r="BA61" t="s">
        <v>74</v>
      </c>
      <c r="BB61" t="s">
        <v>74</v>
      </c>
      <c r="BC61" t="s">
        <v>74</v>
      </c>
      <c r="BD61">
        <v>122576</v>
      </c>
      <c r="BE61" t="s">
        <v>1388</v>
      </c>
      <c r="BF61" t="str">
        <f>HYPERLINK("http://dx.doi.org/10.1016/j.techfore.2023.122576","http://dx.doi.org/10.1016/j.techfore.2023.122576")</f>
        <v>http://dx.doi.org/10.1016/j.techfore.2023.122576</v>
      </c>
      <c r="BG61" t="s">
        <v>74</v>
      </c>
      <c r="BH61" t="s">
        <v>930</v>
      </c>
      <c r="BI61">
        <v>15</v>
      </c>
      <c r="BJ61" t="s">
        <v>356</v>
      </c>
      <c r="BK61" t="s">
        <v>242</v>
      </c>
      <c r="BL61" t="s">
        <v>357</v>
      </c>
      <c r="BM61" t="s">
        <v>1389</v>
      </c>
      <c r="BN61" t="s">
        <v>74</v>
      </c>
      <c r="BO61" t="s">
        <v>74</v>
      </c>
      <c r="BP61" t="s">
        <v>74</v>
      </c>
      <c r="BQ61" t="s">
        <v>74</v>
      </c>
      <c r="BR61" t="s">
        <v>102</v>
      </c>
      <c r="BS61" t="s">
        <v>1390</v>
      </c>
      <c r="BT61" t="str">
        <f>HYPERLINK("https%3A%2F%2Fwww.webofscience.com%2Fwos%2Fwoscc%2Ffull-record%2FWOS:001004779200001","View Full Record in Web of Science")</f>
        <v>View Full Record in Web of Science</v>
      </c>
    </row>
    <row r="62" spans="1:72" x14ac:dyDescent="0.2">
      <c r="A62" t="s">
        <v>72</v>
      </c>
      <c r="B62" t="s">
        <v>1391</v>
      </c>
      <c r="C62" t="s">
        <v>74</v>
      </c>
      <c r="D62" t="s">
        <v>74</v>
      </c>
      <c r="E62" t="s">
        <v>74</v>
      </c>
      <c r="F62" t="s">
        <v>1392</v>
      </c>
      <c r="G62" t="s">
        <v>74</v>
      </c>
      <c r="H62" t="s">
        <v>74</v>
      </c>
      <c r="I62" t="s">
        <v>1393</v>
      </c>
      <c r="J62" t="s">
        <v>1394</v>
      </c>
      <c r="K62" t="s">
        <v>74</v>
      </c>
      <c r="L62" t="s">
        <v>74</v>
      </c>
      <c r="M62" t="s">
        <v>78</v>
      </c>
      <c r="N62" t="s">
        <v>108</v>
      </c>
      <c r="O62" t="s">
        <v>74</v>
      </c>
      <c r="P62" t="s">
        <v>74</v>
      </c>
      <c r="Q62" t="s">
        <v>74</v>
      </c>
      <c r="R62" t="s">
        <v>74</v>
      </c>
      <c r="S62" t="s">
        <v>74</v>
      </c>
      <c r="T62" t="s">
        <v>1395</v>
      </c>
      <c r="U62" t="s">
        <v>1396</v>
      </c>
      <c r="V62" t="s">
        <v>1397</v>
      </c>
      <c r="W62" t="s">
        <v>1398</v>
      </c>
      <c r="X62" t="s">
        <v>1399</v>
      </c>
      <c r="Y62" t="s">
        <v>1400</v>
      </c>
      <c r="Z62" t="s">
        <v>1401</v>
      </c>
      <c r="AA62" t="s">
        <v>74</v>
      </c>
      <c r="AB62" t="s">
        <v>1402</v>
      </c>
      <c r="AC62" t="s">
        <v>74</v>
      </c>
      <c r="AD62" t="s">
        <v>74</v>
      </c>
      <c r="AE62" t="s">
        <v>74</v>
      </c>
      <c r="AF62" t="s">
        <v>74</v>
      </c>
      <c r="AG62">
        <v>88</v>
      </c>
      <c r="AH62">
        <v>46</v>
      </c>
      <c r="AI62">
        <v>46</v>
      </c>
      <c r="AJ62">
        <v>1</v>
      </c>
      <c r="AK62">
        <v>47</v>
      </c>
      <c r="AL62" t="s">
        <v>209</v>
      </c>
      <c r="AM62" t="s">
        <v>210</v>
      </c>
      <c r="AN62" t="s">
        <v>211</v>
      </c>
      <c r="AO62" t="s">
        <v>1403</v>
      </c>
      <c r="AP62" t="s">
        <v>1404</v>
      </c>
      <c r="AQ62" t="s">
        <v>74</v>
      </c>
      <c r="AR62" t="s">
        <v>1405</v>
      </c>
      <c r="AS62" t="s">
        <v>1406</v>
      </c>
      <c r="AT62" t="s">
        <v>372</v>
      </c>
      <c r="AU62">
        <v>2017</v>
      </c>
      <c r="AV62">
        <v>72</v>
      </c>
      <c r="AW62" t="s">
        <v>74</v>
      </c>
      <c r="AX62" t="s">
        <v>74</v>
      </c>
      <c r="AY62" t="s">
        <v>74</v>
      </c>
      <c r="AZ62" t="s">
        <v>74</v>
      </c>
      <c r="BA62" t="s">
        <v>74</v>
      </c>
      <c r="BB62">
        <v>803</v>
      </c>
      <c r="BC62">
        <v>820</v>
      </c>
      <c r="BD62" t="s">
        <v>74</v>
      </c>
      <c r="BE62" t="s">
        <v>1407</v>
      </c>
      <c r="BF62" t="str">
        <f>HYPERLINK("http://dx.doi.org/10.1016/j.ecolind.2016.08.027","http://dx.doi.org/10.1016/j.ecolind.2016.08.027")</f>
        <v>http://dx.doi.org/10.1016/j.ecolind.2016.08.027</v>
      </c>
      <c r="BG62" t="s">
        <v>74</v>
      </c>
      <c r="BH62" t="s">
        <v>74</v>
      </c>
      <c r="BI62">
        <v>18</v>
      </c>
      <c r="BJ62" t="s">
        <v>1408</v>
      </c>
      <c r="BK62" t="s">
        <v>147</v>
      </c>
      <c r="BL62" t="s">
        <v>1409</v>
      </c>
      <c r="BM62" t="s">
        <v>1410</v>
      </c>
      <c r="BN62" t="s">
        <v>74</v>
      </c>
      <c r="BO62" t="s">
        <v>74</v>
      </c>
      <c r="BP62" t="s">
        <v>74</v>
      </c>
      <c r="BQ62" t="s">
        <v>74</v>
      </c>
      <c r="BR62" t="s">
        <v>102</v>
      </c>
      <c r="BS62" t="s">
        <v>1411</v>
      </c>
      <c r="BT62" t="str">
        <f>HYPERLINK("https%3A%2F%2Fwww.webofscience.com%2Fwos%2Fwoscc%2Ffull-record%2FWOS:000398426200078","View Full Record in Web of Science")</f>
        <v>View Full Record in Web of Science</v>
      </c>
    </row>
    <row r="63" spans="1:72" x14ac:dyDescent="0.2">
      <c r="A63" t="s">
        <v>72</v>
      </c>
      <c r="B63" t="s">
        <v>1412</v>
      </c>
      <c r="C63" t="s">
        <v>74</v>
      </c>
      <c r="D63" t="s">
        <v>74</v>
      </c>
      <c r="E63" t="s">
        <v>74</v>
      </c>
      <c r="F63" t="s">
        <v>1413</v>
      </c>
      <c r="G63" t="s">
        <v>74</v>
      </c>
      <c r="H63" t="s">
        <v>74</v>
      </c>
      <c r="I63" t="s">
        <v>1414</v>
      </c>
      <c r="J63" t="s">
        <v>131</v>
      </c>
      <c r="K63" t="s">
        <v>74</v>
      </c>
      <c r="L63" t="s">
        <v>74</v>
      </c>
      <c r="M63" t="s">
        <v>78</v>
      </c>
      <c r="N63" t="s">
        <v>108</v>
      </c>
      <c r="O63" t="s">
        <v>74</v>
      </c>
      <c r="P63" t="s">
        <v>74</v>
      </c>
      <c r="Q63" t="s">
        <v>74</v>
      </c>
      <c r="R63" t="s">
        <v>74</v>
      </c>
      <c r="S63" t="s">
        <v>74</v>
      </c>
      <c r="T63" t="s">
        <v>1415</v>
      </c>
      <c r="U63" t="s">
        <v>1416</v>
      </c>
      <c r="V63" t="s">
        <v>1417</v>
      </c>
      <c r="W63" t="s">
        <v>1418</v>
      </c>
      <c r="X63" t="s">
        <v>1419</v>
      </c>
      <c r="Y63" t="s">
        <v>1420</v>
      </c>
      <c r="Z63" t="s">
        <v>1421</v>
      </c>
      <c r="AA63" t="s">
        <v>74</v>
      </c>
      <c r="AB63" t="s">
        <v>74</v>
      </c>
      <c r="AC63" t="s">
        <v>74</v>
      </c>
      <c r="AD63" t="s">
        <v>74</v>
      </c>
      <c r="AE63" t="s">
        <v>74</v>
      </c>
      <c r="AF63" t="s">
        <v>74</v>
      </c>
      <c r="AG63">
        <v>61</v>
      </c>
      <c r="AH63">
        <v>7</v>
      </c>
      <c r="AI63">
        <v>7</v>
      </c>
      <c r="AJ63">
        <v>8</v>
      </c>
      <c r="AK63">
        <v>30</v>
      </c>
      <c r="AL63" t="s">
        <v>116</v>
      </c>
      <c r="AM63" t="s">
        <v>117</v>
      </c>
      <c r="AN63" t="s">
        <v>118</v>
      </c>
      <c r="AO63" t="s">
        <v>74</v>
      </c>
      <c r="AP63" t="s">
        <v>142</v>
      </c>
      <c r="AQ63" t="s">
        <v>74</v>
      </c>
      <c r="AR63" t="s">
        <v>143</v>
      </c>
      <c r="AS63" t="s">
        <v>144</v>
      </c>
      <c r="AT63" t="s">
        <v>846</v>
      </c>
      <c r="AU63">
        <v>2022</v>
      </c>
      <c r="AV63">
        <v>14</v>
      </c>
      <c r="AW63">
        <v>9</v>
      </c>
      <c r="AX63" t="s">
        <v>74</v>
      </c>
      <c r="AY63" t="s">
        <v>74</v>
      </c>
      <c r="AZ63" t="s">
        <v>74</v>
      </c>
      <c r="BA63" t="s">
        <v>74</v>
      </c>
      <c r="BB63" t="s">
        <v>74</v>
      </c>
      <c r="BC63" t="s">
        <v>74</v>
      </c>
      <c r="BD63">
        <v>4921</v>
      </c>
      <c r="BE63" t="s">
        <v>1422</v>
      </c>
      <c r="BF63" t="str">
        <f>HYPERLINK("http://dx.doi.org/10.3390/su14094921","http://dx.doi.org/10.3390/su14094921")</f>
        <v>http://dx.doi.org/10.3390/su14094921</v>
      </c>
      <c r="BG63" t="s">
        <v>74</v>
      </c>
      <c r="BH63" t="s">
        <v>74</v>
      </c>
      <c r="BI63">
        <v>22</v>
      </c>
      <c r="BJ63" t="s">
        <v>146</v>
      </c>
      <c r="BK63" t="s">
        <v>147</v>
      </c>
      <c r="BL63" t="s">
        <v>148</v>
      </c>
      <c r="BM63" t="s">
        <v>1423</v>
      </c>
      <c r="BN63" t="s">
        <v>74</v>
      </c>
      <c r="BO63" t="s">
        <v>126</v>
      </c>
      <c r="BP63" t="s">
        <v>74</v>
      </c>
      <c r="BQ63" t="s">
        <v>74</v>
      </c>
      <c r="BR63" t="s">
        <v>102</v>
      </c>
      <c r="BS63" t="s">
        <v>1424</v>
      </c>
      <c r="BT63" t="str">
        <f>HYPERLINK("https%3A%2F%2Fwww.webofscience.com%2Fwos%2Fwoscc%2Ffull-record%2FWOS:000794598300001","View Full Record in Web of Science")</f>
        <v>View Full Record in Web of Science</v>
      </c>
    </row>
    <row r="64" spans="1:72" x14ac:dyDescent="0.2">
      <c r="A64" t="s">
        <v>72</v>
      </c>
      <c r="B64" t="s">
        <v>1425</v>
      </c>
      <c r="C64" t="s">
        <v>74</v>
      </c>
      <c r="D64" t="s">
        <v>74</v>
      </c>
      <c r="E64" t="s">
        <v>74</v>
      </c>
      <c r="F64" t="s">
        <v>1426</v>
      </c>
      <c r="G64" t="s">
        <v>74</v>
      </c>
      <c r="H64" t="s">
        <v>74</v>
      </c>
      <c r="I64" t="s">
        <v>1427</v>
      </c>
      <c r="J64" t="s">
        <v>556</v>
      </c>
      <c r="K64" t="s">
        <v>74</v>
      </c>
      <c r="L64" t="s">
        <v>74</v>
      </c>
      <c r="M64" t="s">
        <v>78</v>
      </c>
      <c r="N64" t="s">
        <v>763</v>
      </c>
      <c r="O64" t="s">
        <v>74</v>
      </c>
      <c r="P64" t="s">
        <v>74</v>
      </c>
      <c r="Q64" t="s">
        <v>74</v>
      </c>
      <c r="R64" t="s">
        <v>74</v>
      </c>
      <c r="S64" t="s">
        <v>74</v>
      </c>
      <c r="T64" t="s">
        <v>1428</v>
      </c>
      <c r="U64" t="s">
        <v>1429</v>
      </c>
      <c r="V64" t="s">
        <v>1430</v>
      </c>
      <c r="W64" t="s">
        <v>1431</v>
      </c>
      <c r="X64" t="s">
        <v>1432</v>
      </c>
      <c r="Y64" t="s">
        <v>1433</v>
      </c>
      <c r="Z64" t="s">
        <v>1434</v>
      </c>
      <c r="AA64" t="s">
        <v>1435</v>
      </c>
      <c r="AB64" t="s">
        <v>1436</v>
      </c>
      <c r="AC64" t="s">
        <v>74</v>
      </c>
      <c r="AD64" t="s">
        <v>74</v>
      </c>
      <c r="AE64" t="s">
        <v>74</v>
      </c>
      <c r="AF64" t="s">
        <v>74</v>
      </c>
      <c r="AG64">
        <v>53</v>
      </c>
      <c r="AH64">
        <v>0</v>
      </c>
      <c r="AI64">
        <v>0</v>
      </c>
      <c r="AJ64">
        <v>5</v>
      </c>
      <c r="AK64">
        <v>5</v>
      </c>
      <c r="AL64" t="s">
        <v>437</v>
      </c>
      <c r="AM64" t="s">
        <v>438</v>
      </c>
      <c r="AN64" t="s">
        <v>439</v>
      </c>
      <c r="AO64" t="s">
        <v>566</v>
      </c>
      <c r="AP64" t="s">
        <v>74</v>
      </c>
      <c r="AQ64" t="s">
        <v>74</v>
      </c>
      <c r="AR64" t="s">
        <v>567</v>
      </c>
      <c r="AS64" t="s">
        <v>568</v>
      </c>
      <c r="AT64" t="s">
        <v>1437</v>
      </c>
      <c r="AU64">
        <v>2023</v>
      </c>
      <c r="AV64" t="s">
        <v>74</v>
      </c>
      <c r="AW64" t="s">
        <v>74</v>
      </c>
      <c r="AX64" t="s">
        <v>74</v>
      </c>
      <c r="AY64" t="s">
        <v>74</v>
      </c>
      <c r="AZ64" t="s">
        <v>74</v>
      </c>
      <c r="BA64" t="s">
        <v>74</v>
      </c>
      <c r="BB64" t="s">
        <v>74</v>
      </c>
      <c r="BC64" t="s">
        <v>74</v>
      </c>
      <c r="BD64" t="s">
        <v>74</v>
      </c>
      <c r="BE64" t="s">
        <v>1438</v>
      </c>
      <c r="BF64" t="str">
        <f>HYPERLINK("http://dx.doi.org/10.1108/JGOSS-06-2022-0057","http://dx.doi.org/10.1108/JGOSS-06-2022-0057")</f>
        <v>http://dx.doi.org/10.1108/JGOSS-06-2022-0057</v>
      </c>
      <c r="BG64" t="s">
        <v>74</v>
      </c>
      <c r="BH64" t="s">
        <v>1331</v>
      </c>
      <c r="BI64">
        <v>18</v>
      </c>
      <c r="BJ64" t="s">
        <v>418</v>
      </c>
      <c r="BK64" t="s">
        <v>124</v>
      </c>
      <c r="BL64" t="s">
        <v>419</v>
      </c>
      <c r="BM64" t="s">
        <v>1439</v>
      </c>
      <c r="BN64" t="s">
        <v>74</v>
      </c>
      <c r="BO64" t="s">
        <v>74</v>
      </c>
      <c r="BP64" t="s">
        <v>74</v>
      </c>
      <c r="BQ64" t="s">
        <v>74</v>
      </c>
      <c r="BR64" t="s">
        <v>102</v>
      </c>
      <c r="BS64" t="s">
        <v>1440</v>
      </c>
      <c r="BT64" t="str">
        <f>HYPERLINK("https%3A%2F%2Fwww.webofscience.com%2Fwos%2Fwoscc%2Ffull-record%2FWOS:001021520700001","View Full Record in Web of Science")</f>
        <v>View Full Record in Web of Science</v>
      </c>
    </row>
    <row r="65" spans="1:72" x14ac:dyDescent="0.2">
      <c r="A65" t="s">
        <v>72</v>
      </c>
      <c r="B65" t="s">
        <v>1441</v>
      </c>
      <c r="C65" t="s">
        <v>74</v>
      </c>
      <c r="D65" t="s">
        <v>74</v>
      </c>
      <c r="E65" t="s">
        <v>74</v>
      </c>
      <c r="F65" t="s">
        <v>1442</v>
      </c>
      <c r="G65" t="s">
        <v>74</v>
      </c>
      <c r="H65" t="s">
        <v>74</v>
      </c>
      <c r="I65" t="s">
        <v>1443</v>
      </c>
      <c r="J65" t="s">
        <v>1444</v>
      </c>
      <c r="K65" t="s">
        <v>74</v>
      </c>
      <c r="L65" t="s">
        <v>74</v>
      </c>
      <c r="M65" t="s">
        <v>78</v>
      </c>
      <c r="N65" t="s">
        <v>79</v>
      </c>
      <c r="O65" t="s">
        <v>74</v>
      </c>
      <c r="P65" t="s">
        <v>74</v>
      </c>
      <c r="Q65" t="s">
        <v>74</v>
      </c>
      <c r="R65" t="s">
        <v>74</v>
      </c>
      <c r="S65" t="s">
        <v>74</v>
      </c>
      <c r="T65" t="s">
        <v>1445</v>
      </c>
      <c r="U65" t="s">
        <v>1446</v>
      </c>
      <c r="V65" t="s">
        <v>1447</v>
      </c>
      <c r="W65" t="s">
        <v>1448</v>
      </c>
      <c r="X65" t="s">
        <v>1449</v>
      </c>
      <c r="Y65" t="s">
        <v>1450</v>
      </c>
      <c r="Z65" t="s">
        <v>1451</v>
      </c>
      <c r="AA65" t="s">
        <v>1452</v>
      </c>
      <c r="AB65" t="s">
        <v>1453</v>
      </c>
      <c r="AC65" t="s">
        <v>74</v>
      </c>
      <c r="AD65" t="s">
        <v>74</v>
      </c>
      <c r="AE65" t="s">
        <v>74</v>
      </c>
      <c r="AF65" t="s">
        <v>74</v>
      </c>
      <c r="AG65">
        <v>131</v>
      </c>
      <c r="AH65">
        <v>39</v>
      </c>
      <c r="AI65">
        <v>39</v>
      </c>
      <c r="AJ65">
        <v>19</v>
      </c>
      <c r="AK65">
        <v>160</v>
      </c>
      <c r="AL65" t="s">
        <v>321</v>
      </c>
      <c r="AM65" t="s">
        <v>348</v>
      </c>
      <c r="AN65" t="s">
        <v>1454</v>
      </c>
      <c r="AO65" t="s">
        <v>1455</v>
      </c>
      <c r="AP65" t="s">
        <v>1456</v>
      </c>
      <c r="AQ65" t="s">
        <v>74</v>
      </c>
      <c r="AR65" t="s">
        <v>1457</v>
      </c>
      <c r="AS65" t="s">
        <v>1458</v>
      </c>
      <c r="AT65" t="s">
        <v>416</v>
      </c>
      <c r="AU65">
        <v>2022</v>
      </c>
      <c r="AV65">
        <v>15</v>
      </c>
      <c r="AW65" t="s">
        <v>1459</v>
      </c>
      <c r="AX65" t="s">
        <v>74</v>
      </c>
      <c r="AY65" t="s">
        <v>74</v>
      </c>
      <c r="AZ65" t="s">
        <v>74</v>
      </c>
      <c r="BA65" t="s">
        <v>74</v>
      </c>
      <c r="BB65">
        <v>378</v>
      </c>
      <c r="BC65">
        <v>398</v>
      </c>
      <c r="BD65" t="s">
        <v>74</v>
      </c>
      <c r="BE65" t="s">
        <v>1460</v>
      </c>
      <c r="BF65" t="str">
        <f>HYPERLINK("http://dx.doi.org/10.1007/s12063-021-00208-w","http://dx.doi.org/10.1007/s12063-021-00208-w")</f>
        <v>http://dx.doi.org/10.1007/s12063-021-00208-w</v>
      </c>
      <c r="BG65" t="s">
        <v>74</v>
      </c>
      <c r="BH65" t="s">
        <v>722</v>
      </c>
      <c r="BI65">
        <v>21</v>
      </c>
      <c r="BJ65" t="s">
        <v>418</v>
      </c>
      <c r="BK65" t="s">
        <v>242</v>
      </c>
      <c r="BL65" t="s">
        <v>419</v>
      </c>
      <c r="BM65" t="s">
        <v>1461</v>
      </c>
      <c r="BN65" t="s">
        <v>74</v>
      </c>
      <c r="BO65" t="s">
        <v>1462</v>
      </c>
      <c r="BP65" t="s">
        <v>74</v>
      </c>
      <c r="BQ65" t="s">
        <v>74</v>
      </c>
      <c r="BR65" t="s">
        <v>102</v>
      </c>
      <c r="BS65" t="s">
        <v>1463</v>
      </c>
      <c r="BT65" t="str">
        <f>HYPERLINK("https%3A%2F%2Fwww.webofscience.com%2Fwos%2Fwoscc%2Ffull-record%2FWOS:000693524200001","View Full Record in Web of Science")</f>
        <v>View Full Record in Web of Science</v>
      </c>
    </row>
    <row r="66" spans="1:72" x14ac:dyDescent="0.2">
      <c r="A66" t="s">
        <v>72</v>
      </c>
      <c r="B66" t="s">
        <v>1464</v>
      </c>
      <c r="C66" t="s">
        <v>74</v>
      </c>
      <c r="D66" t="s">
        <v>74</v>
      </c>
      <c r="E66" t="s">
        <v>74</v>
      </c>
      <c r="F66" t="s">
        <v>1465</v>
      </c>
      <c r="G66" t="s">
        <v>74</v>
      </c>
      <c r="H66" t="s">
        <v>74</v>
      </c>
      <c r="I66" t="s">
        <v>1466</v>
      </c>
      <c r="J66" t="s">
        <v>1467</v>
      </c>
      <c r="K66" t="s">
        <v>74</v>
      </c>
      <c r="L66" t="s">
        <v>74</v>
      </c>
      <c r="M66" t="s">
        <v>78</v>
      </c>
      <c r="N66" t="s">
        <v>79</v>
      </c>
      <c r="O66" t="s">
        <v>74</v>
      </c>
      <c r="P66" t="s">
        <v>74</v>
      </c>
      <c r="Q66" t="s">
        <v>74</v>
      </c>
      <c r="R66" t="s">
        <v>74</v>
      </c>
      <c r="S66" t="s">
        <v>74</v>
      </c>
      <c r="T66" t="s">
        <v>1468</v>
      </c>
      <c r="U66" t="s">
        <v>1469</v>
      </c>
      <c r="V66" t="s">
        <v>1470</v>
      </c>
      <c r="W66" t="s">
        <v>1471</v>
      </c>
      <c r="X66" t="s">
        <v>74</v>
      </c>
      <c r="Y66" t="s">
        <v>1472</v>
      </c>
      <c r="Z66" t="s">
        <v>1473</v>
      </c>
      <c r="AA66" t="s">
        <v>74</v>
      </c>
      <c r="AB66" t="s">
        <v>1474</v>
      </c>
      <c r="AC66" t="s">
        <v>1475</v>
      </c>
      <c r="AD66" t="s">
        <v>1476</v>
      </c>
      <c r="AE66" t="s">
        <v>1477</v>
      </c>
      <c r="AF66" t="s">
        <v>74</v>
      </c>
      <c r="AG66">
        <v>83</v>
      </c>
      <c r="AH66">
        <v>8</v>
      </c>
      <c r="AI66">
        <v>9</v>
      </c>
      <c r="AJ66">
        <v>11</v>
      </c>
      <c r="AK66">
        <v>43</v>
      </c>
      <c r="AL66" t="s">
        <v>209</v>
      </c>
      <c r="AM66" t="s">
        <v>210</v>
      </c>
      <c r="AN66" t="s">
        <v>211</v>
      </c>
      <c r="AO66" t="s">
        <v>1478</v>
      </c>
      <c r="AP66" t="s">
        <v>1479</v>
      </c>
      <c r="AQ66" t="s">
        <v>74</v>
      </c>
      <c r="AR66" t="s">
        <v>1480</v>
      </c>
      <c r="AS66" t="s">
        <v>1481</v>
      </c>
      <c r="AT66" t="s">
        <v>216</v>
      </c>
      <c r="AU66">
        <v>2022</v>
      </c>
      <c r="AV66">
        <v>143</v>
      </c>
      <c r="AW66" t="s">
        <v>74</v>
      </c>
      <c r="AX66" t="s">
        <v>74</v>
      </c>
      <c r="AY66" t="s">
        <v>74</v>
      </c>
      <c r="AZ66" t="s">
        <v>74</v>
      </c>
      <c r="BA66" t="s">
        <v>74</v>
      </c>
      <c r="BB66" t="s">
        <v>74</v>
      </c>
      <c r="BC66" t="s">
        <v>74</v>
      </c>
      <c r="BD66">
        <v>103769</v>
      </c>
      <c r="BE66" t="s">
        <v>1482</v>
      </c>
      <c r="BF66" t="str">
        <f>HYPERLINK("http://dx.doi.org/10.1016/j.compind.2022.103769","http://dx.doi.org/10.1016/j.compind.2022.103769")</f>
        <v>http://dx.doi.org/10.1016/j.compind.2022.103769</v>
      </c>
      <c r="BG66" t="s">
        <v>74</v>
      </c>
      <c r="BH66" t="s">
        <v>572</v>
      </c>
      <c r="BI66">
        <v>15</v>
      </c>
      <c r="BJ66" t="s">
        <v>1483</v>
      </c>
      <c r="BK66" t="s">
        <v>98</v>
      </c>
      <c r="BL66" t="s">
        <v>99</v>
      </c>
      <c r="BM66" t="s">
        <v>1484</v>
      </c>
      <c r="BN66" t="s">
        <v>74</v>
      </c>
      <c r="BO66" t="s">
        <v>74</v>
      </c>
      <c r="BP66" t="s">
        <v>74</v>
      </c>
      <c r="BQ66" t="s">
        <v>74</v>
      </c>
      <c r="BR66" t="s">
        <v>102</v>
      </c>
      <c r="BS66" t="s">
        <v>1485</v>
      </c>
      <c r="BT66" t="str">
        <f>HYPERLINK("https%3A%2F%2Fwww.webofscience.com%2Fwos%2Fwoscc%2Ffull-record%2FWOS:000853748400001","View Full Record in Web of Science")</f>
        <v>View Full Record in Web of Science</v>
      </c>
    </row>
    <row r="67" spans="1:72" x14ac:dyDescent="0.2">
      <c r="A67" t="s">
        <v>72</v>
      </c>
      <c r="B67" t="s">
        <v>1486</v>
      </c>
      <c r="C67" t="s">
        <v>74</v>
      </c>
      <c r="D67" t="s">
        <v>74</v>
      </c>
      <c r="E67" t="s">
        <v>74</v>
      </c>
      <c r="F67" t="s">
        <v>1487</v>
      </c>
      <c r="G67" t="s">
        <v>74</v>
      </c>
      <c r="H67" t="s">
        <v>74</v>
      </c>
      <c r="I67" t="s">
        <v>1488</v>
      </c>
      <c r="J67" t="s">
        <v>1489</v>
      </c>
      <c r="K67" t="s">
        <v>74</v>
      </c>
      <c r="L67" t="s">
        <v>74</v>
      </c>
      <c r="M67" t="s">
        <v>78</v>
      </c>
      <c r="N67" t="s">
        <v>108</v>
      </c>
      <c r="O67" t="s">
        <v>74</v>
      </c>
      <c r="P67" t="s">
        <v>74</v>
      </c>
      <c r="Q67" t="s">
        <v>74</v>
      </c>
      <c r="R67" t="s">
        <v>74</v>
      </c>
      <c r="S67" t="s">
        <v>74</v>
      </c>
      <c r="T67" t="s">
        <v>1490</v>
      </c>
      <c r="U67" t="s">
        <v>1491</v>
      </c>
      <c r="V67" t="s">
        <v>1492</v>
      </c>
      <c r="W67" t="s">
        <v>1493</v>
      </c>
      <c r="X67" t="s">
        <v>1494</v>
      </c>
      <c r="Y67" t="s">
        <v>1495</v>
      </c>
      <c r="Z67" t="s">
        <v>1496</v>
      </c>
      <c r="AA67" t="s">
        <v>74</v>
      </c>
      <c r="AB67" t="s">
        <v>74</v>
      </c>
      <c r="AC67" t="s">
        <v>1497</v>
      </c>
      <c r="AD67" t="s">
        <v>1498</v>
      </c>
      <c r="AE67" t="s">
        <v>1499</v>
      </c>
      <c r="AF67" t="s">
        <v>74</v>
      </c>
      <c r="AG67">
        <v>46</v>
      </c>
      <c r="AH67">
        <v>1</v>
      </c>
      <c r="AI67">
        <v>1</v>
      </c>
      <c r="AJ67">
        <v>6</v>
      </c>
      <c r="AK67">
        <v>31</v>
      </c>
      <c r="AL67" t="s">
        <v>666</v>
      </c>
      <c r="AM67" t="s">
        <v>667</v>
      </c>
      <c r="AN67" t="s">
        <v>668</v>
      </c>
      <c r="AO67" t="s">
        <v>74</v>
      </c>
      <c r="AP67" t="s">
        <v>1500</v>
      </c>
      <c r="AQ67" t="s">
        <v>74</v>
      </c>
      <c r="AR67" t="s">
        <v>1501</v>
      </c>
      <c r="AS67" t="s">
        <v>1502</v>
      </c>
      <c r="AT67" t="s">
        <v>1503</v>
      </c>
      <c r="AU67">
        <v>2022</v>
      </c>
      <c r="AV67">
        <v>10</v>
      </c>
      <c r="AW67" t="s">
        <v>74</v>
      </c>
      <c r="AX67" t="s">
        <v>74</v>
      </c>
      <c r="AY67" t="s">
        <v>74</v>
      </c>
      <c r="AZ67" t="s">
        <v>74</v>
      </c>
      <c r="BA67" t="s">
        <v>74</v>
      </c>
      <c r="BB67" t="s">
        <v>74</v>
      </c>
      <c r="BC67" t="s">
        <v>74</v>
      </c>
      <c r="BD67">
        <v>842904</v>
      </c>
      <c r="BE67" t="s">
        <v>1504</v>
      </c>
      <c r="BF67" t="str">
        <f>HYPERLINK("http://dx.doi.org/10.3389/fpubh.2022.842904","http://dx.doi.org/10.3389/fpubh.2022.842904")</f>
        <v>http://dx.doi.org/10.3389/fpubh.2022.842904</v>
      </c>
      <c r="BG67" t="s">
        <v>74</v>
      </c>
      <c r="BH67" t="s">
        <v>74</v>
      </c>
      <c r="BI67">
        <v>28</v>
      </c>
      <c r="BJ67" t="s">
        <v>1505</v>
      </c>
      <c r="BK67" t="s">
        <v>147</v>
      </c>
      <c r="BL67" t="s">
        <v>1505</v>
      </c>
      <c r="BM67" t="s">
        <v>1506</v>
      </c>
      <c r="BN67">
        <v>35359796</v>
      </c>
      <c r="BO67" t="s">
        <v>101</v>
      </c>
      <c r="BP67" t="s">
        <v>74</v>
      </c>
      <c r="BQ67" t="s">
        <v>74</v>
      </c>
      <c r="BR67" t="s">
        <v>102</v>
      </c>
      <c r="BS67" t="s">
        <v>1507</v>
      </c>
      <c r="BT67" t="str">
        <f>HYPERLINK("https%3A%2F%2Fwww.webofscience.com%2Fwos%2Fwoscc%2Ffull-record%2FWOS:000778429900001","View Full Record in Web of Science")</f>
        <v>View Full Record in Web of Science</v>
      </c>
    </row>
    <row r="68" spans="1:72" x14ac:dyDescent="0.2">
      <c r="A68" t="s">
        <v>72</v>
      </c>
      <c r="B68" t="s">
        <v>1508</v>
      </c>
      <c r="C68" t="s">
        <v>74</v>
      </c>
      <c r="D68" t="s">
        <v>74</v>
      </c>
      <c r="E68" t="s">
        <v>74</v>
      </c>
      <c r="F68" t="s">
        <v>1509</v>
      </c>
      <c r="G68" t="s">
        <v>74</v>
      </c>
      <c r="H68" t="s">
        <v>74</v>
      </c>
      <c r="I68" t="s">
        <v>1510</v>
      </c>
      <c r="J68" t="s">
        <v>1511</v>
      </c>
      <c r="K68" t="s">
        <v>74</v>
      </c>
      <c r="L68" t="s">
        <v>74</v>
      </c>
      <c r="M68" t="s">
        <v>78</v>
      </c>
      <c r="N68" t="s">
        <v>79</v>
      </c>
      <c r="O68" t="s">
        <v>74</v>
      </c>
      <c r="P68" t="s">
        <v>74</v>
      </c>
      <c r="Q68" t="s">
        <v>74</v>
      </c>
      <c r="R68" t="s">
        <v>74</v>
      </c>
      <c r="S68" t="s">
        <v>74</v>
      </c>
      <c r="T68" t="s">
        <v>1512</v>
      </c>
      <c r="U68" t="s">
        <v>1513</v>
      </c>
      <c r="V68" t="s">
        <v>1514</v>
      </c>
      <c r="W68" t="s">
        <v>1515</v>
      </c>
      <c r="X68" t="s">
        <v>1516</v>
      </c>
      <c r="Y68" t="s">
        <v>1517</v>
      </c>
      <c r="Z68" t="s">
        <v>1518</v>
      </c>
      <c r="AA68" t="s">
        <v>1519</v>
      </c>
      <c r="AB68" t="s">
        <v>1520</v>
      </c>
      <c r="AC68" t="s">
        <v>74</v>
      </c>
      <c r="AD68" t="s">
        <v>74</v>
      </c>
      <c r="AE68" t="s">
        <v>74</v>
      </c>
      <c r="AF68" t="s">
        <v>74</v>
      </c>
      <c r="AG68">
        <v>109</v>
      </c>
      <c r="AH68">
        <v>14</v>
      </c>
      <c r="AI68">
        <v>14</v>
      </c>
      <c r="AJ68">
        <v>25</v>
      </c>
      <c r="AK68">
        <v>156</v>
      </c>
      <c r="AL68" t="s">
        <v>437</v>
      </c>
      <c r="AM68" t="s">
        <v>438</v>
      </c>
      <c r="AN68" t="s">
        <v>439</v>
      </c>
      <c r="AO68" t="s">
        <v>1521</v>
      </c>
      <c r="AP68" t="s">
        <v>1522</v>
      </c>
      <c r="AQ68" t="s">
        <v>74</v>
      </c>
      <c r="AR68" t="s">
        <v>1523</v>
      </c>
      <c r="AS68" t="s">
        <v>1524</v>
      </c>
      <c r="AT68" t="s">
        <v>1525</v>
      </c>
      <c r="AU68">
        <v>2022</v>
      </c>
      <c r="AV68">
        <v>35</v>
      </c>
      <c r="AW68">
        <v>7</v>
      </c>
      <c r="AX68" t="s">
        <v>74</v>
      </c>
      <c r="AY68" t="s">
        <v>74</v>
      </c>
      <c r="AZ68" t="s">
        <v>570</v>
      </c>
      <c r="BA68" t="s">
        <v>74</v>
      </c>
      <c r="BB68">
        <v>1507</v>
      </c>
      <c r="BC68">
        <v>1533</v>
      </c>
      <c r="BD68" t="s">
        <v>74</v>
      </c>
      <c r="BE68" t="s">
        <v>1526</v>
      </c>
      <c r="BF68" t="str">
        <f>HYPERLINK("http://dx.doi.org/10.1108/AAAJ-10-2020-4991","http://dx.doi.org/10.1108/AAAJ-10-2020-4991")</f>
        <v>http://dx.doi.org/10.1108/AAAJ-10-2020-4991</v>
      </c>
      <c r="BG68" t="s">
        <v>74</v>
      </c>
      <c r="BH68" t="s">
        <v>267</v>
      </c>
      <c r="BI68">
        <v>27</v>
      </c>
      <c r="BJ68" t="s">
        <v>1527</v>
      </c>
      <c r="BK68" t="s">
        <v>242</v>
      </c>
      <c r="BL68" t="s">
        <v>419</v>
      </c>
      <c r="BM68" t="s">
        <v>1528</v>
      </c>
      <c r="BN68" t="s">
        <v>74</v>
      </c>
      <c r="BO68" t="s">
        <v>1529</v>
      </c>
      <c r="BP68" t="s">
        <v>74</v>
      </c>
      <c r="BQ68" t="s">
        <v>74</v>
      </c>
      <c r="BR68" t="s">
        <v>102</v>
      </c>
      <c r="BS68" t="s">
        <v>1530</v>
      </c>
      <c r="BT68" t="str">
        <f>HYPERLINK("https%3A%2F%2Fwww.webofscience.com%2Fwos%2Fwoscc%2Ffull-record%2FWOS:000713662700001","View Full Record in Web of Science")</f>
        <v>View Full Record in Web of Science</v>
      </c>
    </row>
    <row r="69" spans="1:72" x14ac:dyDescent="0.2">
      <c r="A69" t="s">
        <v>72</v>
      </c>
      <c r="B69" t="s">
        <v>1531</v>
      </c>
      <c r="C69" t="s">
        <v>74</v>
      </c>
      <c r="D69" t="s">
        <v>74</v>
      </c>
      <c r="E69" t="s">
        <v>74</v>
      </c>
      <c r="F69" t="s">
        <v>1532</v>
      </c>
      <c r="G69" t="s">
        <v>74</v>
      </c>
      <c r="H69" t="s">
        <v>74</v>
      </c>
      <c r="I69" t="s">
        <v>1533</v>
      </c>
      <c r="J69" t="s">
        <v>1534</v>
      </c>
      <c r="K69" t="s">
        <v>74</v>
      </c>
      <c r="L69" t="s">
        <v>74</v>
      </c>
      <c r="M69" t="s">
        <v>78</v>
      </c>
      <c r="N69" t="s">
        <v>108</v>
      </c>
      <c r="O69" t="s">
        <v>74</v>
      </c>
      <c r="P69" t="s">
        <v>74</v>
      </c>
      <c r="Q69" t="s">
        <v>74</v>
      </c>
      <c r="R69" t="s">
        <v>74</v>
      </c>
      <c r="S69" t="s">
        <v>74</v>
      </c>
      <c r="T69" t="s">
        <v>1535</v>
      </c>
      <c r="U69" t="s">
        <v>1536</v>
      </c>
      <c r="V69" t="s">
        <v>1537</v>
      </c>
      <c r="W69" t="s">
        <v>1538</v>
      </c>
      <c r="X69" t="s">
        <v>1539</v>
      </c>
      <c r="Y69" t="s">
        <v>1540</v>
      </c>
      <c r="Z69" t="s">
        <v>1541</v>
      </c>
      <c r="AA69" t="s">
        <v>1542</v>
      </c>
      <c r="AB69" t="s">
        <v>1543</v>
      </c>
      <c r="AC69" t="s">
        <v>1544</v>
      </c>
      <c r="AD69" t="s">
        <v>1545</v>
      </c>
      <c r="AE69" t="s">
        <v>1546</v>
      </c>
      <c r="AF69" t="s">
        <v>74</v>
      </c>
      <c r="AG69">
        <v>120</v>
      </c>
      <c r="AH69">
        <v>9</v>
      </c>
      <c r="AI69">
        <v>9</v>
      </c>
      <c r="AJ69">
        <v>17</v>
      </c>
      <c r="AK69">
        <v>93</v>
      </c>
      <c r="AL69" t="s">
        <v>437</v>
      </c>
      <c r="AM69" t="s">
        <v>438</v>
      </c>
      <c r="AN69" t="s">
        <v>439</v>
      </c>
      <c r="AO69" t="s">
        <v>1547</v>
      </c>
      <c r="AP69" t="s">
        <v>1548</v>
      </c>
      <c r="AQ69" t="s">
        <v>74</v>
      </c>
      <c r="AR69" t="s">
        <v>1549</v>
      </c>
      <c r="AS69" t="s">
        <v>1550</v>
      </c>
      <c r="AT69" t="s">
        <v>74</v>
      </c>
      <c r="AU69">
        <v>2021</v>
      </c>
      <c r="AV69">
        <v>55</v>
      </c>
      <c r="AW69">
        <v>8</v>
      </c>
      <c r="AX69" t="s">
        <v>74</v>
      </c>
      <c r="AY69" t="s">
        <v>74</v>
      </c>
      <c r="AZ69" t="s">
        <v>74</v>
      </c>
      <c r="BA69" t="s">
        <v>74</v>
      </c>
      <c r="BB69">
        <v>2269</v>
      </c>
      <c r="BC69">
        <v>2307</v>
      </c>
      <c r="BD69" t="s">
        <v>74</v>
      </c>
      <c r="BE69" t="s">
        <v>1551</v>
      </c>
      <c r="BF69" t="str">
        <f>HYPERLINK("http://dx.doi.org/10.1108/EJM-02-2019-0179","http://dx.doi.org/10.1108/EJM-02-2019-0179")</f>
        <v>http://dx.doi.org/10.1108/EJM-02-2019-0179</v>
      </c>
      <c r="BG69" t="s">
        <v>74</v>
      </c>
      <c r="BH69" t="s">
        <v>1552</v>
      </c>
      <c r="BI69">
        <v>39</v>
      </c>
      <c r="BJ69" t="s">
        <v>931</v>
      </c>
      <c r="BK69" t="s">
        <v>242</v>
      </c>
      <c r="BL69" t="s">
        <v>419</v>
      </c>
      <c r="BM69" t="s">
        <v>1553</v>
      </c>
      <c r="BN69" t="s">
        <v>74</v>
      </c>
      <c r="BO69" t="s">
        <v>594</v>
      </c>
      <c r="BP69" t="s">
        <v>74</v>
      </c>
      <c r="BQ69" t="s">
        <v>74</v>
      </c>
      <c r="BR69" t="s">
        <v>102</v>
      </c>
      <c r="BS69" t="s">
        <v>1554</v>
      </c>
      <c r="BT69" t="str">
        <f>HYPERLINK("https%3A%2F%2Fwww.webofscience.com%2Fwos%2Fwoscc%2Ffull-record%2FWOS:000655194200001","View Full Record in Web of Science")</f>
        <v>View Full Record in Web of Science</v>
      </c>
    </row>
    <row r="70" spans="1:72" x14ac:dyDescent="0.2">
      <c r="A70" t="s">
        <v>72</v>
      </c>
      <c r="B70" t="s">
        <v>1555</v>
      </c>
      <c r="C70" t="s">
        <v>74</v>
      </c>
      <c r="D70" t="s">
        <v>74</v>
      </c>
      <c r="E70" t="s">
        <v>74</v>
      </c>
      <c r="F70" t="s">
        <v>1556</v>
      </c>
      <c r="G70" t="s">
        <v>74</v>
      </c>
      <c r="H70" t="s">
        <v>74</v>
      </c>
      <c r="I70" t="s">
        <v>1557</v>
      </c>
      <c r="J70" t="s">
        <v>1558</v>
      </c>
      <c r="K70" t="s">
        <v>74</v>
      </c>
      <c r="L70" t="s">
        <v>74</v>
      </c>
      <c r="M70" t="s">
        <v>78</v>
      </c>
      <c r="N70" t="s">
        <v>763</v>
      </c>
      <c r="O70" t="s">
        <v>74</v>
      </c>
      <c r="P70" t="s">
        <v>74</v>
      </c>
      <c r="Q70" t="s">
        <v>74</v>
      </c>
      <c r="R70" t="s">
        <v>74</v>
      </c>
      <c r="S70" t="s">
        <v>74</v>
      </c>
      <c r="T70" t="s">
        <v>1559</v>
      </c>
      <c r="U70" t="s">
        <v>1560</v>
      </c>
      <c r="V70" t="s">
        <v>1561</v>
      </c>
      <c r="W70" t="s">
        <v>1562</v>
      </c>
      <c r="X70" t="s">
        <v>1563</v>
      </c>
      <c r="Y70" t="s">
        <v>1564</v>
      </c>
      <c r="Z70" t="s">
        <v>1565</v>
      </c>
      <c r="AA70" t="s">
        <v>74</v>
      </c>
      <c r="AB70" t="s">
        <v>1566</v>
      </c>
      <c r="AC70" t="s">
        <v>74</v>
      </c>
      <c r="AD70" t="s">
        <v>74</v>
      </c>
      <c r="AE70" t="s">
        <v>74</v>
      </c>
      <c r="AF70" t="s">
        <v>74</v>
      </c>
      <c r="AG70">
        <v>77</v>
      </c>
      <c r="AH70">
        <v>0</v>
      </c>
      <c r="AI70">
        <v>0</v>
      </c>
      <c r="AJ70">
        <v>7</v>
      </c>
      <c r="AK70">
        <v>14</v>
      </c>
      <c r="AL70" t="s">
        <v>437</v>
      </c>
      <c r="AM70" t="s">
        <v>564</v>
      </c>
      <c r="AN70" t="s">
        <v>565</v>
      </c>
      <c r="AO70" t="s">
        <v>1567</v>
      </c>
      <c r="AP70" t="s">
        <v>1568</v>
      </c>
      <c r="AQ70" t="s">
        <v>74</v>
      </c>
      <c r="AR70" t="s">
        <v>1569</v>
      </c>
      <c r="AS70" t="s">
        <v>1570</v>
      </c>
      <c r="AT70" t="s">
        <v>1571</v>
      </c>
      <c r="AU70">
        <v>2022</v>
      </c>
      <c r="AV70" t="s">
        <v>74</v>
      </c>
      <c r="AW70" t="s">
        <v>74</v>
      </c>
      <c r="AX70" t="s">
        <v>74</v>
      </c>
      <c r="AY70" t="s">
        <v>74</v>
      </c>
      <c r="AZ70" t="s">
        <v>74</v>
      </c>
      <c r="BA70" t="s">
        <v>74</v>
      </c>
      <c r="BB70" t="s">
        <v>74</v>
      </c>
      <c r="BC70" t="s">
        <v>74</v>
      </c>
      <c r="BD70" t="s">
        <v>74</v>
      </c>
      <c r="BE70" t="s">
        <v>1572</v>
      </c>
      <c r="BF70" t="str">
        <f>HYPERLINK("http://dx.doi.org/10.1108/TQM-09-2022-0290","http://dx.doi.org/10.1108/TQM-09-2022-0290")</f>
        <v>http://dx.doi.org/10.1108/TQM-09-2022-0290</v>
      </c>
      <c r="BG70" t="s">
        <v>74</v>
      </c>
      <c r="BH70" t="s">
        <v>740</v>
      </c>
      <c r="BI70">
        <v>22</v>
      </c>
      <c r="BJ70" t="s">
        <v>418</v>
      </c>
      <c r="BK70" t="s">
        <v>124</v>
      </c>
      <c r="BL70" t="s">
        <v>419</v>
      </c>
      <c r="BM70" t="s">
        <v>1573</v>
      </c>
      <c r="BN70" t="s">
        <v>74</v>
      </c>
      <c r="BO70" t="s">
        <v>74</v>
      </c>
      <c r="BP70" t="s">
        <v>74</v>
      </c>
      <c r="BQ70" t="s">
        <v>74</v>
      </c>
      <c r="BR70" t="s">
        <v>102</v>
      </c>
      <c r="BS70" t="s">
        <v>1574</v>
      </c>
      <c r="BT70" t="str">
        <f>HYPERLINK("https%3A%2F%2Fwww.webofscience.com%2Fwos%2Fwoscc%2Ffull-record%2FWOS:000900988800001","View Full Record in Web of Science")</f>
        <v>View Full Record in Web of Science</v>
      </c>
    </row>
    <row r="71" spans="1:72" x14ac:dyDescent="0.2">
      <c r="A71" t="s">
        <v>72</v>
      </c>
      <c r="B71" t="s">
        <v>1575</v>
      </c>
      <c r="C71" t="s">
        <v>74</v>
      </c>
      <c r="D71" t="s">
        <v>74</v>
      </c>
      <c r="E71" t="s">
        <v>74</v>
      </c>
      <c r="F71" t="s">
        <v>1576</v>
      </c>
      <c r="G71" t="s">
        <v>74</v>
      </c>
      <c r="H71" t="s">
        <v>74</v>
      </c>
      <c r="I71" t="s">
        <v>1577</v>
      </c>
      <c r="J71" t="s">
        <v>1578</v>
      </c>
      <c r="K71" t="s">
        <v>74</v>
      </c>
      <c r="L71" t="s">
        <v>74</v>
      </c>
      <c r="M71" t="s">
        <v>78</v>
      </c>
      <c r="N71" t="s">
        <v>108</v>
      </c>
      <c r="O71" t="s">
        <v>74</v>
      </c>
      <c r="P71" t="s">
        <v>74</v>
      </c>
      <c r="Q71" t="s">
        <v>74</v>
      </c>
      <c r="R71" t="s">
        <v>74</v>
      </c>
      <c r="S71" t="s">
        <v>74</v>
      </c>
      <c r="T71" t="s">
        <v>1579</v>
      </c>
      <c r="U71" t="s">
        <v>1580</v>
      </c>
      <c r="V71" t="s">
        <v>1581</v>
      </c>
      <c r="W71" t="s">
        <v>1582</v>
      </c>
      <c r="X71" t="s">
        <v>1583</v>
      </c>
      <c r="Y71" t="s">
        <v>1584</v>
      </c>
      <c r="Z71" t="s">
        <v>1585</v>
      </c>
      <c r="AA71" t="s">
        <v>1586</v>
      </c>
      <c r="AB71" t="s">
        <v>1587</v>
      </c>
      <c r="AC71" t="s">
        <v>74</v>
      </c>
      <c r="AD71" t="s">
        <v>74</v>
      </c>
      <c r="AE71" t="s">
        <v>74</v>
      </c>
      <c r="AF71" t="s">
        <v>74</v>
      </c>
      <c r="AG71">
        <v>48</v>
      </c>
      <c r="AH71">
        <v>9</v>
      </c>
      <c r="AI71">
        <v>9</v>
      </c>
      <c r="AJ71">
        <v>2</v>
      </c>
      <c r="AK71">
        <v>21</v>
      </c>
      <c r="AL71" t="s">
        <v>1588</v>
      </c>
      <c r="AM71" t="s">
        <v>1589</v>
      </c>
      <c r="AN71" t="s">
        <v>1590</v>
      </c>
      <c r="AO71" t="s">
        <v>1591</v>
      </c>
      <c r="AP71" t="s">
        <v>74</v>
      </c>
      <c r="AQ71" t="s">
        <v>74</v>
      </c>
      <c r="AR71" t="s">
        <v>1592</v>
      </c>
      <c r="AS71" t="s">
        <v>1593</v>
      </c>
      <c r="AT71" t="s">
        <v>74</v>
      </c>
      <c r="AU71">
        <v>2021</v>
      </c>
      <c r="AV71">
        <v>23</v>
      </c>
      <c r="AW71">
        <v>1</v>
      </c>
      <c r="AX71" t="s">
        <v>74</v>
      </c>
      <c r="AY71" t="s">
        <v>74</v>
      </c>
      <c r="AZ71" t="s">
        <v>74</v>
      </c>
      <c r="BA71" t="s">
        <v>74</v>
      </c>
      <c r="BB71">
        <v>370</v>
      </c>
      <c r="BC71">
        <v>384</v>
      </c>
      <c r="BD71" t="s">
        <v>74</v>
      </c>
      <c r="BE71" t="s">
        <v>1594</v>
      </c>
      <c r="BF71" t="str">
        <f>HYPERLINK("http://dx.doi.org/10.17512/pjms.2021.23.1.23","http://dx.doi.org/10.17512/pjms.2021.23.1.23")</f>
        <v>http://dx.doi.org/10.17512/pjms.2021.23.1.23</v>
      </c>
      <c r="BG71" t="s">
        <v>74</v>
      </c>
      <c r="BH71" t="s">
        <v>74</v>
      </c>
      <c r="BI71">
        <v>15</v>
      </c>
      <c r="BJ71" t="s">
        <v>418</v>
      </c>
      <c r="BK71" t="s">
        <v>124</v>
      </c>
      <c r="BL71" t="s">
        <v>419</v>
      </c>
      <c r="BM71" t="s">
        <v>1595</v>
      </c>
      <c r="BN71" t="s">
        <v>74</v>
      </c>
      <c r="BO71" t="s">
        <v>126</v>
      </c>
      <c r="BP71" t="s">
        <v>74</v>
      </c>
      <c r="BQ71" t="s">
        <v>74</v>
      </c>
      <c r="BR71" t="s">
        <v>102</v>
      </c>
      <c r="BS71" t="s">
        <v>1596</v>
      </c>
      <c r="BT71" t="str">
        <f>HYPERLINK("https%3A%2F%2Fwww.webofscience.com%2Fwos%2Fwoscc%2Ffull-record%2FWOS:000669565100023","View Full Record in Web of Science")</f>
        <v>View Full Record in Web of Science</v>
      </c>
    </row>
    <row r="72" spans="1:72" x14ac:dyDescent="0.2">
      <c r="A72" t="s">
        <v>72</v>
      </c>
      <c r="B72" t="s">
        <v>1597</v>
      </c>
      <c r="C72" t="s">
        <v>74</v>
      </c>
      <c r="D72" t="s">
        <v>74</v>
      </c>
      <c r="E72" t="s">
        <v>74</v>
      </c>
      <c r="F72" t="s">
        <v>1598</v>
      </c>
      <c r="G72" t="s">
        <v>74</v>
      </c>
      <c r="H72" t="s">
        <v>74</v>
      </c>
      <c r="I72" t="s">
        <v>1599</v>
      </c>
      <c r="J72" t="s">
        <v>1600</v>
      </c>
      <c r="K72" t="s">
        <v>74</v>
      </c>
      <c r="L72" t="s">
        <v>74</v>
      </c>
      <c r="M72" t="s">
        <v>78</v>
      </c>
      <c r="N72" t="s">
        <v>108</v>
      </c>
      <c r="O72" t="s">
        <v>74</v>
      </c>
      <c r="P72" t="s">
        <v>74</v>
      </c>
      <c r="Q72" t="s">
        <v>74</v>
      </c>
      <c r="R72" t="s">
        <v>74</v>
      </c>
      <c r="S72" t="s">
        <v>74</v>
      </c>
      <c r="T72" t="s">
        <v>1601</v>
      </c>
      <c r="U72" t="s">
        <v>1602</v>
      </c>
      <c r="V72" t="s">
        <v>1603</v>
      </c>
      <c r="W72" t="s">
        <v>1604</v>
      </c>
      <c r="X72" t="s">
        <v>1605</v>
      </c>
      <c r="Y72" t="s">
        <v>1606</v>
      </c>
      <c r="Z72" t="s">
        <v>1607</v>
      </c>
      <c r="AA72" t="s">
        <v>74</v>
      </c>
      <c r="AB72" t="s">
        <v>1608</v>
      </c>
      <c r="AC72" t="s">
        <v>74</v>
      </c>
      <c r="AD72" t="s">
        <v>74</v>
      </c>
      <c r="AE72" t="s">
        <v>74</v>
      </c>
      <c r="AF72" t="s">
        <v>74</v>
      </c>
      <c r="AG72">
        <v>17</v>
      </c>
      <c r="AH72">
        <v>0</v>
      </c>
      <c r="AI72">
        <v>0</v>
      </c>
      <c r="AJ72">
        <v>1</v>
      </c>
      <c r="AK72">
        <v>3</v>
      </c>
      <c r="AL72" t="s">
        <v>116</v>
      </c>
      <c r="AM72" t="s">
        <v>117</v>
      </c>
      <c r="AN72" t="s">
        <v>118</v>
      </c>
      <c r="AO72" t="s">
        <v>74</v>
      </c>
      <c r="AP72" t="s">
        <v>1609</v>
      </c>
      <c r="AQ72" t="s">
        <v>74</v>
      </c>
      <c r="AR72" t="s">
        <v>1610</v>
      </c>
      <c r="AS72" t="s">
        <v>1611</v>
      </c>
      <c r="AT72" t="s">
        <v>800</v>
      </c>
      <c r="AU72">
        <v>2020</v>
      </c>
      <c r="AV72">
        <v>8</v>
      </c>
      <c r="AW72">
        <v>4</v>
      </c>
      <c r="AX72" t="s">
        <v>74</v>
      </c>
      <c r="AY72" t="s">
        <v>74</v>
      </c>
      <c r="AZ72" t="s">
        <v>74</v>
      </c>
      <c r="BA72" t="s">
        <v>74</v>
      </c>
      <c r="BB72" t="s">
        <v>74</v>
      </c>
      <c r="BC72" t="s">
        <v>74</v>
      </c>
      <c r="BD72">
        <v>471</v>
      </c>
      <c r="BE72" t="s">
        <v>1612</v>
      </c>
      <c r="BF72" t="str">
        <f>HYPERLINK("http://dx.doi.org/10.3390/math8040471","http://dx.doi.org/10.3390/math8040471")</f>
        <v>http://dx.doi.org/10.3390/math8040471</v>
      </c>
      <c r="BG72" t="s">
        <v>74</v>
      </c>
      <c r="BH72" t="s">
        <v>74</v>
      </c>
      <c r="BI72">
        <v>16</v>
      </c>
      <c r="BJ72" t="s">
        <v>1611</v>
      </c>
      <c r="BK72" t="s">
        <v>147</v>
      </c>
      <c r="BL72" t="s">
        <v>1611</v>
      </c>
      <c r="BM72" t="s">
        <v>1613</v>
      </c>
      <c r="BN72" t="s">
        <v>74</v>
      </c>
      <c r="BO72" t="s">
        <v>126</v>
      </c>
      <c r="BP72" t="s">
        <v>74</v>
      </c>
      <c r="BQ72" t="s">
        <v>74</v>
      </c>
      <c r="BR72" t="s">
        <v>102</v>
      </c>
      <c r="BS72" t="s">
        <v>1614</v>
      </c>
      <c r="BT72" t="str">
        <f>HYPERLINK("https%3A%2F%2Fwww.webofscience.com%2Fwos%2Fwoscc%2Ffull-record%2FWOS:000531824100011","View Full Record in Web of Science")</f>
        <v>View Full Record in Web of Science</v>
      </c>
    </row>
    <row r="73" spans="1:72" x14ac:dyDescent="0.2">
      <c r="A73" t="s">
        <v>72</v>
      </c>
      <c r="B73" t="s">
        <v>1615</v>
      </c>
      <c r="C73" t="s">
        <v>74</v>
      </c>
      <c r="D73" t="s">
        <v>74</v>
      </c>
      <c r="E73" t="s">
        <v>74</v>
      </c>
      <c r="F73" t="s">
        <v>1616</v>
      </c>
      <c r="G73" t="s">
        <v>74</v>
      </c>
      <c r="H73" t="s">
        <v>74</v>
      </c>
      <c r="I73" t="s">
        <v>1617</v>
      </c>
      <c r="J73" t="s">
        <v>1618</v>
      </c>
      <c r="K73" t="s">
        <v>74</v>
      </c>
      <c r="L73" t="s">
        <v>74</v>
      </c>
      <c r="M73" t="s">
        <v>78</v>
      </c>
      <c r="N73" t="s">
        <v>108</v>
      </c>
      <c r="O73" t="s">
        <v>74</v>
      </c>
      <c r="P73" t="s">
        <v>74</v>
      </c>
      <c r="Q73" t="s">
        <v>74</v>
      </c>
      <c r="R73" t="s">
        <v>74</v>
      </c>
      <c r="S73" t="s">
        <v>74</v>
      </c>
      <c r="T73" t="s">
        <v>74</v>
      </c>
      <c r="U73" t="s">
        <v>1619</v>
      </c>
      <c r="V73" t="s">
        <v>1620</v>
      </c>
      <c r="W73" t="s">
        <v>1621</v>
      </c>
      <c r="X73" t="s">
        <v>1622</v>
      </c>
      <c r="Y73" t="s">
        <v>1623</v>
      </c>
      <c r="Z73" t="s">
        <v>1624</v>
      </c>
      <c r="AA73" t="s">
        <v>1625</v>
      </c>
      <c r="AB73" t="s">
        <v>1626</v>
      </c>
      <c r="AC73" t="s">
        <v>1627</v>
      </c>
      <c r="AD73" t="s">
        <v>1628</v>
      </c>
      <c r="AE73" t="s">
        <v>1629</v>
      </c>
      <c r="AF73" t="s">
        <v>74</v>
      </c>
      <c r="AG73">
        <v>36</v>
      </c>
      <c r="AH73">
        <v>7</v>
      </c>
      <c r="AI73">
        <v>7</v>
      </c>
      <c r="AJ73">
        <v>0</v>
      </c>
      <c r="AK73">
        <v>20</v>
      </c>
      <c r="AL73" t="s">
        <v>1630</v>
      </c>
      <c r="AM73" t="s">
        <v>1631</v>
      </c>
      <c r="AN73" t="s">
        <v>1632</v>
      </c>
      <c r="AO73" t="s">
        <v>1633</v>
      </c>
      <c r="AP73" t="s">
        <v>74</v>
      </c>
      <c r="AQ73" t="s">
        <v>74</v>
      </c>
      <c r="AR73" t="s">
        <v>1634</v>
      </c>
      <c r="AS73" t="s">
        <v>1635</v>
      </c>
      <c r="AT73" t="s">
        <v>1636</v>
      </c>
      <c r="AU73">
        <v>2014</v>
      </c>
      <c r="AV73">
        <v>53</v>
      </c>
      <c r="AW73">
        <v>50</v>
      </c>
      <c r="AX73" t="s">
        <v>74</v>
      </c>
      <c r="AY73" t="s">
        <v>74</v>
      </c>
      <c r="AZ73" t="s">
        <v>74</v>
      </c>
      <c r="BA73" t="s">
        <v>74</v>
      </c>
      <c r="BB73">
        <v>19559</v>
      </c>
      <c r="BC73">
        <v>19572</v>
      </c>
      <c r="BD73" t="s">
        <v>74</v>
      </c>
      <c r="BE73" t="s">
        <v>1637</v>
      </c>
      <c r="BF73" t="str">
        <f>HYPERLINK("http://dx.doi.org/10.1021/ie5020074","http://dx.doi.org/10.1021/ie5020074")</f>
        <v>http://dx.doi.org/10.1021/ie5020074</v>
      </c>
      <c r="BG73" t="s">
        <v>74</v>
      </c>
      <c r="BH73" t="s">
        <v>74</v>
      </c>
      <c r="BI73">
        <v>14</v>
      </c>
      <c r="BJ73" t="s">
        <v>1291</v>
      </c>
      <c r="BK73" t="s">
        <v>98</v>
      </c>
      <c r="BL73" t="s">
        <v>1292</v>
      </c>
      <c r="BM73" t="s">
        <v>1638</v>
      </c>
      <c r="BN73" t="s">
        <v>74</v>
      </c>
      <c r="BO73" t="s">
        <v>74</v>
      </c>
      <c r="BP73" t="s">
        <v>74</v>
      </c>
      <c r="BQ73" t="s">
        <v>74</v>
      </c>
      <c r="BR73" t="s">
        <v>102</v>
      </c>
      <c r="BS73" t="s">
        <v>1639</v>
      </c>
      <c r="BT73" t="str">
        <f>HYPERLINK("https%3A%2F%2Fwww.webofscience.com%2Fwos%2Fwoscc%2Ffull-record%2FWOS:000346684400023","View Full Record in Web of Science")</f>
        <v>View Full Record in Web of Science</v>
      </c>
    </row>
    <row r="74" spans="1:72" x14ac:dyDescent="0.2">
      <c r="A74" t="s">
        <v>72</v>
      </c>
      <c r="B74" t="s">
        <v>1640</v>
      </c>
      <c r="C74" t="s">
        <v>74</v>
      </c>
      <c r="D74" t="s">
        <v>74</v>
      </c>
      <c r="E74" t="s">
        <v>74</v>
      </c>
      <c r="F74" t="s">
        <v>1641</v>
      </c>
      <c r="G74" t="s">
        <v>74</v>
      </c>
      <c r="H74" t="s">
        <v>74</v>
      </c>
      <c r="I74" t="s">
        <v>1642</v>
      </c>
      <c r="J74" t="s">
        <v>1643</v>
      </c>
      <c r="K74" t="s">
        <v>74</v>
      </c>
      <c r="L74" t="s">
        <v>74</v>
      </c>
      <c r="M74" t="s">
        <v>78</v>
      </c>
      <c r="N74" t="s">
        <v>108</v>
      </c>
      <c r="O74" t="s">
        <v>74</v>
      </c>
      <c r="P74" t="s">
        <v>74</v>
      </c>
      <c r="Q74" t="s">
        <v>74</v>
      </c>
      <c r="R74" t="s">
        <v>74</v>
      </c>
      <c r="S74" t="s">
        <v>74</v>
      </c>
      <c r="T74" t="s">
        <v>1644</v>
      </c>
      <c r="U74" t="s">
        <v>1645</v>
      </c>
      <c r="V74" t="s">
        <v>1646</v>
      </c>
      <c r="W74" t="s">
        <v>1647</v>
      </c>
      <c r="X74" t="s">
        <v>1583</v>
      </c>
      <c r="Y74" t="s">
        <v>1648</v>
      </c>
      <c r="Z74" t="s">
        <v>1649</v>
      </c>
      <c r="AA74" t="s">
        <v>74</v>
      </c>
      <c r="AB74" t="s">
        <v>1650</v>
      </c>
      <c r="AC74" t="s">
        <v>1651</v>
      </c>
      <c r="AD74" t="s">
        <v>74</v>
      </c>
      <c r="AE74" t="s">
        <v>1652</v>
      </c>
      <c r="AF74" t="s">
        <v>74</v>
      </c>
      <c r="AG74">
        <v>38</v>
      </c>
      <c r="AH74">
        <v>3</v>
      </c>
      <c r="AI74">
        <v>3</v>
      </c>
      <c r="AJ74">
        <v>24</v>
      </c>
      <c r="AK74">
        <v>49</v>
      </c>
      <c r="AL74" t="s">
        <v>1653</v>
      </c>
      <c r="AM74" t="s">
        <v>1654</v>
      </c>
      <c r="AN74" t="s">
        <v>1655</v>
      </c>
      <c r="AO74" t="s">
        <v>1656</v>
      </c>
      <c r="AP74" t="s">
        <v>1657</v>
      </c>
      <c r="AQ74" t="s">
        <v>74</v>
      </c>
      <c r="AR74" t="s">
        <v>1658</v>
      </c>
      <c r="AS74" t="s">
        <v>1659</v>
      </c>
      <c r="AT74" t="s">
        <v>74</v>
      </c>
      <c r="AU74">
        <v>2022</v>
      </c>
      <c r="AV74">
        <v>15</v>
      </c>
      <c r="AW74">
        <v>3</v>
      </c>
      <c r="AX74" t="s">
        <v>74</v>
      </c>
      <c r="AY74" t="s">
        <v>74</v>
      </c>
      <c r="AZ74" t="s">
        <v>74</v>
      </c>
      <c r="BA74" t="s">
        <v>74</v>
      </c>
      <c r="BB74">
        <v>159</v>
      </c>
      <c r="BC74">
        <v>171</v>
      </c>
      <c r="BD74" t="s">
        <v>74</v>
      </c>
      <c r="BE74" t="s">
        <v>1660</v>
      </c>
      <c r="BF74" t="str">
        <f>HYPERLINK("http://dx.doi.org/10.14254/2071-789X.2022/15-3/9","http://dx.doi.org/10.14254/2071-789X.2022/15-3/9")</f>
        <v>http://dx.doi.org/10.14254/2071-789X.2022/15-3/9</v>
      </c>
      <c r="BG74" t="s">
        <v>74</v>
      </c>
      <c r="BH74" t="s">
        <v>74</v>
      </c>
      <c r="BI74">
        <v>13</v>
      </c>
      <c r="BJ74" t="s">
        <v>1661</v>
      </c>
      <c r="BK74" t="s">
        <v>124</v>
      </c>
      <c r="BL74" t="s">
        <v>419</v>
      </c>
      <c r="BM74" t="s">
        <v>1662</v>
      </c>
      <c r="BN74" t="s">
        <v>74</v>
      </c>
      <c r="BO74" t="s">
        <v>126</v>
      </c>
      <c r="BP74" t="s">
        <v>74</v>
      </c>
      <c r="BQ74" t="s">
        <v>74</v>
      </c>
      <c r="BR74" t="s">
        <v>102</v>
      </c>
      <c r="BS74" t="s">
        <v>1663</v>
      </c>
      <c r="BT74" t="str">
        <f>HYPERLINK("https%3A%2F%2Fwww.webofscience.com%2Fwos%2Fwoscc%2Ffull-record%2FWOS:000870462300009","View Full Record in Web of Science")</f>
        <v>View Full Record in Web of Science</v>
      </c>
    </row>
    <row r="75" spans="1:72" x14ac:dyDescent="0.2">
      <c r="A75" t="s">
        <v>72</v>
      </c>
      <c r="B75" t="s">
        <v>1664</v>
      </c>
      <c r="C75" t="s">
        <v>74</v>
      </c>
      <c r="D75" t="s">
        <v>74</v>
      </c>
      <c r="E75" t="s">
        <v>74</v>
      </c>
      <c r="F75" t="s">
        <v>1665</v>
      </c>
      <c r="G75" t="s">
        <v>74</v>
      </c>
      <c r="H75" t="s">
        <v>74</v>
      </c>
      <c r="I75" t="s">
        <v>1666</v>
      </c>
      <c r="J75" t="s">
        <v>1618</v>
      </c>
      <c r="K75" t="s">
        <v>74</v>
      </c>
      <c r="L75" t="s">
        <v>74</v>
      </c>
      <c r="M75" t="s">
        <v>78</v>
      </c>
      <c r="N75" t="s">
        <v>108</v>
      </c>
      <c r="O75" t="s">
        <v>74</v>
      </c>
      <c r="P75" t="s">
        <v>74</v>
      </c>
      <c r="Q75" t="s">
        <v>74</v>
      </c>
      <c r="R75" t="s">
        <v>74</v>
      </c>
      <c r="S75" t="s">
        <v>74</v>
      </c>
      <c r="T75" t="s">
        <v>74</v>
      </c>
      <c r="U75" t="s">
        <v>1667</v>
      </c>
      <c r="V75" t="s">
        <v>1668</v>
      </c>
      <c r="W75" t="s">
        <v>1669</v>
      </c>
      <c r="X75" t="s">
        <v>1670</v>
      </c>
      <c r="Y75" t="s">
        <v>1671</v>
      </c>
      <c r="Z75" t="s">
        <v>1672</v>
      </c>
      <c r="AA75" t="s">
        <v>1673</v>
      </c>
      <c r="AB75" t="s">
        <v>1674</v>
      </c>
      <c r="AC75" t="s">
        <v>1675</v>
      </c>
      <c r="AD75" t="s">
        <v>1676</v>
      </c>
      <c r="AE75" t="s">
        <v>1677</v>
      </c>
      <c r="AF75" t="s">
        <v>74</v>
      </c>
      <c r="AG75">
        <v>35</v>
      </c>
      <c r="AH75">
        <v>17</v>
      </c>
      <c r="AI75">
        <v>17</v>
      </c>
      <c r="AJ75">
        <v>0</v>
      </c>
      <c r="AK75">
        <v>17</v>
      </c>
      <c r="AL75" t="s">
        <v>1630</v>
      </c>
      <c r="AM75" t="s">
        <v>1631</v>
      </c>
      <c r="AN75" t="s">
        <v>1632</v>
      </c>
      <c r="AO75" t="s">
        <v>1633</v>
      </c>
      <c r="AP75" t="s">
        <v>74</v>
      </c>
      <c r="AQ75" t="s">
        <v>74</v>
      </c>
      <c r="AR75" t="s">
        <v>1634</v>
      </c>
      <c r="AS75" t="s">
        <v>1635</v>
      </c>
      <c r="AT75" t="s">
        <v>1678</v>
      </c>
      <c r="AU75">
        <v>2013</v>
      </c>
      <c r="AV75">
        <v>52</v>
      </c>
      <c r="AW75">
        <v>22</v>
      </c>
      <c r="AX75" t="s">
        <v>74</v>
      </c>
      <c r="AY75" t="s">
        <v>74</v>
      </c>
      <c r="AZ75" t="s">
        <v>570</v>
      </c>
      <c r="BA75" t="s">
        <v>74</v>
      </c>
      <c r="BB75">
        <v>7223</v>
      </c>
      <c r="BC75">
        <v>7239</v>
      </c>
      <c r="BD75" t="s">
        <v>74</v>
      </c>
      <c r="BE75" t="s">
        <v>1679</v>
      </c>
      <c r="BF75" t="str">
        <f>HYPERLINK("http://dx.doi.org/10.1021/ie302599c","http://dx.doi.org/10.1021/ie302599c")</f>
        <v>http://dx.doi.org/10.1021/ie302599c</v>
      </c>
      <c r="BG75" t="s">
        <v>74</v>
      </c>
      <c r="BH75" t="s">
        <v>74</v>
      </c>
      <c r="BI75">
        <v>17</v>
      </c>
      <c r="BJ75" t="s">
        <v>1291</v>
      </c>
      <c r="BK75" t="s">
        <v>98</v>
      </c>
      <c r="BL75" t="s">
        <v>1292</v>
      </c>
      <c r="BM75" t="s">
        <v>1680</v>
      </c>
      <c r="BN75" t="s">
        <v>74</v>
      </c>
      <c r="BO75" t="s">
        <v>74</v>
      </c>
      <c r="BP75" t="s">
        <v>74</v>
      </c>
      <c r="BQ75" t="s">
        <v>74</v>
      </c>
      <c r="BR75" t="s">
        <v>102</v>
      </c>
      <c r="BS75" t="s">
        <v>1681</v>
      </c>
      <c r="BT75" t="str">
        <f>HYPERLINK("https%3A%2F%2Fwww.webofscience.com%2Fwos%2Fwoscc%2Ffull-record%2FWOS:000320152900017","View Full Record in Web of Science")</f>
        <v>View Full Record in Web of Science</v>
      </c>
    </row>
    <row r="76" spans="1:72" x14ac:dyDescent="0.2">
      <c r="A76" t="s">
        <v>72</v>
      </c>
      <c r="B76" t="s">
        <v>1682</v>
      </c>
      <c r="C76" t="s">
        <v>74</v>
      </c>
      <c r="D76" t="s">
        <v>74</v>
      </c>
      <c r="E76" t="s">
        <v>74</v>
      </c>
      <c r="F76" t="s">
        <v>1683</v>
      </c>
      <c r="G76" t="s">
        <v>74</v>
      </c>
      <c r="H76" t="s">
        <v>74</v>
      </c>
      <c r="I76" t="s">
        <v>1684</v>
      </c>
      <c r="J76" t="s">
        <v>1685</v>
      </c>
      <c r="K76" t="s">
        <v>74</v>
      </c>
      <c r="L76" t="s">
        <v>74</v>
      </c>
      <c r="M76" t="s">
        <v>78</v>
      </c>
      <c r="N76" t="s">
        <v>108</v>
      </c>
      <c r="O76" t="s">
        <v>74</v>
      </c>
      <c r="P76" t="s">
        <v>74</v>
      </c>
      <c r="Q76" t="s">
        <v>74</v>
      </c>
      <c r="R76" t="s">
        <v>74</v>
      </c>
      <c r="S76" t="s">
        <v>74</v>
      </c>
      <c r="T76" t="s">
        <v>1686</v>
      </c>
      <c r="U76" t="s">
        <v>1687</v>
      </c>
      <c r="V76" t="s">
        <v>1688</v>
      </c>
      <c r="W76" t="s">
        <v>1689</v>
      </c>
      <c r="X76" t="s">
        <v>1690</v>
      </c>
      <c r="Y76" t="s">
        <v>1584</v>
      </c>
      <c r="Z76" t="s">
        <v>1691</v>
      </c>
      <c r="AA76" t="s">
        <v>1692</v>
      </c>
      <c r="AB76" t="s">
        <v>1693</v>
      </c>
      <c r="AC76" t="s">
        <v>1694</v>
      </c>
      <c r="AD76" t="s">
        <v>1695</v>
      </c>
      <c r="AE76" t="s">
        <v>1696</v>
      </c>
      <c r="AF76" t="s">
        <v>74</v>
      </c>
      <c r="AG76">
        <v>41</v>
      </c>
      <c r="AH76">
        <v>11</v>
      </c>
      <c r="AI76">
        <v>11</v>
      </c>
      <c r="AJ76">
        <v>13</v>
      </c>
      <c r="AK76">
        <v>67</v>
      </c>
      <c r="AL76" t="s">
        <v>1697</v>
      </c>
      <c r="AM76" t="s">
        <v>1698</v>
      </c>
      <c r="AN76" t="s">
        <v>1699</v>
      </c>
      <c r="AO76" t="s">
        <v>1700</v>
      </c>
      <c r="AP76" t="s">
        <v>1701</v>
      </c>
      <c r="AQ76" t="s">
        <v>74</v>
      </c>
      <c r="AR76" t="s">
        <v>1702</v>
      </c>
      <c r="AS76" t="s">
        <v>1703</v>
      </c>
      <c r="AT76" t="s">
        <v>416</v>
      </c>
      <c r="AU76">
        <v>2021</v>
      </c>
      <c r="AV76">
        <v>13</v>
      </c>
      <c r="AW76">
        <v>2</v>
      </c>
      <c r="AX76" t="s">
        <v>74</v>
      </c>
      <c r="AY76" t="s">
        <v>74</v>
      </c>
      <c r="AZ76" t="s">
        <v>74</v>
      </c>
      <c r="BA76" t="s">
        <v>74</v>
      </c>
      <c r="BB76">
        <v>135</v>
      </c>
      <c r="BC76">
        <v>151</v>
      </c>
      <c r="BD76" t="s">
        <v>74</v>
      </c>
      <c r="BE76" t="s">
        <v>1704</v>
      </c>
      <c r="BF76" t="str">
        <f>HYPERLINK("http://dx.doi.org/10.7441/joc.2021.02.08","http://dx.doi.org/10.7441/joc.2021.02.08")</f>
        <v>http://dx.doi.org/10.7441/joc.2021.02.08</v>
      </c>
      <c r="BG76" t="s">
        <v>74</v>
      </c>
      <c r="BH76" t="s">
        <v>74</v>
      </c>
      <c r="BI76">
        <v>17</v>
      </c>
      <c r="BJ76" t="s">
        <v>1705</v>
      </c>
      <c r="BK76" t="s">
        <v>242</v>
      </c>
      <c r="BL76" t="s">
        <v>419</v>
      </c>
      <c r="BM76" t="s">
        <v>1706</v>
      </c>
      <c r="BN76" t="s">
        <v>74</v>
      </c>
      <c r="BO76" t="s">
        <v>101</v>
      </c>
      <c r="BP76" t="s">
        <v>74</v>
      </c>
      <c r="BQ76" t="s">
        <v>74</v>
      </c>
      <c r="BR76" t="s">
        <v>102</v>
      </c>
      <c r="BS76" t="s">
        <v>1707</v>
      </c>
      <c r="BT76" t="str">
        <f>HYPERLINK("https%3A%2F%2Fwww.webofscience.com%2Fwos%2Fwoscc%2Ffull-record%2FWOS:000668683200008","View Full Record in Web of Science")</f>
        <v>View Full Record in Web of Science</v>
      </c>
    </row>
    <row r="77" spans="1:72" x14ac:dyDescent="0.2">
      <c r="A77" t="s">
        <v>72</v>
      </c>
      <c r="B77" t="s">
        <v>1708</v>
      </c>
      <c r="C77" t="s">
        <v>74</v>
      </c>
      <c r="D77" t="s">
        <v>74</v>
      </c>
      <c r="E77" t="s">
        <v>74</v>
      </c>
      <c r="F77" t="s">
        <v>1709</v>
      </c>
      <c r="G77" t="s">
        <v>74</v>
      </c>
      <c r="H77" t="s">
        <v>74</v>
      </c>
      <c r="I77" t="s">
        <v>1710</v>
      </c>
      <c r="J77" t="s">
        <v>531</v>
      </c>
      <c r="K77" t="s">
        <v>74</v>
      </c>
      <c r="L77" t="s">
        <v>74</v>
      </c>
      <c r="M77" t="s">
        <v>78</v>
      </c>
      <c r="N77" t="s">
        <v>79</v>
      </c>
      <c r="O77" t="s">
        <v>74</v>
      </c>
      <c r="P77" t="s">
        <v>74</v>
      </c>
      <c r="Q77" t="s">
        <v>74</v>
      </c>
      <c r="R77" t="s">
        <v>74</v>
      </c>
      <c r="S77" t="s">
        <v>74</v>
      </c>
      <c r="T77" t="s">
        <v>1711</v>
      </c>
      <c r="U77" t="s">
        <v>1712</v>
      </c>
      <c r="V77" t="s">
        <v>1713</v>
      </c>
      <c r="W77" t="s">
        <v>1714</v>
      </c>
      <c r="X77" t="s">
        <v>1715</v>
      </c>
      <c r="Y77" t="s">
        <v>1045</v>
      </c>
      <c r="Z77" t="s">
        <v>1716</v>
      </c>
      <c r="AA77" t="s">
        <v>74</v>
      </c>
      <c r="AB77" t="s">
        <v>74</v>
      </c>
      <c r="AC77" t="s">
        <v>74</v>
      </c>
      <c r="AD77" t="s">
        <v>74</v>
      </c>
      <c r="AE77" t="s">
        <v>74</v>
      </c>
      <c r="AF77" t="s">
        <v>74</v>
      </c>
      <c r="AG77">
        <v>87</v>
      </c>
      <c r="AH77">
        <v>14</v>
      </c>
      <c r="AI77">
        <v>15</v>
      </c>
      <c r="AJ77">
        <v>10</v>
      </c>
      <c r="AK77">
        <v>46</v>
      </c>
      <c r="AL77" t="s">
        <v>543</v>
      </c>
      <c r="AM77" t="s">
        <v>260</v>
      </c>
      <c r="AN77" t="s">
        <v>544</v>
      </c>
      <c r="AO77" t="s">
        <v>545</v>
      </c>
      <c r="AP77" t="s">
        <v>546</v>
      </c>
      <c r="AQ77" t="s">
        <v>74</v>
      </c>
      <c r="AR77" t="s">
        <v>547</v>
      </c>
      <c r="AS77" t="s">
        <v>548</v>
      </c>
      <c r="AT77" t="s">
        <v>174</v>
      </c>
      <c r="AU77">
        <v>2021</v>
      </c>
      <c r="AV77">
        <v>160</v>
      </c>
      <c r="AW77" t="s">
        <v>74</v>
      </c>
      <c r="AX77" t="s">
        <v>74</v>
      </c>
      <c r="AY77" t="s">
        <v>74</v>
      </c>
      <c r="AZ77" t="s">
        <v>74</v>
      </c>
      <c r="BA77" t="s">
        <v>74</v>
      </c>
      <c r="BB77" t="s">
        <v>74</v>
      </c>
      <c r="BC77" t="s">
        <v>74</v>
      </c>
      <c r="BD77">
        <v>107601</v>
      </c>
      <c r="BE77" t="s">
        <v>1717</v>
      </c>
      <c r="BF77" t="str">
        <f>HYPERLINK("http://dx.doi.org/10.1016/j.cie.2021.107601","http://dx.doi.org/10.1016/j.cie.2021.107601")</f>
        <v>http://dx.doi.org/10.1016/j.cie.2021.107601</v>
      </c>
      <c r="BG77" t="s">
        <v>74</v>
      </c>
      <c r="BH77" t="s">
        <v>1373</v>
      </c>
      <c r="BI77">
        <v>15</v>
      </c>
      <c r="BJ77" t="s">
        <v>550</v>
      </c>
      <c r="BK77" t="s">
        <v>98</v>
      </c>
      <c r="BL77" t="s">
        <v>269</v>
      </c>
      <c r="BM77" t="s">
        <v>1718</v>
      </c>
      <c r="BN77" t="s">
        <v>74</v>
      </c>
      <c r="BO77" t="s">
        <v>74</v>
      </c>
      <c r="BP77" t="s">
        <v>74</v>
      </c>
      <c r="BQ77" t="s">
        <v>74</v>
      </c>
      <c r="BR77" t="s">
        <v>102</v>
      </c>
      <c r="BS77" t="s">
        <v>1719</v>
      </c>
      <c r="BT77" t="str">
        <f>HYPERLINK("https%3A%2F%2Fwww.webofscience.com%2Fwos%2Fwoscc%2Ffull-record%2FWOS:000696311000017","View Full Record in Web of Science")</f>
        <v>View Full Record in Web of Science</v>
      </c>
    </row>
    <row r="78" spans="1:72" x14ac:dyDescent="0.2">
      <c r="A78" t="s">
        <v>72</v>
      </c>
      <c r="B78" t="s">
        <v>1720</v>
      </c>
      <c r="C78" t="s">
        <v>74</v>
      </c>
      <c r="D78" t="s">
        <v>74</v>
      </c>
      <c r="E78" t="s">
        <v>74</v>
      </c>
      <c r="F78" t="s">
        <v>1721</v>
      </c>
      <c r="G78" t="s">
        <v>74</v>
      </c>
      <c r="H78" t="s">
        <v>74</v>
      </c>
      <c r="I78" t="s">
        <v>1722</v>
      </c>
      <c r="J78" t="s">
        <v>1723</v>
      </c>
      <c r="K78" t="s">
        <v>74</v>
      </c>
      <c r="L78" t="s">
        <v>74</v>
      </c>
      <c r="M78" t="s">
        <v>78</v>
      </c>
      <c r="N78" t="s">
        <v>108</v>
      </c>
      <c r="O78" t="s">
        <v>74</v>
      </c>
      <c r="P78" t="s">
        <v>74</v>
      </c>
      <c r="Q78" t="s">
        <v>74</v>
      </c>
      <c r="R78" t="s">
        <v>74</v>
      </c>
      <c r="S78" t="s">
        <v>74</v>
      </c>
      <c r="T78" t="s">
        <v>1724</v>
      </c>
      <c r="U78" t="s">
        <v>1725</v>
      </c>
      <c r="V78" t="s">
        <v>1726</v>
      </c>
      <c r="W78" t="s">
        <v>1727</v>
      </c>
      <c r="X78" t="s">
        <v>1728</v>
      </c>
      <c r="Y78" t="s">
        <v>1729</v>
      </c>
      <c r="Z78" t="s">
        <v>1624</v>
      </c>
      <c r="AA78" t="s">
        <v>1730</v>
      </c>
      <c r="AB78" t="s">
        <v>1731</v>
      </c>
      <c r="AC78" t="s">
        <v>1732</v>
      </c>
      <c r="AD78" t="s">
        <v>1733</v>
      </c>
      <c r="AE78" t="s">
        <v>1734</v>
      </c>
      <c r="AF78" t="s">
        <v>74</v>
      </c>
      <c r="AG78">
        <v>40</v>
      </c>
      <c r="AH78">
        <v>60</v>
      </c>
      <c r="AI78">
        <v>60</v>
      </c>
      <c r="AJ78">
        <v>0</v>
      </c>
      <c r="AK78">
        <v>36</v>
      </c>
      <c r="AL78" t="s">
        <v>543</v>
      </c>
      <c r="AM78" t="s">
        <v>260</v>
      </c>
      <c r="AN78" t="s">
        <v>544</v>
      </c>
      <c r="AO78" t="s">
        <v>1735</v>
      </c>
      <c r="AP78" t="s">
        <v>1736</v>
      </c>
      <c r="AQ78" t="s">
        <v>74</v>
      </c>
      <c r="AR78" t="s">
        <v>1737</v>
      </c>
      <c r="AS78" t="s">
        <v>1738</v>
      </c>
      <c r="AT78" t="s">
        <v>1739</v>
      </c>
      <c r="AU78">
        <v>2012</v>
      </c>
      <c r="AV78">
        <v>69</v>
      </c>
      <c r="AW78">
        <v>1</v>
      </c>
      <c r="AX78" t="s">
        <v>74</v>
      </c>
      <c r="AY78" t="s">
        <v>74</v>
      </c>
      <c r="AZ78" t="s">
        <v>74</v>
      </c>
      <c r="BA78" t="s">
        <v>74</v>
      </c>
      <c r="BB78">
        <v>146</v>
      </c>
      <c r="BC78">
        <v>158</v>
      </c>
      <c r="BD78" t="s">
        <v>74</v>
      </c>
      <c r="BE78" t="s">
        <v>1740</v>
      </c>
      <c r="BF78" t="str">
        <f>HYPERLINK("http://dx.doi.org/10.1016/j.ces.2011.10.018","http://dx.doi.org/10.1016/j.ces.2011.10.018")</f>
        <v>http://dx.doi.org/10.1016/j.ces.2011.10.018</v>
      </c>
      <c r="BG78" t="s">
        <v>74</v>
      </c>
      <c r="BH78" t="s">
        <v>74</v>
      </c>
      <c r="BI78">
        <v>13</v>
      </c>
      <c r="BJ78" t="s">
        <v>1291</v>
      </c>
      <c r="BK78" t="s">
        <v>98</v>
      </c>
      <c r="BL78" t="s">
        <v>1292</v>
      </c>
      <c r="BM78" t="s">
        <v>1741</v>
      </c>
      <c r="BN78" t="s">
        <v>74</v>
      </c>
      <c r="BO78" t="s">
        <v>74</v>
      </c>
      <c r="BP78" t="s">
        <v>74</v>
      </c>
      <c r="BQ78" t="s">
        <v>74</v>
      </c>
      <c r="BR78" t="s">
        <v>102</v>
      </c>
      <c r="BS78" t="s">
        <v>1742</v>
      </c>
      <c r="BT78" t="str">
        <f>HYPERLINK("https%3A%2F%2Fwww.webofscience.com%2Fwos%2Fwoscc%2Ffull-record%2FWOS:000298325800012","View Full Record in Web of Science")</f>
        <v>View Full Record in Web of Science</v>
      </c>
    </row>
    <row r="79" spans="1:72" x14ac:dyDescent="0.2">
      <c r="A79" t="s">
        <v>72</v>
      </c>
      <c r="B79" t="s">
        <v>1743</v>
      </c>
      <c r="C79" t="s">
        <v>74</v>
      </c>
      <c r="D79" t="s">
        <v>74</v>
      </c>
      <c r="E79" t="s">
        <v>74</v>
      </c>
      <c r="F79" t="s">
        <v>1744</v>
      </c>
      <c r="G79" t="s">
        <v>74</v>
      </c>
      <c r="H79" t="s">
        <v>74</v>
      </c>
      <c r="I79" t="s">
        <v>1745</v>
      </c>
      <c r="J79" t="s">
        <v>1746</v>
      </c>
      <c r="K79" t="s">
        <v>74</v>
      </c>
      <c r="L79" t="s">
        <v>74</v>
      </c>
      <c r="M79" t="s">
        <v>78</v>
      </c>
      <c r="N79" t="s">
        <v>108</v>
      </c>
      <c r="O79" t="s">
        <v>74</v>
      </c>
      <c r="P79" t="s">
        <v>74</v>
      </c>
      <c r="Q79" t="s">
        <v>74</v>
      </c>
      <c r="R79" t="s">
        <v>74</v>
      </c>
      <c r="S79" t="s">
        <v>74</v>
      </c>
      <c r="T79" t="s">
        <v>1747</v>
      </c>
      <c r="U79" t="s">
        <v>1748</v>
      </c>
      <c r="V79" t="s">
        <v>1749</v>
      </c>
      <c r="W79" t="s">
        <v>1750</v>
      </c>
      <c r="X79" t="s">
        <v>1751</v>
      </c>
      <c r="Y79" t="s">
        <v>1752</v>
      </c>
      <c r="Z79" t="s">
        <v>1753</v>
      </c>
      <c r="AA79" t="s">
        <v>1754</v>
      </c>
      <c r="AB79" t="s">
        <v>1755</v>
      </c>
      <c r="AC79" t="s">
        <v>1756</v>
      </c>
      <c r="AD79" t="s">
        <v>1756</v>
      </c>
      <c r="AE79" t="s">
        <v>1757</v>
      </c>
      <c r="AF79" t="s">
        <v>74</v>
      </c>
      <c r="AG79">
        <v>140</v>
      </c>
      <c r="AH79">
        <v>49</v>
      </c>
      <c r="AI79">
        <v>51</v>
      </c>
      <c r="AJ79">
        <v>0</v>
      </c>
      <c r="AK79">
        <v>47</v>
      </c>
      <c r="AL79" t="s">
        <v>1047</v>
      </c>
      <c r="AM79" t="s">
        <v>1048</v>
      </c>
      <c r="AN79" t="s">
        <v>1049</v>
      </c>
      <c r="AO79" t="s">
        <v>1758</v>
      </c>
      <c r="AP79" t="s">
        <v>1759</v>
      </c>
      <c r="AQ79" t="s">
        <v>74</v>
      </c>
      <c r="AR79" t="s">
        <v>1760</v>
      </c>
      <c r="AS79" t="s">
        <v>1761</v>
      </c>
      <c r="AT79" t="s">
        <v>372</v>
      </c>
      <c r="AU79">
        <v>2016</v>
      </c>
      <c r="AV79">
        <v>48</v>
      </c>
      <c r="AW79">
        <v>1</v>
      </c>
      <c r="AX79" t="s">
        <v>74</v>
      </c>
      <c r="AY79" t="s">
        <v>74</v>
      </c>
      <c r="AZ79" t="s">
        <v>74</v>
      </c>
      <c r="BA79" t="s">
        <v>74</v>
      </c>
      <c r="BB79">
        <v>4</v>
      </c>
      <c r="BC79">
        <v>27</v>
      </c>
      <c r="BD79" t="s">
        <v>74</v>
      </c>
      <c r="BE79" t="s">
        <v>1762</v>
      </c>
      <c r="BF79" t="str">
        <f>HYPERLINK("http://dx.doi.org/10.1080/00224065.2016.11918148","http://dx.doi.org/10.1080/00224065.2016.11918148")</f>
        <v>http://dx.doi.org/10.1080/00224065.2016.11918148</v>
      </c>
      <c r="BG79" t="s">
        <v>74</v>
      </c>
      <c r="BH79" t="s">
        <v>74</v>
      </c>
      <c r="BI79">
        <v>24</v>
      </c>
      <c r="BJ79" t="s">
        <v>1763</v>
      </c>
      <c r="BK79" t="s">
        <v>98</v>
      </c>
      <c r="BL79" t="s">
        <v>1764</v>
      </c>
      <c r="BM79" t="s">
        <v>1765</v>
      </c>
      <c r="BN79" t="s">
        <v>74</v>
      </c>
      <c r="BO79" t="s">
        <v>74</v>
      </c>
      <c r="BP79" t="s">
        <v>74</v>
      </c>
      <c r="BQ79" t="s">
        <v>74</v>
      </c>
      <c r="BR79" t="s">
        <v>102</v>
      </c>
      <c r="BS79" t="s">
        <v>1766</v>
      </c>
      <c r="BT79" t="str">
        <f>HYPERLINK("https%3A%2F%2Fwww.webofscience.com%2Fwos%2Fwoscc%2Ffull-record%2FWOS:000375825200001","View Full Record in Web of Science")</f>
        <v>View Full Record in Web of Science</v>
      </c>
    </row>
    <row r="80" spans="1:72" x14ac:dyDescent="0.2">
      <c r="A80" t="s">
        <v>72</v>
      </c>
      <c r="B80" t="s">
        <v>1767</v>
      </c>
      <c r="C80" t="s">
        <v>74</v>
      </c>
      <c r="D80" t="s">
        <v>74</v>
      </c>
      <c r="E80" t="s">
        <v>74</v>
      </c>
      <c r="F80" t="s">
        <v>1768</v>
      </c>
      <c r="G80" t="s">
        <v>74</v>
      </c>
      <c r="H80" t="s">
        <v>74</v>
      </c>
      <c r="I80" t="s">
        <v>1769</v>
      </c>
      <c r="J80" t="s">
        <v>1578</v>
      </c>
      <c r="K80" t="s">
        <v>74</v>
      </c>
      <c r="L80" t="s">
        <v>74</v>
      </c>
      <c r="M80" t="s">
        <v>78</v>
      </c>
      <c r="N80" t="s">
        <v>108</v>
      </c>
      <c r="O80" t="s">
        <v>74</v>
      </c>
      <c r="P80" t="s">
        <v>74</v>
      </c>
      <c r="Q80" t="s">
        <v>74</v>
      </c>
      <c r="R80" t="s">
        <v>74</v>
      </c>
      <c r="S80" t="s">
        <v>74</v>
      </c>
      <c r="T80" t="s">
        <v>1770</v>
      </c>
      <c r="U80" t="s">
        <v>74</v>
      </c>
      <c r="V80" t="s">
        <v>1771</v>
      </c>
      <c r="W80" t="s">
        <v>1772</v>
      </c>
      <c r="X80" t="s">
        <v>1583</v>
      </c>
      <c r="Y80" t="s">
        <v>1584</v>
      </c>
      <c r="Z80" t="s">
        <v>1773</v>
      </c>
      <c r="AA80" t="s">
        <v>1774</v>
      </c>
      <c r="AB80" t="s">
        <v>1775</v>
      </c>
      <c r="AC80" t="s">
        <v>74</v>
      </c>
      <c r="AD80" t="s">
        <v>74</v>
      </c>
      <c r="AE80" t="s">
        <v>74</v>
      </c>
      <c r="AF80" t="s">
        <v>74</v>
      </c>
      <c r="AG80">
        <v>44</v>
      </c>
      <c r="AH80">
        <v>9</v>
      </c>
      <c r="AI80">
        <v>9</v>
      </c>
      <c r="AJ80">
        <v>0</v>
      </c>
      <c r="AK80">
        <v>30</v>
      </c>
      <c r="AL80" t="s">
        <v>1588</v>
      </c>
      <c r="AM80" t="s">
        <v>1589</v>
      </c>
      <c r="AN80" t="s">
        <v>1590</v>
      </c>
      <c r="AO80" t="s">
        <v>1591</v>
      </c>
      <c r="AP80" t="s">
        <v>74</v>
      </c>
      <c r="AQ80" t="s">
        <v>74</v>
      </c>
      <c r="AR80" t="s">
        <v>1592</v>
      </c>
      <c r="AS80" t="s">
        <v>1593</v>
      </c>
      <c r="AT80" t="s">
        <v>74</v>
      </c>
      <c r="AU80">
        <v>2018</v>
      </c>
      <c r="AV80">
        <v>18</v>
      </c>
      <c r="AW80">
        <v>1</v>
      </c>
      <c r="AX80" t="s">
        <v>74</v>
      </c>
      <c r="AY80" t="s">
        <v>74</v>
      </c>
      <c r="AZ80" t="s">
        <v>74</v>
      </c>
      <c r="BA80" t="s">
        <v>74</v>
      </c>
      <c r="BB80">
        <v>353</v>
      </c>
      <c r="BC80">
        <v>364</v>
      </c>
      <c r="BD80" t="s">
        <v>74</v>
      </c>
      <c r="BE80" t="s">
        <v>1776</v>
      </c>
      <c r="BF80" t="str">
        <f>HYPERLINK("http://dx.doi.org/10.17512/pjms.2018.18.1.26","http://dx.doi.org/10.17512/pjms.2018.18.1.26")</f>
        <v>http://dx.doi.org/10.17512/pjms.2018.18.1.26</v>
      </c>
      <c r="BG80" t="s">
        <v>74</v>
      </c>
      <c r="BH80" t="s">
        <v>74</v>
      </c>
      <c r="BI80">
        <v>12</v>
      </c>
      <c r="BJ80" t="s">
        <v>418</v>
      </c>
      <c r="BK80" t="s">
        <v>124</v>
      </c>
      <c r="BL80" t="s">
        <v>419</v>
      </c>
      <c r="BM80" t="s">
        <v>1777</v>
      </c>
      <c r="BN80" t="s">
        <v>74</v>
      </c>
      <c r="BO80" t="s">
        <v>126</v>
      </c>
      <c r="BP80" t="s">
        <v>74</v>
      </c>
      <c r="BQ80" t="s">
        <v>74</v>
      </c>
      <c r="BR80" t="s">
        <v>102</v>
      </c>
      <c r="BS80" t="s">
        <v>1778</v>
      </c>
      <c r="BT80" t="str">
        <f>HYPERLINK("https%3A%2F%2Fwww.webofscience.com%2Fwos%2Fwoscc%2Ffull-record%2FWOS:000457447600026","View Full Record in Web of Science")</f>
        <v>View Full Record in Web of Science</v>
      </c>
    </row>
    <row r="81" spans="1:72" x14ac:dyDescent="0.2">
      <c r="A81" t="s">
        <v>72</v>
      </c>
      <c r="B81" t="s">
        <v>1779</v>
      </c>
      <c r="C81" t="s">
        <v>74</v>
      </c>
      <c r="D81" t="s">
        <v>74</v>
      </c>
      <c r="E81" t="s">
        <v>74</v>
      </c>
      <c r="F81" t="s">
        <v>1780</v>
      </c>
      <c r="G81" t="s">
        <v>74</v>
      </c>
      <c r="H81" t="s">
        <v>74</v>
      </c>
      <c r="I81" t="s">
        <v>1781</v>
      </c>
      <c r="J81" t="s">
        <v>1782</v>
      </c>
      <c r="K81" t="s">
        <v>74</v>
      </c>
      <c r="L81" t="s">
        <v>74</v>
      </c>
      <c r="M81" t="s">
        <v>78</v>
      </c>
      <c r="N81" t="s">
        <v>108</v>
      </c>
      <c r="O81" t="s">
        <v>74</v>
      </c>
      <c r="P81" t="s">
        <v>74</v>
      </c>
      <c r="Q81" t="s">
        <v>74</v>
      </c>
      <c r="R81" t="s">
        <v>74</v>
      </c>
      <c r="S81" t="s">
        <v>74</v>
      </c>
      <c r="T81" t="s">
        <v>1783</v>
      </c>
      <c r="U81" t="s">
        <v>1784</v>
      </c>
      <c r="V81" t="s">
        <v>1785</v>
      </c>
      <c r="W81" t="s">
        <v>1786</v>
      </c>
      <c r="X81" t="s">
        <v>1787</v>
      </c>
      <c r="Y81" t="s">
        <v>1788</v>
      </c>
      <c r="Z81" t="s">
        <v>1789</v>
      </c>
      <c r="AA81" t="s">
        <v>1790</v>
      </c>
      <c r="AB81" t="s">
        <v>1791</v>
      </c>
      <c r="AC81" t="s">
        <v>74</v>
      </c>
      <c r="AD81" t="s">
        <v>74</v>
      </c>
      <c r="AE81" t="s">
        <v>74</v>
      </c>
      <c r="AF81" t="s">
        <v>74</v>
      </c>
      <c r="AG81">
        <v>37</v>
      </c>
      <c r="AH81">
        <v>12</v>
      </c>
      <c r="AI81">
        <v>12</v>
      </c>
      <c r="AJ81">
        <v>4</v>
      </c>
      <c r="AK81">
        <v>125</v>
      </c>
      <c r="AL81" t="s">
        <v>209</v>
      </c>
      <c r="AM81" t="s">
        <v>210</v>
      </c>
      <c r="AN81" t="s">
        <v>211</v>
      </c>
      <c r="AO81" t="s">
        <v>1792</v>
      </c>
      <c r="AP81" t="s">
        <v>1793</v>
      </c>
      <c r="AQ81" t="s">
        <v>74</v>
      </c>
      <c r="AR81" t="s">
        <v>1794</v>
      </c>
      <c r="AS81" t="s">
        <v>1795</v>
      </c>
      <c r="AT81" t="s">
        <v>1796</v>
      </c>
      <c r="AU81">
        <v>2020</v>
      </c>
      <c r="AV81">
        <v>280</v>
      </c>
      <c r="AW81">
        <v>2</v>
      </c>
      <c r="AX81" t="s">
        <v>74</v>
      </c>
      <c r="AY81" t="s">
        <v>74</v>
      </c>
      <c r="AZ81" t="s">
        <v>74</v>
      </c>
      <c r="BA81" t="s">
        <v>74</v>
      </c>
      <c r="BB81">
        <v>707</v>
      </c>
      <c r="BC81">
        <v>729</v>
      </c>
      <c r="BD81" t="s">
        <v>74</v>
      </c>
      <c r="BE81" t="s">
        <v>1797</v>
      </c>
      <c r="BF81" t="str">
        <f>HYPERLINK("http://dx.doi.org/10.1016/j.ejor.2019.07.053","http://dx.doi.org/10.1016/j.ejor.2019.07.053")</f>
        <v>http://dx.doi.org/10.1016/j.ejor.2019.07.053</v>
      </c>
      <c r="BG81" t="s">
        <v>74</v>
      </c>
      <c r="BH81" t="s">
        <v>74</v>
      </c>
      <c r="BI81">
        <v>23</v>
      </c>
      <c r="BJ81" t="s">
        <v>524</v>
      </c>
      <c r="BK81" t="s">
        <v>98</v>
      </c>
      <c r="BL81" t="s">
        <v>525</v>
      </c>
      <c r="BM81" t="s">
        <v>1798</v>
      </c>
      <c r="BN81" t="s">
        <v>74</v>
      </c>
      <c r="BO81" t="s">
        <v>74</v>
      </c>
      <c r="BP81" t="s">
        <v>74</v>
      </c>
      <c r="BQ81" t="s">
        <v>74</v>
      </c>
      <c r="BR81" t="s">
        <v>102</v>
      </c>
      <c r="BS81" t="s">
        <v>1799</v>
      </c>
      <c r="BT81" t="str">
        <f>HYPERLINK("https%3A%2F%2Fwww.webofscience.com%2Fwos%2Fwoscc%2Ffull-record%2FWOS:000488997700022","View Full Record in Web of Science")</f>
        <v>View Full Record in Web of Science</v>
      </c>
    </row>
    <row r="82" spans="1:72" x14ac:dyDescent="0.2">
      <c r="A82" t="s">
        <v>72</v>
      </c>
      <c r="B82" t="s">
        <v>1800</v>
      </c>
      <c r="C82" t="s">
        <v>74</v>
      </c>
      <c r="D82" t="s">
        <v>74</v>
      </c>
      <c r="E82" t="s">
        <v>74</v>
      </c>
      <c r="F82" t="s">
        <v>1801</v>
      </c>
      <c r="G82" t="s">
        <v>74</v>
      </c>
      <c r="H82" t="s">
        <v>74</v>
      </c>
      <c r="I82" t="s">
        <v>1802</v>
      </c>
      <c r="J82" t="s">
        <v>976</v>
      </c>
      <c r="K82" t="s">
        <v>74</v>
      </c>
      <c r="L82" t="s">
        <v>74</v>
      </c>
      <c r="M82" t="s">
        <v>78</v>
      </c>
      <c r="N82" t="s">
        <v>108</v>
      </c>
      <c r="O82" t="s">
        <v>74</v>
      </c>
      <c r="P82" t="s">
        <v>74</v>
      </c>
      <c r="Q82" t="s">
        <v>74</v>
      </c>
      <c r="R82" t="s">
        <v>74</v>
      </c>
      <c r="S82" t="s">
        <v>74</v>
      </c>
      <c r="T82" t="s">
        <v>1803</v>
      </c>
      <c r="U82" t="s">
        <v>1804</v>
      </c>
      <c r="V82" t="s">
        <v>1805</v>
      </c>
      <c r="W82" t="s">
        <v>1806</v>
      </c>
      <c r="X82" t="s">
        <v>1807</v>
      </c>
      <c r="Y82" t="s">
        <v>1808</v>
      </c>
      <c r="Z82" t="s">
        <v>1809</v>
      </c>
      <c r="AA82" t="s">
        <v>1810</v>
      </c>
      <c r="AB82" t="s">
        <v>1811</v>
      </c>
      <c r="AC82" t="s">
        <v>74</v>
      </c>
      <c r="AD82" t="s">
        <v>74</v>
      </c>
      <c r="AE82" t="s">
        <v>74</v>
      </c>
      <c r="AF82" t="s">
        <v>74</v>
      </c>
      <c r="AG82">
        <v>31</v>
      </c>
      <c r="AH82">
        <v>6</v>
      </c>
      <c r="AI82">
        <v>6</v>
      </c>
      <c r="AJ82">
        <v>1</v>
      </c>
      <c r="AK82">
        <v>11</v>
      </c>
      <c r="AL82" t="s">
        <v>259</v>
      </c>
      <c r="AM82" t="s">
        <v>260</v>
      </c>
      <c r="AN82" t="s">
        <v>261</v>
      </c>
      <c r="AO82" t="s">
        <v>989</v>
      </c>
      <c r="AP82" t="s">
        <v>990</v>
      </c>
      <c r="AQ82" t="s">
        <v>74</v>
      </c>
      <c r="AR82" t="s">
        <v>991</v>
      </c>
      <c r="AS82" t="s">
        <v>992</v>
      </c>
      <c r="AT82" t="s">
        <v>1812</v>
      </c>
      <c r="AU82">
        <v>2020</v>
      </c>
      <c r="AV82">
        <v>274</v>
      </c>
      <c r="AW82" t="s">
        <v>74</v>
      </c>
      <c r="AX82" t="s">
        <v>74</v>
      </c>
      <c r="AY82" t="s">
        <v>74</v>
      </c>
      <c r="AZ82" t="s">
        <v>74</v>
      </c>
      <c r="BA82" t="s">
        <v>74</v>
      </c>
      <c r="BB82" t="s">
        <v>74</v>
      </c>
      <c r="BC82" t="s">
        <v>74</v>
      </c>
      <c r="BD82">
        <v>123053</v>
      </c>
      <c r="BE82" t="s">
        <v>1813</v>
      </c>
      <c r="BF82" t="str">
        <f>HYPERLINK("http://dx.doi.org/10.1016/j.jclepro.2020.123053","http://dx.doi.org/10.1016/j.jclepro.2020.123053")</f>
        <v>http://dx.doi.org/10.1016/j.jclepro.2020.123053</v>
      </c>
      <c r="BG82" t="s">
        <v>74</v>
      </c>
      <c r="BH82" t="s">
        <v>74</v>
      </c>
      <c r="BI82">
        <v>13</v>
      </c>
      <c r="BJ82" t="s">
        <v>995</v>
      </c>
      <c r="BK82" t="s">
        <v>98</v>
      </c>
      <c r="BL82" t="s">
        <v>996</v>
      </c>
      <c r="BM82" t="s">
        <v>1814</v>
      </c>
      <c r="BN82" t="s">
        <v>74</v>
      </c>
      <c r="BO82" t="s">
        <v>74</v>
      </c>
      <c r="BP82" t="s">
        <v>74</v>
      </c>
      <c r="BQ82" t="s">
        <v>74</v>
      </c>
      <c r="BR82" t="s">
        <v>102</v>
      </c>
      <c r="BS82" t="s">
        <v>1815</v>
      </c>
      <c r="BT82" t="str">
        <f>HYPERLINK("https%3A%2F%2Fwww.webofscience.com%2Fwos%2Fwoscc%2Ffull-record%2FWOS:000579404800011","View Full Record in Web of Science")</f>
        <v>View Full Record in Web of Science</v>
      </c>
    </row>
    <row r="83" spans="1:72" x14ac:dyDescent="0.2">
      <c r="A83" t="s">
        <v>72</v>
      </c>
      <c r="B83" t="s">
        <v>1816</v>
      </c>
      <c r="C83" t="s">
        <v>74</v>
      </c>
      <c r="D83" t="s">
        <v>74</v>
      </c>
      <c r="E83" t="s">
        <v>74</v>
      </c>
      <c r="F83" t="s">
        <v>1817</v>
      </c>
      <c r="G83" t="s">
        <v>74</v>
      </c>
      <c r="H83" t="s">
        <v>74</v>
      </c>
      <c r="I83" t="s">
        <v>1818</v>
      </c>
      <c r="J83" t="s">
        <v>531</v>
      </c>
      <c r="K83" t="s">
        <v>74</v>
      </c>
      <c r="L83" t="s">
        <v>74</v>
      </c>
      <c r="M83" t="s">
        <v>78</v>
      </c>
      <c r="N83" t="s">
        <v>108</v>
      </c>
      <c r="O83" t="s">
        <v>74</v>
      </c>
      <c r="P83" t="s">
        <v>74</v>
      </c>
      <c r="Q83" t="s">
        <v>74</v>
      </c>
      <c r="R83" t="s">
        <v>74</v>
      </c>
      <c r="S83" t="s">
        <v>74</v>
      </c>
      <c r="T83" t="s">
        <v>1819</v>
      </c>
      <c r="U83" t="s">
        <v>1820</v>
      </c>
      <c r="V83" t="s">
        <v>1821</v>
      </c>
      <c r="W83" t="s">
        <v>1822</v>
      </c>
      <c r="X83" t="s">
        <v>1823</v>
      </c>
      <c r="Y83" t="s">
        <v>1824</v>
      </c>
      <c r="Z83" t="s">
        <v>1825</v>
      </c>
      <c r="AA83" t="s">
        <v>1826</v>
      </c>
      <c r="AB83" t="s">
        <v>1827</v>
      </c>
      <c r="AC83" t="s">
        <v>1828</v>
      </c>
      <c r="AD83" t="s">
        <v>1829</v>
      </c>
      <c r="AE83" t="s">
        <v>1830</v>
      </c>
      <c r="AF83" t="s">
        <v>74</v>
      </c>
      <c r="AG83">
        <v>38</v>
      </c>
      <c r="AH83">
        <v>31</v>
      </c>
      <c r="AI83">
        <v>32</v>
      </c>
      <c r="AJ83">
        <v>2</v>
      </c>
      <c r="AK83">
        <v>47</v>
      </c>
      <c r="AL83" t="s">
        <v>543</v>
      </c>
      <c r="AM83" t="s">
        <v>260</v>
      </c>
      <c r="AN83" t="s">
        <v>544</v>
      </c>
      <c r="AO83" t="s">
        <v>545</v>
      </c>
      <c r="AP83" t="s">
        <v>546</v>
      </c>
      <c r="AQ83" t="s">
        <v>74</v>
      </c>
      <c r="AR83" t="s">
        <v>547</v>
      </c>
      <c r="AS83" t="s">
        <v>548</v>
      </c>
      <c r="AT83" t="s">
        <v>121</v>
      </c>
      <c r="AU83">
        <v>2018</v>
      </c>
      <c r="AV83">
        <v>121</v>
      </c>
      <c r="AW83" t="s">
        <v>74</v>
      </c>
      <c r="AX83" t="s">
        <v>74</v>
      </c>
      <c r="AY83" t="s">
        <v>74</v>
      </c>
      <c r="AZ83" t="s">
        <v>74</v>
      </c>
      <c r="BA83" t="s">
        <v>74</v>
      </c>
      <c r="BB83">
        <v>1</v>
      </c>
      <c r="BC83">
        <v>7</v>
      </c>
      <c r="BD83" t="s">
        <v>74</v>
      </c>
      <c r="BE83" t="s">
        <v>1831</v>
      </c>
      <c r="BF83" t="str">
        <f>HYPERLINK("http://dx.doi.org/10.1016/j.cie.2018.04.042","http://dx.doi.org/10.1016/j.cie.2018.04.042")</f>
        <v>http://dx.doi.org/10.1016/j.cie.2018.04.042</v>
      </c>
      <c r="BG83" t="s">
        <v>74</v>
      </c>
      <c r="BH83" t="s">
        <v>74</v>
      </c>
      <c r="BI83">
        <v>7</v>
      </c>
      <c r="BJ83" t="s">
        <v>550</v>
      </c>
      <c r="BK83" t="s">
        <v>147</v>
      </c>
      <c r="BL83" t="s">
        <v>269</v>
      </c>
      <c r="BM83" t="s">
        <v>1832</v>
      </c>
      <c r="BN83" t="s">
        <v>74</v>
      </c>
      <c r="BO83" t="s">
        <v>1833</v>
      </c>
      <c r="BP83" t="s">
        <v>74</v>
      </c>
      <c r="BQ83" t="s">
        <v>74</v>
      </c>
      <c r="BR83" t="s">
        <v>102</v>
      </c>
      <c r="BS83" t="s">
        <v>1834</v>
      </c>
      <c r="BT83" t="str">
        <f>HYPERLINK("https%3A%2F%2Fwww.webofscience.com%2Fwos%2Fwoscc%2Ffull-record%2FWOS:000437070400001","View Full Record in Web of Science")</f>
        <v>View Full Record in Web of Science</v>
      </c>
    </row>
    <row r="84" spans="1:72" x14ac:dyDescent="0.2">
      <c r="A84" t="s">
        <v>72</v>
      </c>
      <c r="B84" t="s">
        <v>1835</v>
      </c>
      <c r="C84" t="s">
        <v>74</v>
      </c>
      <c r="D84" t="s">
        <v>74</v>
      </c>
      <c r="E84" t="s">
        <v>74</v>
      </c>
      <c r="F84" t="s">
        <v>1836</v>
      </c>
      <c r="G84" t="s">
        <v>74</v>
      </c>
      <c r="H84" t="s">
        <v>74</v>
      </c>
      <c r="I84" t="s">
        <v>1837</v>
      </c>
      <c r="J84" t="s">
        <v>1838</v>
      </c>
      <c r="K84" t="s">
        <v>74</v>
      </c>
      <c r="L84" t="s">
        <v>74</v>
      </c>
      <c r="M84" t="s">
        <v>78</v>
      </c>
      <c r="N84" t="s">
        <v>108</v>
      </c>
      <c r="O84" t="s">
        <v>74</v>
      </c>
      <c r="P84" t="s">
        <v>74</v>
      </c>
      <c r="Q84" t="s">
        <v>74</v>
      </c>
      <c r="R84" t="s">
        <v>74</v>
      </c>
      <c r="S84" t="s">
        <v>74</v>
      </c>
      <c r="T84" t="s">
        <v>1839</v>
      </c>
      <c r="U84" t="s">
        <v>1840</v>
      </c>
      <c r="V84" t="s">
        <v>1841</v>
      </c>
      <c r="W84" t="s">
        <v>1842</v>
      </c>
      <c r="X84" t="s">
        <v>1843</v>
      </c>
      <c r="Y84" t="s">
        <v>1844</v>
      </c>
      <c r="Z84" t="s">
        <v>1845</v>
      </c>
      <c r="AA84" t="s">
        <v>1846</v>
      </c>
      <c r="AB84" t="s">
        <v>1847</v>
      </c>
      <c r="AC84" t="s">
        <v>1848</v>
      </c>
      <c r="AD84" t="s">
        <v>1849</v>
      </c>
      <c r="AE84" t="s">
        <v>1850</v>
      </c>
      <c r="AF84" t="s">
        <v>74</v>
      </c>
      <c r="AG84">
        <v>45</v>
      </c>
      <c r="AH84">
        <v>3</v>
      </c>
      <c r="AI84">
        <v>3</v>
      </c>
      <c r="AJ84">
        <v>4</v>
      </c>
      <c r="AK84">
        <v>19</v>
      </c>
      <c r="AL84" t="s">
        <v>1851</v>
      </c>
      <c r="AM84" t="s">
        <v>348</v>
      </c>
      <c r="AN84" t="s">
        <v>1852</v>
      </c>
      <c r="AO84" t="s">
        <v>1853</v>
      </c>
      <c r="AP84" t="s">
        <v>1854</v>
      </c>
      <c r="AQ84" t="s">
        <v>74</v>
      </c>
      <c r="AR84" t="s">
        <v>1855</v>
      </c>
      <c r="AS84" t="s">
        <v>1856</v>
      </c>
      <c r="AT84" t="s">
        <v>1857</v>
      </c>
      <c r="AU84">
        <v>2020</v>
      </c>
      <c r="AV84">
        <v>20</v>
      </c>
      <c r="AW84">
        <v>3</v>
      </c>
      <c r="AX84" t="s">
        <v>74</v>
      </c>
      <c r="AY84" t="s">
        <v>74</v>
      </c>
      <c r="AZ84" t="s">
        <v>74</v>
      </c>
      <c r="BA84" t="s">
        <v>74</v>
      </c>
      <c r="BB84" t="s">
        <v>74</v>
      </c>
      <c r="BC84" t="s">
        <v>74</v>
      </c>
      <c r="BD84" t="s">
        <v>74</v>
      </c>
      <c r="BE84" t="s">
        <v>1858</v>
      </c>
      <c r="BF84" t="str">
        <f>HYPERLINK("http://dx.doi.org/10.1115/1.4046135","http://dx.doi.org/10.1115/1.4046135")</f>
        <v>http://dx.doi.org/10.1115/1.4046135</v>
      </c>
      <c r="BG84" t="s">
        <v>74</v>
      </c>
      <c r="BH84" t="s">
        <v>74</v>
      </c>
      <c r="BI84">
        <v>9</v>
      </c>
      <c r="BJ84" t="s">
        <v>1859</v>
      </c>
      <c r="BK84" t="s">
        <v>147</v>
      </c>
      <c r="BL84" t="s">
        <v>269</v>
      </c>
      <c r="BM84" t="s">
        <v>1860</v>
      </c>
      <c r="BN84" t="s">
        <v>74</v>
      </c>
      <c r="BO84" t="s">
        <v>74</v>
      </c>
      <c r="BP84" t="s">
        <v>74</v>
      </c>
      <c r="BQ84" t="s">
        <v>74</v>
      </c>
      <c r="BR84" t="s">
        <v>102</v>
      </c>
      <c r="BS84" t="s">
        <v>1861</v>
      </c>
      <c r="BT84" t="str">
        <f>HYPERLINK("https%3A%2F%2Fwww.webofscience.com%2Fwos%2Fwoscc%2Ffull-record%2FWOS:000536683900003","View Full Record in Web of Science")</f>
        <v>View Full Record in Web of Science</v>
      </c>
    </row>
    <row r="85" spans="1:72" x14ac:dyDescent="0.2">
      <c r="A85" t="s">
        <v>72</v>
      </c>
      <c r="B85" t="s">
        <v>1862</v>
      </c>
      <c r="C85" t="s">
        <v>74</v>
      </c>
      <c r="D85" t="s">
        <v>74</v>
      </c>
      <c r="E85" t="s">
        <v>74</v>
      </c>
      <c r="F85" t="s">
        <v>1863</v>
      </c>
      <c r="G85" t="s">
        <v>74</v>
      </c>
      <c r="H85" t="s">
        <v>74</v>
      </c>
      <c r="I85" t="s">
        <v>1864</v>
      </c>
      <c r="J85" t="s">
        <v>1865</v>
      </c>
      <c r="K85" t="s">
        <v>74</v>
      </c>
      <c r="L85" t="s">
        <v>74</v>
      </c>
      <c r="M85" t="s">
        <v>78</v>
      </c>
      <c r="N85" t="s">
        <v>108</v>
      </c>
      <c r="O85" t="s">
        <v>74</v>
      </c>
      <c r="P85" t="s">
        <v>74</v>
      </c>
      <c r="Q85" t="s">
        <v>74</v>
      </c>
      <c r="R85" t="s">
        <v>74</v>
      </c>
      <c r="S85" t="s">
        <v>74</v>
      </c>
      <c r="T85" t="s">
        <v>1866</v>
      </c>
      <c r="U85" t="s">
        <v>1867</v>
      </c>
      <c r="V85" t="s">
        <v>1868</v>
      </c>
      <c r="W85" t="s">
        <v>1869</v>
      </c>
      <c r="X85" t="s">
        <v>1870</v>
      </c>
      <c r="Y85" t="s">
        <v>1871</v>
      </c>
      <c r="Z85" t="s">
        <v>1872</v>
      </c>
      <c r="AA85" t="s">
        <v>1873</v>
      </c>
      <c r="AB85" t="s">
        <v>1874</v>
      </c>
      <c r="AC85" t="s">
        <v>74</v>
      </c>
      <c r="AD85" t="s">
        <v>74</v>
      </c>
      <c r="AE85" t="s">
        <v>74</v>
      </c>
      <c r="AF85" t="s">
        <v>74</v>
      </c>
      <c r="AG85">
        <v>79</v>
      </c>
      <c r="AH85">
        <v>27</v>
      </c>
      <c r="AI85">
        <v>27</v>
      </c>
      <c r="AJ85">
        <v>9</v>
      </c>
      <c r="AK85">
        <v>92</v>
      </c>
      <c r="AL85" t="s">
        <v>409</v>
      </c>
      <c r="AM85" t="s">
        <v>410</v>
      </c>
      <c r="AN85" t="s">
        <v>411</v>
      </c>
      <c r="AO85" t="s">
        <v>1875</v>
      </c>
      <c r="AP85" t="s">
        <v>1876</v>
      </c>
      <c r="AQ85" t="s">
        <v>74</v>
      </c>
      <c r="AR85" t="s">
        <v>1877</v>
      </c>
      <c r="AS85" t="s">
        <v>1878</v>
      </c>
      <c r="AT85" t="s">
        <v>1879</v>
      </c>
      <c r="AU85">
        <v>2021</v>
      </c>
      <c r="AV85">
        <v>34</v>
      </c>
      <c r="AW85">
        <v>4</v>
      </c>
      <c r="AX85" t="s">
        <v>74</v>
      </c>
      <c r="AY85" t="s">
        <v>74</v>
      </c>
      <c r="AZ85" t="s">
        <v>74</v>
      </c>
      <c r="BA85" t="s">
        <v>74</v>
      </c>
      <c r="BB85" t="s">
        <v>74</v>
      </c>
      <c r="BC85" t="s">
        <v>74</v>
      </c>
      <c r="BD85" t="s">
        <v>1880</v>
      </c>
      <c r="BE85" t="s">
        <v>1881</v>
      </c>
      <c r="BF85" t="str">
        <f>HYPERLINK("http://dx.doi.org/10.1002/dac.4696","http://dx.doi.org/10.1002/dac.4696")</f>
        <v>http://dx.doi.org/10.1002/dac.4696</v>
      </c>
      <c r="BG85" t="s">
        <v>74</v>
      </c>
      <c r="BH85" t="s">
        <v>1882</v>
      </c>
      <c r="BI85">
        <v>20</v>
      </c>
      <c r="BJ85" t="s">
        <v>1883</v>
      </c>
      <c r="BK85" t="s">
        <v>147</v>
      </c>
      <c r="BL85" t="s">
        <v>1884</v>
      </c>
      <c r="BM85" t="s">
        <v>1885</v>
      </c>
      <c r="BN85" t="s">
        <v>74</v>
      </c>
      <c r="BO85" t="s">
        <v>74</v>
      </c>
      <c r="BP85" t="s">
        <v>74</v>
      </c>
      <c r="BQ85" t="s">
        <v>74</v>
      </c>
      <c r="BR85" t="s">
        <v>102</v>
      </c>
      <c r="BS85" t="s">
        <v>1886</v>
      </c>
      <c r="BT85" t="str">
        <f>HYPERLINK("https%3A%2F%2Fwww.webofscience.com%2Fwos%2Fwoscc%2Ffull-record%2FWOS:000596430600001","View Full Record in Web of Science")</f>
        <v>View Full Record in Web of Science</v>
      </c>
    </row>
    <row r="86" spans="1:72" x14ac:dyDescent="0.2">
      <c r="A86" t="s">
        <v>72</v>
      </c>
      <c r="B86" t="s">
        <v>1887</v>
      </c>
      <c r="C86" t="s">
        <v>74</v>
      </c>
      <c r="D86" t="s">
        <v>74</v>
      </c>
      <c r="E86" t="s">
        <v>74</v>
      </c>
      <c r="F86" t="s">
        <v>1888</v>
      </c>
      <c r="G86" t="s">
        <v>74</v>
      </c>
      <c r="H86" t="s">
        <v>74</v>
      </c>
      <c r="I86" t="s">
        <v>1889</v>
      </c>
      <c r="J86" t="s">
        <v>1890</v>
      </c>
      <c r="K86" t="s">
        <v>74</v>
      </c>
      <c r="L86" t="s">
        <v>74</v>
      </c>
      <c r="M86" t="s">
        <v>78</v>
      </c>
      <c r="N86" t="s">
        <v>108</v>
      </c>
      <c r="O86" t="s">
        <v>74</v>
      </c>
      <c r="P86" t="s">
        <v>74</v>
      </c>
      <c r="Q86" t="s">
        <v>74</v>
      </c>
      <c r="R86" t="s">
        <v>74</v>
      </c>
      <c r="S86" t="s">
        <v>74</v>
      </c>
      <c r="T86" t="s">
        <v>1891</v>
      </c>
      <c r="U86" t="s">
        <v>1892</v>
      </c>
      <c r="V86" t="s">
        <v>1893</v>
      </c>
      <c r="W86" t="s">
        <v>1894</v>
      </c>
      <c r="X86" t="s">
        <v>1895</v>
      </c>
      <c r="Y86" t="s">
        <v>1896</v>
      </c>
      <c r="Z86" t="s">
        <v>1897</v>
      </c>
      <c r="AA86" t="s">
        <v>74</v>
      </c>
      <c r="AB86" t="s">
        <v>1898</v>
      </c>
      <c r="AC86" t="s">
        <v>74</v>
      </c>
      <c r="AD86" t="s">
        <v>74</v>
      </c>
      <c r="AE86" t="s">
        <v>74</v>
      </c>
      <c r="AF86" t="s">
        <v>74</v>
      </c>
      <c r="AG86">
        <v>93</v>
      </c>
      <c r="AH86">
        <v>2</v>
      </c>
      <c r="AI86">
        <v>2</v>
      </c>
      <c r="AJ86">
        <v>8</v>
      </c>
      <c r="AK86">
        <v>16</v>
      </c>
      <c r="AL86" t="s">
        <v>116</v>
      </c>
      <c r="AM86" t="s">
        <v>117</v>
      </c>
      <c r="AN86" t="s">
        <v>118</v>
      </c>
      <c r="AO86" t="s">
        <v>74</v>
      </c>
      <c r="AP86" t="s">
        <v>1899</v>
      </c>
      <c r="AQ86" t="s">
        <v>74</v>
      </c>
      <c r="AR86" t="s">
        <v>1900</v>
      </c>
      <c r="AS86" t="s">
        <v>1901</v>
      </c>
      <c r="AT86" t="s">
        <v>372</v>
      </c>
      <c r="AU86">
        <v>2023</v>
      </c>
      <c r="AV86">
        <v>15</v>
      </c>
      <c r="AW86">
        <v>1</v>
      </c>
      <c r="AX86" t="s">
        <v>74</v>
      </c>
      <c r="AY86" t="s">
        <v>74</v>
      </c>
      <c r="AZ86" t="s">
        <v>74</v>
      </c>
      <c r="BA86" t="s">
        <v>74</v>
      </c>
      <c r="BB86" t="s">
        <v>74</v>
      </c>
      <c r="BC86" t="s">
        <v>74</v>
      </c>
      <c r="BD86">
        <v>100</v>
      </c>
      <c r="BE86" t="s">
        <v>1902</v>
      </c>
      <c r="BF86" t="str">
        <f>HYPERLINK("http://dx.doi.org/10.3390/rs15010100","http://dx.doi.org/10.3390/rs15010100")</f>
        <v>http://dx.doi.org/10.3390/rs15010100</v>
      </c>
      <c r="BG86" t="s">
        <v>74</v>
      </c>
      <c r="BH86" t="s">
        <v>74</v>
      </c>
      <c r="BI86">
        <v>20</v>
      </c>
      <c r="BJ86" t="s">
        <v>1903</v>
      </c>
      <c r="BK86" t="s">
        <v>98</v>
      </c>
      <c r="BL86" t="s">
        <v>1904</v>
      </c>
      <c r="BM86" t="s">
        <v>1905</v>
      </c>
      <c r="BN86" t="s">
        <v>74</v>
      </c>
      <c r="BO86" t="s">
        <v>623</v>
      </c>
      <c r="BP86" t="s">
        <v>74</v>
      </c>
      <c r="BQ86" t="s">
        <v>74</v>
      </c>
      <c r="BR86" t="s">
        <v>102</v>
      </c>
      <c r="BS86" t="s">
        <v>1906</v>
      </c>
      <c r="BT86" t="str">
        <f>HYPERLINK("https%3A%2F%2Fwww.webofscience.com%2Fwos%2Fwoscc%2Ffull-record%2FWOS:000908639300001","View Full Record in Web of Science")</f>
        <v>View Full Record in Web of Science</v>
      </c>
    </row>
    <row r="87" spans="1:72" x14ac:dyDescent="0.2">
      <c r="A87" t="s">
        <v>72</v>
      </c>
      <c r="B87" t="s">
        <v>1907</v>
      </c>
      <c r="C87" t="s">
        <v>74</v>
      </c>
      <c r="D87" t="s">
        <v>74</v>
      </c>
      <c r="E87" t="s">
        <v>74</v>
      </c>
      <c r="F87" t="s">
        <v>1908</v>
      </c>
      <c r="G87" t="s">
        <v>74</v>
      </c>
      <c r="H87" t="s">
        <v>74</v>
      </c>
      <c r="I87" t="s">
        <v>1909</v>
      </c>
      <c r="J87" t="s">
        <v>1910</v>
      </c>
      <c r="K87" t="s">
        <v>74</v>
      </c>
      <c r="L87" t="s">
        <v>74</v>
      </c>
      <c r="M87" t="s">
        <v>78</v>
      </c>
      <c r="N87" t="s">
        <v>108</v>
      </c>
      <c r="O87" t="s">
        <v>74</v>
      </c>
      <c r="P87" t="s">
        <v>74</v>
      </c>
      <c r="Q87" t="s">
        <v>74</v>
      </c>
      <c r="R87" t="s">
        <v>74</v>
      </c>
      <c r="S87" t="s">
        <v>74</v>
      </c>
      <c r="T87" t="s">
        <v>1911</v>
      </c>
      <c r="U87" t="s">
        <v>1912</v>
      </c>
      <c r="V87" t="s">
        <v>1913</v>
      </c>
      <c r="W87" t="s">
        <v>1914</v>
      </c>
      <c r="X87" t="s">
        <v>1915</v>
      </c>
      <c r="Y87" t="s">
        <v>1916</v>
      </c>
      <c r="Z87" t="s">
        <v>1917</v>
      </c>
      <c r="AA87" t="s">
        <v>1918</v>
      </c>
      <c r="AB87" t="s">
        <v>1919</v>
      </c>
      <c r="AC87" t="s">
        <v>1920</v>
      </c>
      <c r="AD87" t="s">
        <v>1921</v>
      </c>
      <c r="AE87" t="s">
        <v>1922</v>
      </c>
      <c r="AF87" t="s">
        <v>74</v>
      </c>
      <c r="AG87">
        <v>48</v>
      </c>
      <c r="AH87">
        <v>71</v>
      </c>
      <c r="AI87">
        <v>71</v>
      </c>
      <c r="AJ87">
        <v>5</v>
      </c>
      <c r="AK87">
        <v>34</v>
      </c>
      <c r="AL87" t="s">
        <v>167</v>
      </c>
      <c r="AM87" t="s">
        <v>168</v>
      </c>
      <c r="AN87" t="s">
        <v>169</v>
      </c>
      <c r="AO87" t="s">
        <v>1923</v>
      </c>
      <c r="AP87" t="s">
        <v>1924</v>
      </c>
      <c r="AQ87" t="s">
        <v>74</v>
      </c>
      <c r="AR87" t="s">
        <v>1925</v>
      </c>
      <c r="AS87" t="s">
        <v>1926</v>
      </c>
      <c r="AT87" t="s">
        <v>174</v>
      </c>
      <c r="AU87">
        <v>2020</v>
      </c>
      <c r="AV87">
        <v>50</v>
      </c>
      <c r="AW87">
        <v>10</v>
      </c>
      <c r="AX87" t="s">
        <v>74</v>
      </c>
      <c r="AY87" t="s">
        <v>74</v>
      </c>
      <c r="AZ87" t="s">
        <v>74</v>
      </c>
      <c r="BA87" t="s">
        <v>74</v>
      </c>
      <c r="BB87">
        <v>4454</v>
      </c>
      <c r="BC87">
        <v>4468</v>
      </c>
      <c r="BD87" t="s">
        <v>74</v>
      </c>
      <c r="BE87" t="s">
        <v>1927</v>
      </c>
      <c r="BF87" t="str">
        <f>HYPERLINK("http://dx.doi.org/10.1109/TCYB.2019.2937565","http://dx.doi.org/10.1109/TCYB.2019.2937565")</f>
        <v>http://dx.doi.org/10.1109/TCYB.2019.2937565</v>
      </c>
      <c r="BG87" t="s">
        <v>74</v>
      </c>
      <c r="BH87" t="s">
        <v>74</v>
      </c>
      <c r="BI87">
        <v>15</v>
      </c>
      <c r="BJ87" t="s">
        <v>1928</v>
      </c>
      <c r="BK87" t="s">
        <v>98</v>
      </c>
      <c r="BL87" t="s">
        <v>1929</v>
      </c>
      <c r="BM87" t="s">
        <v>1930</v>
      </c>
      <c r="BN87">
        <v>31545754</v>
      </c>
      <c r="BO87" t="s">
        <v>1931</v>
      </c>
      <c r="BP87" t="s">
        <v>74</v>
      </c>
      <c r="BQ87" t="s">
        <v>74</v>
      </c>
      <c r="BR87" t="s">
        <v>102</v>
      </c>
      <c r="BS87" t="s">
        <v>1932</v>
      </c>
      <c r="BT87" t="str">
        <f>HYPERLINK("https%3A%2F%2Fwww.webofscience.com%2Fwos%2Fwoscc%2Ffull-record%2FWOS:000572625500022","View Full Record in Web of Science")</f>
        <v>View Full Record in Web of Science</v>
      </c>
    </row>
    <row r="88" spans="1:72" x14ac:dyDescent="0.2">
      <c r="A88" t="s">
        <v>72</v>
      </c>
      <c r="B88" t="s">
        <v>1933</v>
      </c>
      <c r="C88" t="s">
        <v>74</v>
      </c>
      <c r="D88" t="s">
        <v>74</v>
      </c>
      <c r="E88" t="s">
        <v>74</v>
      </c>
      <c r="F88" t="s">
        <v>1934</v>
      </c>
      <c r="G88" t="s">
        <v>74</v>
      </c>
      <c r="H88" t="s">
        <v>74</v>
      </c>
      <c r="I88" t="s">
        <v>1935</v>
      </c>
      <c r="J88" t="s">
        <v>1936</v>
      </c>
      <c r="K88" t="s">
        <v>74</v>
      </c>
      <c r="L88" t="s">
        <v>74</v>
      </c>
      <c r="M88" t="s">
        <v>78</v>
      </c>
      <c r="N88" t="s">
        <v>108</v>
      </c>
      <c r="O88" t="s">
        <v>74</v>
      </c>
      <c r="P88" t="s">
        <v>74</v>
      </c>
      <c r="Q88" t="s">
        <v>74</v>
      </c>
      <c r="R88" t="s">
        <v>74</v>
      </c>
      <c r="S88" t="s">
        <v>74</v>
      </c>
      <c r="T88" t="s">
        <v>1937</v>
      </c>
      <c r="U88" t="s">
        <v>1938</v>
      </c>
      <c r="V88" t="s">
        <v>1939</v>
      </c>
      <c r="W88" t="s">
        <v>1940</v>
      </c>
      <c r="X88" t="s">
        <v>1941</v>
      </c>
      <c r="Y88" t="s">
        <v>1942</v>
      </c>
      <c r="Z88" t="s">
        <v>1943</v>
      </c>
      <c r="AA88" t="s">
        <v>1944</v>
      </c>
      <c r="AB88" t="s">
        <v>1945</v>
      </c>
      <c r="AC88" t="s">
        <v>74</v>
      </c>
      <c r="AD88" t="s">
        <v>74</v>
      </c>
      <c r="AE88" t="s">
        <v>74</v>
      </c>
      <c r="AF88" t="s">
        <v>74</v>
      </c>
      <c r="AG88">
        <v>19</v>
      </c>
      <c r="AH88">
        <v>10</v>
      </c>
      <c r="AI88">
        <v>10</v>
      </c>
      <c r="AJ88">
        <v>0</v>
      </c>
      <c r="AK88">
        <v>10</v>
      </c>
      <c r="AL88" t="s">
        <v>1946</v>
      </c>
      <c r="AM88" t="s">
        <v>90</v>
      </c>
      <c r="AN88" t="s">
        <v>1947</v>
      </c>
      <c r="AO88" t="s">
        <v>1948</v>
      </c>
      <c r="AP88" t="s">
        <v>1949</v>
      </c>
      <c r="AQ88" t="s">
        <v>74</v>
      </c>
      <c r="AR88" t="s">
        <v>1950</v>
      </c>
      <c r="AS88" t="s">
        <v>1951</v>
      </c>
      <c r="AT88" t="s">
        <v>616</v>
      </c>
      <c r="AU88">
        <v>2021</v>
      </c>
      <c r="AV88">
        <v>17</v>
      </c>
      <c r="AW88">
        <v>1</v>
      </c>
      <c r="AX88" t="s">
        <v>74</v>
      </c>
      <c r="AY88" t="s">
        <v>74</v>
      </c>
      <c r="AZ88" t="s">
        <v>74</v>
      </c>
      <c r="BA88" t="s">
        <v>74</v>
      </c>
      <c r="BB88">
        <v>45</v>
      </c>
      <c r="BC88">
        <v>52</v>
      </c>
      <c r="BD88" t="s">
        <v>74</v>
      </c>
      <c r="BE88" t="s">
        <v>1952</v>
      </c>
      <c r="BF88" t="str">
        <f>HYPERLINK("http://dx.doi.org/10.1007/s11334-020-00372-5","http://dx.doi.org/10.1007/s11334-020-00372-5")</f>
        <v>http://dx.doi.org/10.1007/s11334-020-00372-5</v>
      </c>
      <c r="BG88" t="s">
        <v>74</v>
      </c>
      <c r="BH88" t="s">
        <v>826</v>
      </c>
      <c r="BI88">
        <v>8</v>
      </c>
      <c r="BJ88" t="s">
        <v>1953</v>
      </c>
      <c r="BK88" t="s">
        <v>124</v>
      </c>
      <c r="BL88" t="s">
        <v>99</v>
      </c>
      <c r="BM88" t="s">
        <v>1954</v>
      </c>
      <c r="BN88" t="s">
        <v>74</v>
      </c>
      <c r="BO88" t="s">
        <v>74</v>
      </c>
      <c r="BP88" t="s">
        <v>74</v>
      </c>
      <c r="BQ88" t="s">
        <v>74</v>
      </c>
      <c r="BR88" t="s">
        <v>102</v>
      </c>
      <c r="BS88" t="s">
        <v>1955</v>
      </c>
      <c r="BT88" t="str">
        <f>HYPERLINK("https%3A%2F%2Fwww.webofscience.com%2Fwos%2Fwoscc%2Ffull-record%2FWOS:000562678600001","View Full Record in Web of Science")</f>
        <v>View Full Record in Web of Science</v>
      </c>
    </row>
    <row r="89" spans="1:72" x14ac:dyDescent="0.2">
      <c r="A89" t="s">
        <v>72</v>
      </c>
      <c r="B89" t="s">
        <v>1956</v>
      </c>
      <c r="C89" t="s">
        <v>74</v>
      </c>
      <c r="D89" t="s">
        <v>74</v>
      </c>
      <c r="E89" t="s">
        <v>74</v>
      </c>
      <c r="F89" t="s">
        <v>1957</v>
      </c>
      <c r="G89" t="s">
        <v>74</v>
      </c>
      <c r="H89" t="s">
        <v>74</v>
      </c>
      <c r="I89" t="s">
        <v>1958</v>
      </c>
      <c r="J89" t="s">
        <v>1959</v>
      </c>
      <c r="K89" t="s">
        <v>74</v>
      </c>
      <c r="L89" t="s">
        <v>74</v>
      </c>
      <c r="M89" t="s">
        <v>78</v>
      </c>
      <c r="N89" t="s">
        <v>108</v>
      </c>
      <c r="O89" t="s">
        <v>74</v>
      </c>
      <c r="P89" t="s">
        <v>74</v>
      </c>
      <c r="Q89" t="s">
        <v>74</v>
      </c>
      <c r="R89" t="s">
        <v>74</v>
      </c>
      <c r="S89" t="s">
        <v>74</v>
      </c>
      <c r="T89" t="s">
        <v>1960</v>
      </c>
      <c r="U89" t="s">
        <v>1961</v>
      </c>
      <c r="V89" t="s">
        <v>1962</v>
      </c>
      <c r="W89" t="s">
        <v>1963</v>
      </c>
      <c r="X89" t="s">
        <v>1322</v>
      </c>
      <c r="Y89" t="s">
        <v>1964</v>
      </c>
      <c r="Z89" t="s">
        <v>1965</v>
      </c>
      <c r="AA89" t="s">
        <v>74</v>
      </c>
      <c r="AB89" t="s">
        <v>1966</v>
      </c>
      <c r="AC89" t="s">
        <v>74</v>
      </c>
      <c r="AD89" t="s">
        <v>74</v>
      </c>
      <c r="AE89" t="s">
        <v>74</v>
      </c>
      <c r="AF89" t="s">
        <v>74</v>
      </c>
      <c r="AG89">
        <v>52</v>
      </c>
      <c r="AH89">
        <v>2</v>
      </c>
      <c r="AI89">
        <v>2</v>
      </c>
      <c r="AJ89">
        <v>2</v>
      </c>
      <c r="AK89">
        <v>12</v>
      </c>
      <c r="AL89" t="s">
        <v>1967</v>
      </c>
      <c r="AM89" t="s">
        <v>1968</v>
      </c>
      <c r="AN89" t="s">
        <v>1969</v>
      </c>
      <c r="AO89" t="s">
        <v>1970</v>
      </c>
      <c r="AP89" t="s">
        <v>1971</v>
      </c>
      <c r="AQ89" t="s">
        <v>74</v>
      </c>
      <c r="AR89" t="s">
        <v>1972</v>
      </c>
      <c r="AS89" t="s">
        <v>1973</v>
      </c>
      <c r="AT89" t="s">
        <v>1974</v>
      </c>
      <c r="AU89">
        <v>2021</v>
      </c>
      <c r="AV89">
        <v>15</v>
      </c>
      <c r="AW89" t="s">
        <v>74</v>
      </c>
      <c r="AX89" t="s">
        <v>74</v>
      </c>
      <c r="AY89" t="s">
        <v>74</v>
      </c>
      <c r="AZ89" t="s">
        <v>74</v>
      </c>
      <c r="BA89" t="s">
        <v>74</v>
      </c>
      <c r="BB89" t="s">
        <v>74</v>
      </c>
      <c r="BC89" t="s">
        <v>74</v>
      </c>
      <c r="BD89" t="s">
        <v>1975</v>
      </c>
      <c r="BE89" t="s">
        <v>1976</v>
      </c>
      <c r="BF89" t="str">
        <f>HYPERLINK("http://dx.doi.org/10.4102/jtscm.v15i0.581","http://dx.doi.org/10.4102/jtscm.v15i0.581")</f>
        <v>http://dx.doi.org/10.4102/jtscm.v15i0.581</v>
      </c>
      <c r="BG89" t="s">
        <v>74</v>
      </c>
      <c r="BH89" t="s">
        <v>74</v>
      </c>
      <c r="BI89">
        <v>11</v>
      </c>
      <c r="BJ89" t="s">
        <v>418</v>
      </c>
      <c r="BK89" t="s">
        <v>124</v>
      </c>
      <c r="BL89" t="s">
        <v>419</v>
      </c>
      <c r="BM89" t="s">
        <v>1977</v>
      </c>
      <c r="BN89" t="s">
        <v>74</v>
      </c>
      <c r="BO89" t="s">
        <v>126</v>
      </c>
      <c r="BP89" t="s">
        <v>74</v>
      </c>
      <c r="BQ89" t="s">
        <v>74</v>
      </c>
      <c r="BR89" t="s">
        <v>102</v>
      </c>
      <c r="BS89" t="s">
        <v>1978</v>
      </c>
      <c r="BT89" t="str">
        <f>HYPERLINK("https%3A%2F%2Fwww.webofscience.com%2Fwos%2Fwoscc%2Ffull-record%2FWOS:000722431200001","View Full Record in Web of Science")</f>
        <v>View Full Record in Web of Science</v>
      </c>
    </row>
    <row r="90" spans="1:72" x14ac:dyDescent="0.2">
      <c r="A90" t="s">
        <v>72</v>
      </c>
      <c r="B90" t="s">
        <v>1979</v>
      </c>
      <c r="C90" t="s">
        <v>74</v>
      </c>
      <c r="D90" t="s">
        <v>74</v>
      </c>
      <c r="E90" t="s">
        <v>74</v>
      </c>
      <c r="F90" t="s">
        <v>1980</v>
      </c>
      <c r="G90" t="s">
        <v>74</v>
      </c>
      <c r="H90" t="s">
        <v>74</v>
      </c>
      <c r="I90" t="s">
        <v>1981</v>
      </c>
      <c r="J90" t="s">
        <v>131</v>
      </c>
      <c r="K90" t="s">
        <v>74</v>
      </c>
      <c r="L90" t="s">
        <v>74</v>
      </c>
      <c r="M90" t="s">
        <v>78</v>
      </c>
      <c r="N90" t="s">
        <v>108</v>
      </c>
      <c r="O90" t="s">
        <v>74</v>
      </c>
      <c r="P90" t="s">
        <v>74</v>
      </c>
      <c r="Q90" t="s">
        <v>74</v>
      </c>
      <c r="R90" t="s">
        <v>74</v>
      </c>
      <c r="S90" t="s">
        <v>74</v>
      </c>
      <c r="T90" t="s">
        <v>1982</v>
      </c>
      <c r="U90" t="s">
        <v>1983</v>
      </c>
      <c r="V90" t="s">
        <v>1984</v>
      </c>
      <c r="W90" t="s">
        <v>1985</v>
      </c>
      <c r="X90" t="s">
        <v>1986</v>
      </c>
      <c r="Y90" t="s">
        <v>1987</v>
      </c>
      <c r="Z90" t="s">
        <v>1988</v>
      </c>
      <c r="AA90" t="s">
        <v>1989</v>
      </c>
      <c r="AB90" t="s">
        <v>1990</v>
      </c>
      <c r="AC90" t="s">
        <v>1991</v>
      </c>
      <c r="AD90" t="s">
        <v>1992</v>
      </c>
      <c r="AE90" t="s">
        <v>1993</v>
      </c>
      <c r="AF90" t="s">
        <v>74</v>
      </c>
      <c r="AG90">
        <v>52</v>
      </c>
      <c r="AH90">
        <v>15</v>
      </c>
      <c r="AI90">
        <v>17</v>
      </c>
      <c r="AJ90">
        <v>4</v>
      </c>
      <c r="AK90">
        <v>37</v>
      </c>
      <c r="AL90" t="s">
        <v>116</v>
      </c>
      <c r="AM90" t="s">
        <v>117</v>
      </c>
      <c r="AN90" t="s">
        <v>118</v>
      </c>
      <c r="AO90" t="s">
        <v>74</v>
      </c>
      <c r="AP90" t="s">
        <v>142</v>
      </c>
      <c r="AQ90" t="s">
        <v>74</v>
      </c>
      <c r="AR90" t="s">
        <v>143</v>
      </c>
      <c r="AS90" t="s">
        <v>144</v>
      </c>
      <c r="AT90" t="s">
        <v>1994</v>
      </c>
      <c r="AU90">
        <v>2020</v>
      </c>
      <c r="AV90">
        <v>12</v>
      </c>
      <c r="AW90">
        <v>4</v>
      </c>
      <c r="AX90" t="s">
        <v>74</v>
      </c>
      <c r="AY90" t="s">
        <v>74</v>
      </c>
      <c r="AZ90" t="s">
        <v>74</v>
      </c>
      <c r="BA90" t="s">
        <v>74</v>
      </c>
      <c r="BB90" t="s">
        <v>74</v>
      </c>
      <c r="BC90" t="s">
        <v>74</v>
      </c>
      <c r="BD90">
        <v>1520</v>
      </c>
      <c r="BE90" t="s">
        <v>1995</v>
      </c>
      <c r="BF90" t="str">
        <f>HYPERLINK("http://dx.doi.org/10.3390/su12041520","http://dx.doi.org/10.3390/su12041520")</f>
        <v>http://dx.doi.org/10.3390/su12041520</v>
      </c>
      <c r="BG90" t="s">
        <v>74</v>
      </c>
      <c r="BH90" t="s">
        <v>74</v>
      </c>
      <c r="BI90">
        <v>15</v>
      </c>
      <c r="BJ90" t="s">
        <v>146</v>
      </c>
      <c r="BK90" t="s">
        <v>147</v>
      </c>
      <c r="BL90" t="s">
        <v>148</v>
      </c>
      <c r="BM90" t="s">
        <v>1996</v>
      </c>
      <c r="BN90" t="s">
        <v>74</v>
      </c>
      <c r="BO90" t="s">
        <v>101</v>
      </c>
      <c r="BP90" t="s">
        <v>74</v>
      </c>
      <c r="BQ90" t="s">
        <v>74</v>
      </c>
      <c r="BR90" t="s">
        <v>102</v>
      </c>
      <c r="BS90" t="s">
        <v>1997</v>
      </c>
      <c r="BT90" t="str">
        <f>HYPERLINK("https%3A%2F%2Fwww.webofscience.com%2Fwos%2Fwoscc%2Ffull-record%2FWOS:000522460200238","View Full Record in Web of Science")</f>
        <v>View Full Record in Web of Science</v>
      </c>
    </row>
    <row r="91" spans="1:72" x14ac:dyDescent="0.2">
      <c r="A91" t="s">
        <v>72</v>
      </c>
      <c r="B91" t="s">
        <v>1998</v>
      </c>
      <c r="C91" t="s">
        <v>74</v>
      </c>
      <c r="D91" t="s">
        <v>74</v>
      </c>
      <c r="E91" t="s">
        <v>74</v>
      </c>
      <c r="F91" t="s">
        <v>1999</v>
      </c>
      <c r="G91" t="s">
        <v>74</v>
      </c>
      <c r="H91" t="s">
        <v>74</v>
      </c>
      <c r="I91" t="s">
        <v>2000</v>
      </c>
      <c r="J91" t="s">
        <v>2001</v>
      </c>
      <c r="K91" t="s">
        <v>74</v>
      </c>
      <c r="L91" t="s">
        <v>74</v>
      </c>
      <c r="M91" t="s">
        <v>78</v>
      </c>
      <c r="N91" t="s">
        <v>108</v>
      </c>
      <c r="O91" t="s">
        <v>74</v>
      </c>
      <c r="P91" t="s">
        <v>74</v>
      </c>
      <c r="Q91" t="s">
        <v>74</v>
      </c>
      <c r="R91" t="s">
        <v>74</v>
      </c>
      <c r="S91" t="s">
        <v>74</v>
      </c>
      <c r="T91" t="s">
        <v>2002</v>
      </c>
      <c r="U91" t="s">
        <v>2003</v>
      </c>
      <c r="V91" t="s">
        <v>2004</v>
      </c>
      <c r="W91" t="s">
        <v>2005</v>
      </c>
      <c r="X91" t="s">
        <v>2006</v>
      </c>
      <c r="Y91" t="s">
        <v>2007</v>
      </c>
      <c r="Z91" t="s">
        <v>2008</v>
      </c>
      <c r="AA91" t="s">
        <v>74</v>
      </c>
      <c r="AB91" t="s">
        <v>74</v>
      </c>
      <c r="AC91" t="s">
        <v>2009</v>
      </c>
      <c r="AD91" t="s">
        <v>2010</v>
      </c>
      <c r="AE91" t="s">
        <v>2011</v>
      </c>
      <c r="AF91" t="s">
        <v>74</v>
      </c>
      <c r="AG91">
        <v>45</v>
      </c>
      <c r="AH91">
        <v>9</v>
      </c>
      <c r="AI91">
        <v>9</v>
      </c>
      <c r="AJ91">
        <v>7</v>
      </c>
      <c r="AK91">
        <v>52</v>
      </c>
      <c r="AL91" t="s">
        <v>321</v>
      </c>
      <c r="AM91" t="s">
        <v>322</v>
      </c>
      <c r="AN91" t="s">
        <v>323</v>
      </c>
      <c r="AO91" t="s">
        <v>2012</v>
      </c>
      <c r="AP91" t="s">
        <v>2013</v>
      </c>
      <c r="AQ91" t="s">
        <v>74</v>
      </c>
      <c r="AR91" t="s">
        <v>2014</v>
      </c>
      <c r="AS91" t="s">
        <v>2015</v>
      </c>
      <c r="AT91" t="s">
        <v>846</v>
      </c>
      <c r="AU91">
        <v>2018</v>
      </c>
      <c r="AV91">
        <v>48</v>
      </c>
      <c r="AW91">
        <v>5</v>
      </c>
      <c r="AX91" t="s">
        <v>74</v>
      </c>
      <c r="AY91" t="s">
        <v>74</v>
      </c>
      <c r="AZ91" t="s">
        <v>570</v>
      </c>
      <c r="BA91" t="s">
        <v>74</v>
      </c>
      <c r="BB91">
        <v>1394</v>
      </c>
      <c r="BC91">
        <v>1405</v>
      </c>
      <c r="BD91" t="s">
        <v>74</v>
      </c>
      <c r="BE91" t="s">
        <v>2016</v>
      </c>
      <c r="BF91" t="str">
        <f>HYPERLINK("http://dx.doi.org/10.1007/s10489-018-1138-x","http://dx.doi.org/10.1007/s10489-018-1138-x")</f>
        <v>http://dx.doi.org/10.1007/s10489-018-1138-x</v>
      </c>
      <c r="BG91" t="s">
        <v>74</v>
      </c>
      <c r="BH91" t="s">
        <v>74</v>
      </c>
      <c r="BI91">
        <v>12</v>
      </c>
      <c r="BJ91" t="s">
        <v>2017</v>
      </c>
      <c r="BK91" t="s">
        <v>147</v>
      </c>
      <c r="BL91" t="s">
        <v>99</v>
      </c>
      <c r="BM91" t="s">
        <v>2018</v>
      </c>
      <c r="BN91" t="s">
        <v>74</v>
      </c>
      <c r="BO91" t="s">
        <v>74</v>
      </c>
      <c r="BP91" t="s">
        <v>74</v>
      </c>
      <c r="BQ91" t="s">
        <v>74</v>
      </c>
      <c r="BR91" t="s">
        <v>102</v>
      </c>
      <c r="BS91" t="s">
        <v>2019</v>
      </c>
      <c r="BT91" t="str">
        <f>HYPERLINK("https%3A%2F%2Fwww.webofscience.com%2Fwos%2Fwoscc%2Ffull-record%2FWOS:000429401100022","View Full Record in Web of Science")</f>
        <v>View Full Record in Web of Science</v>
      </c>
    </row>
    <row r="92" spans="1:72" x14ac:dyDescent="0.2">
      <c r="A92" t="s">
        <v>72</v>
      </c>
      <c r="B92" t="s">
        <v>2020</v>
      </c>
      <c r="C92" t="s">
        <v>74</v>
      </c>
      <c r="D92" t="s">
        <v>74</v>
      </c>
      <c r="E92" t="s">
        <v>74</v>
      </c>
      <c r="F92" t="s">
        <v>2021</v>
      </c>
      <c r="G92" t="s">
        <v>74</v>
      </c>
      <c r="H92" t="s">
        <v>74</v>
      </c>
      <c r="I92" t="s">
        <v>2022</v>
      </c>
      <c r="J92" t="s">
        <v>2023</v>
      </c>
      <c r="K92" t="s">
        <v>74</v>
      </c>
      <c r="L92" t="s">
        <v>74</v>
      </c>
      <c r="M92" t="s">
        <v>78</v>
      </c>
      <c r="N92" t="s">
        <v>108</v>
      </c>
      <c r="O92" t="s">
        <v>74</v>
      </c>
      <c r="P92" t="s">
        <v>74</v>
      </c>
      <c r="Q92" t="s">
        <v>74</v>
      </c>
      <c r="R92" t="s">
        <v>74</v>
      </c>
      <c r="S92" t="s">
        <v>74</v>
      </c>
      <c r="T92" t="s">
        <v>2024</v>
      </c>
      <c r="U92" t="s">
        <v>2025</v>
      </c>
      <c r="V92" t="s">
        <v>2026</v>
      </c>
      <c r="W92" t="s">
        <v>2027</v>
      </c>
      <c r="X92" t="s">
        <v>74</v>
      </c>
      <c r="Y92" t="s">
        <v>2028</v>
      </c>
      <c r="Z92" t="s">
        <v>2029</v>
      </c>
      <c r="AA92" t="s">
        <v>74</v>
      </c>
      <c r="AB92" t="s">
        <v>74</v>
      </c>
      <c r="AC92" t="s">
        <v>74</v>
      </c>
      <c r="AD92" t="s">
        <v>74</v>
      </c>
      <c r="AE92" t="s">
        <v>74</v>
      </c>
      <c r="AF92" t="s">
        <v>74</v>
      </c>
      <c r="AG92">
        <v>56</v>
      </c>
      <c r="AH92">
        <v>0</v>
      </c>
      <c r="AI92">
        <v>0</v>
      </c>
      <c r="AJ92">
        <v>0</v>
      </c>
      <c r="AK92">
        <v>0</v>
      </c>
      <c r="AL92" t="s">
        <v>2030</v>
      </c>
      <c r="AM92" t="s">
        <v>2031</v>
      </c>
      <c r="AN92" t="s">
        <v>2032</v>
      </c>
      <c r="AO92" t="s">
        <v>2033</v>
      </c>
      <c r="AP92" t="s">
        <v>2034</v>
      </c>
      <c r="AQ92" t="s">
        <v>74</v>
      </c>
      <c r="AR92" t="s">
        <v>2035</v>
      </c>
      <c r="AS92" t="s">
        <v>2036</v>
      </c>
      <c r="AT92" t="s">
        <v>74</v>
      </c>
      <c r="AU92">
        <v>2023</v>
      </c>
      <c r="AV92">
        <v>16</v>
      </c>
      <c r="AW92">
        <v>2</v>
      </c>
      <c r="AX92" t="s">
        <v>74</v>
      </c>
      <c r="AY92" t="s">
        <v>74</v>
      </c>
      <c r="AZ92" t="s">
        <v>74</v>
      </c>
      <c r="BA92" t="s">
        <v>74</v>
      </c>
      <c r="BB92">
        <v>265</v>
      </c>
      <c r="BC92">
        <v>278</v>
      </c>
      <c r="BD92" t="s">
        <v>74</v>
      </c>
      <c r="BE92" t="s">
        <v>74</v>
      </c>
      <c r="BF92" t="s">
        <v>74</v>
      </c>
      <c r="BG92" t="s">
        <v>74</v>
      </c>
      <c r="BH92" t="s">
        <v>74</v>
      </c>
      <c r="BI92">
        <v>14</v>
      </c>
      <c r="BJ92" t="s">
        <v>418</v>
      </c>
      <c r="BK92" t="s">
        <v>124</v>
      </c>
      <c r="BL92" t="s">
        <v>419</v>
      </c>
      <c r="BM92" t="s">
        <v>2037</v>
      </c>
      <c r="BN92" t="s">
        <v>74</v>
      </c>
      <c r="BO92" t="s">
        <v>74</v>
      </c>
      <c r="BP92" t="s">
        <v>74</v>
      </c>
      <c r="BQ92" t="s">
        <v>74</v>
      </c>
      <c r="BR92" t="s">
        <v>102</v>
      </c>
      <c r="BS92" t="s">
        <v>2038</v>
      </c>
      <c r="BT92" t="str">
        <f>HYPERLINK("https%3A%2F%2Fwww.webofscience.com%2Fwos%2Fwoscc%2Ffull-record%2FWOS:001019601500009","View Full Record in Web of Science")</f>
        <v>View Full Record in Web of Science</v>
      </c>
    </row>
    <row r="93" spans="1:72" x14ac:dyDescent="0.2">
      <c r="A93" t="s">
        <v>72</v>
      </c>
      <c r="B93" t="s">
        <v>2039</v>
      </c>
      <c r="C93" t="s">
        <v>74</v>
      </c>
      <c r="D93" t="s">
        <v>74</v>
      </c>
      <c r="E93" t="s">
        <v>74</v>
      </c>
      <c r="F93" t="s">
        <v>2040</v>
      </c>
      <c r="G93" t="s">
        <v>74</v>
      </c>
      <c r="H93" t="s">
        <v>74</v>
      </c>
      <c r="I93" t="s">
        <v>2041</v>
      </c>
      <c r="J93" t="s">
        <v>2042</v>
      </c>
      <c r="K93" t="s">
        <v>74</v>
      </c>
      <c r="L93" t="s">
        <v>74</v>
      </c>
      <c r="M93" t="s">
        <v>78</v>
      </c>
      <c r="N93" t="s">
        <v>108</v>
      </c>
      <c r="O93" t="s">
        <v>74</v>
      </c>
      <c r="P93" t="s">
        <v>74</v>
      </c>
      <c r="Q93" t="s">
        <v>74</v>
      </c>
      <c r="R93" t="s">
        <v>74</v>
      </c>
      <c r="S93" t="s">
        <v>74</v>
      </c>
      <c r="T93" t="s">
        <v>2043</v>
      </c>
      <c r="U93" t="s">
        <v>2044</v>
      </c>
      <c r="V93" t="s">
        <v>2045</v>
      </c>
      <c r="W93" t="s">
        <v>2046</v>
      </c>
      <c r="X93" t="s">
        <v>2047</v>
      </c>
      <c r="Y93" t="s">
        <v>2048</v>
      </c>
      <c r="Z93" t="s">
        <v>2049</v>
      </c>
      <c r="AA93" t="s">
        <v>74</v>
      </c>
      <c r="AB93" t="s">
        <v>2050</v>
      </c>
      <c r="AC93" t="s">
        <v>2051</v>
      </c>
      <c r="AD93" t="s">
        <v>2052</v>
      </c>
      <c r="AE93" t="s">
        <v>2053</v>
      </c>
      <c r="AF93" t="s">
        <v>74</v>
      </c>
      <c r="AG93">
        <v>32</v>
      </c>
      <c r="AH93">
        <v>22</v>
      </c>
      <c r="AI93">
        <v>24</v>
      </c>
      <c r="AJ93">
        <v>0</v>
      </c>
      <c r="AK93">
        <v>6</v>
      </c>
      <c r="AL93" t="s">
        <v>543</v>
      </c>
      <c r="AM93" t="s">
        <v>260</v>
      </c>
      <c r="AN93" t="s">
        <v>544</v>
      </c>
      <c r="AO93" t="s">
        <v>2054</v>
      </c>
      <c r="AP93" t="s">
        <v>2055</v>
      </c>
      <c r="AQ93" t="s">
        <v>74</v>
      </c>
      <c r="AR93" t="s">
        <v>2056</v>
      </c>
      <c r="AS93" t="s">
        <v>2057</v>
      </c>
      <c r="AT93" t="s">
        <v>800</v>
      </c>
      <c r="AU93">
        <v>2009</v>
      </c>
      <c r="AV93">
        <v>36</v>
      </c>
      <c r="AW93">
        <v>3</v>
      </c>
      <c r="AX93">
        <v>2</v>
      </c>
      <c r="AY93" t="s">
        <v>74</v>
      </c>
      <c r="AZ93" t="s">
        <v>74</v>
      </c>
      <c r="BA93" t="s">
        <v>74</v>
      </c>
      <c r="BB93">
        <v>6461</v>
      </c>
      <c r="BC93">
        <v>6465</v>
      </c>
      <c r="BD93" t="s">
        <v>74</v>
      </c>
      <c r="BE93" t="s">
        <v>2058</v>
      </c>
      <c r="BF93" t="str">
        <f>HYPERLINK("http://dx.doi.org/10.1016/j.eswa.2008.07.078","http://dx.doi.org/10.1016/j.eswa.2008.07.078")</f>
        <v>http://dx.doi.org/10.1016/j.eswa.2008.07.078</v>
      </c>
      <c r="BG93" t="s">
        <v>74</v>
      </c>
      <c r="BH93" t="s">
        <v>74</v>
      </c>
      <c r="BI93">
        <v>5</v>
      </c>
      <c r="BJ93" t="s">
        <v>2059</v>
      </c>
      <c r="BK93" t="s">
        <v>98</v>
      </c>
      <c r="BL93" t="s">
        <v>2060</v>
      </c>
      <c r="BM93" t="s">
        <v>2061</v>
      </c>
      <c r="BN93" t="s">
        <v>74</v>
      </c>
      <c r="BO93" t="s">
        <v>74</v>
      </c>
      <c r="BP93" t="s">
        <v>74</v>
      </c>
      <c r="BQ93" t="s">
        <v>74</v>
      </c>
      <c r="BR93" t="s">
        <v>102</v>
      </c>
      <c r="BS93" t="s">
        <v>2062</v>
      </c>
      <c r="BT93" t="str">
        <f>HYPERLINK("https%3A%2F%2Fwww.webofscience.com%2Fwos%2Fwoscc%2Ffull-record%2FWOS:000263817100087","View Full Record in Web of Science")</f>
        <v>View Full Record in Web of Science</v>
      </c>
    </row>
    <row r="94" spans="1:72" x14ac:dyDescent="0.2">
      <c r="A94" t="s">
        <v>72</v>
      </c>
      <c r="B94" t="s">
        <v>2063</v>
      </c>
      <c r="C94" t="s">
        <v>74</v>
      </c>
      <c r="D94" t="s">
        <v>74</v>
      </c>
      <c r="E94" t="s">
        <v>74</v>
      </c>
      <c r="F94" t="s">
        <v>2064</v>
      </c>
      <c r="G94" t="s">
        <v>74</v>
      </c>
      <c r="H94" t="s">
        <v>74</v>
      </c>
      <c r="I94" t="s">
        <v>2065</v>
      </c>
      <c r="J94" t="s">
        <v>2066</v>
      </c>
      <c r="K94" t="s">
        <v>74</v>
      </c>
      <c r="L94" t="s">
        <v>74</v>
      </c>
      <c r="M94" t="s">
        <v>78</v>
      </c>
      <c r="N94" t="s">
        <v>108</v>
      </c>
      <c r="O94" t="s">
        <v>74</v>
      </c>
      <c r="P94" t="s">
        <v>74</v>
      </c>
      <c r="Q94" t="s">
        <v>74</v>
      </c>
      <c r="R94" t="s">
        <v>74</v>
      </c>
      <c r="S94" t="s">
        <v>74</v>
      </c>
      <c r="T94" t="s">
        <v>2067</v>
      </c>
      <c r="U94" t="s">
        <v>2068</v>
      </c>
      <c r="V94" t="s">
        <v>2069</v>
      </c>
      <c r="W94" t="s">
        <v>2070</v>
      </c>
      <c r="X94" t="s">
        <v>2071</v>
      </c>
      <c r="Y94" t="s">
        <v>2072</v>
      </c>
      <c r="Z94" t="s">
        <v>2073</v>
      </c>
      <c r="AA94" t="s">
        <v>2074</v>
      </c>
      <c r="AB94" t="s">
        <v>2075</v>
      </c>
      <c r="AC94" t="s">
        <v>74</v>
      </c>
      <c r="AD94" t="s">
        <v>74</v>
      </c>
      <c r="AE94" t="s">
        <v>74</v>
      </c>
      <c r="AF94" t="s">
        <v>74</v>
      </c>
      <c r="AG94">
        <v>76</v>
      </c>
      <c r="AH94">
        <v>11</v>
      </c>
      <c r="AI94">
        <v>11</v>
      </c>
      <c r="AJ94">
        <v>2</v>
      </c>
      <c r="AK94">
        <v>42</v>
      </c>
      <c r="AL94" t="s">
        <v>409</v>
      </c>
      <c r="AM94" t="s">
        <v>410</v>
      </c>
      <c r="AN94" t="s">
        <v>411</v>
      </c>
      <c r="AO94" t="s">
        <v>2076</v>
      </c>
      <c r="AP94" t="s">
        <v>2077</v>
      </c>
      <c r="AQ94" t="s">
        <v>74</v>
      </c>
      <c r="AR94" t="s">
        <v>2078</v>
      </c>
      <c r="AS94" t="s">
        <v>2079</v>
      </c>
      <c r="AT94" t="s">
        <v>416</v>
      </c>
      <c r="AU94">
        <v>2020</v>
      </c>
      <c r="AV94">
        <v>66</v>
      </c>
      <c r="AW94">
        <v>6</v>
      </c>
      <c r="AX94" t="s">
        <v>74</v>
      </c>
      <c r="AY94" t="s">
        <v>74</v>
      </c>
      <c r="AZ94" t="s">
        <v>74</v>
      </c>
      <c r="BA94" t="s">
        <v>74</v>
      </c>
      <c r="BB94" t="s">
        <v>74</v>
      </c>
      <c r="BC94" t="s">
        <v>74</v>
      </c>
      <c r="BD94" t="s">
        <v>2080</v>
      </c>
      <c r="BE94" t="s">
        <v>2081</v>
      </c>
      <c r="BF94" t="str">
        <f>HYPERLINK("http://dx.doi.org/10.1002/aic.16963","http://dx.doi.org/10.1002/aic.16963")</f>
        <v>http://dx.doi.org/10.1002/aic.16963</v>
      </c>
      <c r="BG94" t="s">
        <v>74</v>
      </c>
      <c r="BH94" t="s">
        <v>288</v>
      </c>
      <c r="BI94">
        <v>18</v>
      </c>
      <c r="BJ94" t="s">
        <v>1291</v>
      </c>
      <c r="BK94" t="s">
        <v>98</v>
      </c>
      <c r="BL94" t="s">
        <v>1292</v>
      </c>
      <c r="BM94" t="s">
        <v>2082</v>
      </c>
      <c r="BN94" t="s">
        <v>74</v>
      </c>
      <c r="BO94" t="s">
        <v>1833</v>
      </c>
      <c r="BP94" t="s">
        <v>74</v>
      </c>
      <c r="BQ94" t="s">
        <v>74</v>
      </c>
      <c r="BR94" t="s">
        <v>102</v>
      </c>
      <c r="BS94" t="s">
        <v>2083</v>
      </c>
      <c r="BT94" t="str">
        <f>HYPERLINK("https%3A%2F%2Fwww.webofscience.com%2Fwos%2Fwoscc%2Ffull-record%2FWOS:000522070400001","View Full Record in Web of Science")</f>
        <v>View Full Record in Web of Science</v>
      </c>
    </row>
    <row r="95" spans="1:72" x14ac:dyDescent="0.2">
      <c r="A95" t="s">
        <v>72</v>
      </c>
      <c r="B95" t="s">
        <v>2084</v>
      </c>
      <c r="C95" t="s">
        <v>74</v>
      </c>
      <c r="D95" t="s">
        <v>74</v>
      </c>
      <c r="E95" t="s">
        <v>74</v>
      </c>
      <c r="F95" t="s">
        <v>2085</v>
      </c>
      <c r="G95" t="s">
        <v>74</v>
      </c>
      <c r="H95" t="s">
        <v>74</v>
      </c>
      <c r="I95" t="s">
        <v>2086</v>
      </c>
      <c r="J95" t="s">
        <v>2087</v>
      </c>
      <c r="K95" t="s">
        <v>74</v>
      </c>
      <c r="L95" t="s">
        <v>74</v>
      </c>
      <c r="M95" t="s">
        <v>78</v>
      </c>
      <c r="N95" t="s">
        <v>108</v>
      </c>
      <c r="O95" t="s">
        <v>74</v>
      </c>
      <c r="P95" t="s">
        <v>74</v>
      </c>
      <c r="Q95" t="s">
        <v>74</v>
      </c>
      <c r="R95" t="s">
        <v>74</v>
      </c>
      <c r="S95" t="s">
        <v>74</v>
      </c>
      <c r="T95" t="s">
        <v>2088</v>
      </c>
      <c r="U95" t="s">
        <v>74</v>
      </c>
      <c r="V95" t="s">
        <v>2089</v>
      </c>
      <c r="W95" t="s">
        <v>2090</v>
      </c>
      <c r="X95" t="s">
        <v>2091</v>
      </c>
      <c r="Y95" t="s">
        <v>2092</v>
      </c>
      <c r="Z95" t="s">
        <v>2093</v>
      </c>
      <c r="AA95" t="s">
        <v>2094</v>
      </c>
      <c r="AB95" t="s">
        <v>2095</v>
      </c>
      <c r="AC95" t="s">
        <v>74</v>
      </c>
      <c r="AD95" t="s">
        <v>74</v>
      </c>
      <c r="AE95" t="s">
        <v>74</v>
      </c>
      <c r="AF95" t="s">
        <v>74</v>
      </c>
      <c r="AG95">
        <v>38</v>
      </c>
      <c r="AH95">
        <v>126</v>
      </c>
      <c r="AI95">
        <v>126</v>
      </c>
      <c r="AJ95">
        <v>31</v>
      </c>
      <c r="AK95">
        <v>170</v>
      </c>
      <c r="AL95" t="s">
        <v>259</v>
      </c>
      <c r="AM95" t="s">
        <v>260</v>
      </c>
      <c r="AN95" t="s">
        <v>261</v>
      </c>
      <c r="AO95" t="s">
        <v>2096</v>
      </c>
      <c r="AP95" t="s">
        <v>2097</v>
      </c>
      <c r="AQ95" t="s">
        <v>74</v>
      </c>
      <c r="AR95" t="s">
        <v>2098</v>
      </c>
      <c r="AS95" t="s">
        <v>2099</v>
      </c>
      <c r="AT95" t="s">
        <v>800</v>
      </c>
      <c r="AU95">
        <v>2021</v>
      </c>
      <c r="AV95">
        <v>57</v>
      </c>
      <c r="AW95" t="s">
        <v>74</v>
      </c>
      <c r="AX95" t="s">
        <v>74</v>
      </c>
      <c r="AY95" t="s">
        <v>74</v>
      </c>
      <c r="AZ95" t="s">
        <v>74</v>
      </c>
      <c r="BA95" t="s">
        <v>74</v>
      </c>
      <c r="BB95" t="s">
        <v>74</v>
      </c>
      <c r="BC95" t="s">
        <v>74</v>
      </c>
      <c r="BD95">
        <v>102282</v>
      </c>
      <c r="BE95" t="s">
        <v>2100</v>
      </c>
      <c r="BF95" t="str">
        <f>HYPERLINK("http://dx.doi.org/10.1016/j.ijinfomgt.2020.102282","http://dx.doi.org/10.1016/j.ijinfomgt.2020.102282")</f>
        <v>http://dx.doi.org/10.1016/j.ijinfomgt.2020.102282</v>
      </c>
      <c r="BG95" t="s">
        <v>74</v>
      </c>
      <c r="BH95" t="s">
        <v>2101</v>
      </c>
      <c r="BI95">
        <v>13</v>
      </c>
      <c r="BJ95" t="s">
        <v>2102</v>
      </c>
      <c r="BK95" t="s">
        <v>242</v>
      </c>
      <c r="BL95" t="s">
        <v>2102</v>
      </c>
      <c r="BM95" t="s">
        <v>2103</v>
      </c>
      <c r="BN95" t="s">
        <v>74</v>
      </c>
      <c r="BO95" t="s">
        <v>2104</v>
      </c>
      <c r="BP95" t="s">
        <v>2105</v>
      </c>
      <c r="BQ95" t="s">
        <v>2106</v>
      </c>
      <c r="BR95" t="s">
        <v>102</v>
      </c>
      <c r="BS95" t="s">
        <v>2107</v>
      </c>
      <c r="BT95" t="str">
        <f>HYPERLINK("https%3A%2F%2Fwww.webofscience.com%2Fwos%2Fwoscc%2Ffull-record%2FWOS:000618806300014","View Full Record in Web of Science")</f>
        <v>View Full Record in Web of Science</v>
      </c>
    </row>
    <row r="96" spans="1:72" x14ac:dyDescent="0.2">
      <c r="A96" t="s">
        <v>72</v>
      </c>
      <c r="B96" t="s">
        <v>2108</v>
      </c>
      <c r="C96" t="s">
        <v>74</v>
      </c>
      <c r="D96" t="s">
        <v>74</v>
      </c>
      <c r="E96" t="s">
        <v>74</v>
      </c>
      <c r="F96" t="s">
        <v>2109</v>
      </c>
      <c r="G96" t="s">
        <v>74</v>
      </c>
      <c r="H96" t="s">
        <v>74</v>
      </c>
      <c r="I96" t="s">
        <v>2110</v>
      </c>
      <c r="J96" t="s">
        <v>2111</v>
      </c>
      <c r="K96" t="s">
        <v>74</v>
      </c>
      <c r="L96" t="s">
        <v>74</v>
      </c>
      <c r="M96" t="s">
        <v>78</v>
      </c>
      <c r="N96" t="s">
        <v>917</v>
      </c>
      <c r="O96" t="s">
        <v>74</v>
      </c>
      <c r="P96" t="s">
        <v>74</v>
      </c>
      <c r="Q96" t="s">
        <v>74</v>
      </c>
      <c r="R96" t="s">
        <v>74</v>
      </c>
      <c r="S96" t="s">
        <v>74</v>
      </c>
      <c r="T96" t="s">
        <v>2112</v>
      </c>
      <c r="U96" t="s">
        <v>2113</v>
      </c>
      <c r="V96" t="s">
        <v>2114</v>
      </c>
      <c r="W96" t="s">
        <v>2115</v>
      </c>
      <c r="X96" t="s">
        <v>2116</v>
      </c>
      <c r="Y96" t="s">
        <v>2117</v>
      </c>
      <c r="Z96" t="s">
        <v>2118</v>
      </c>
      <c r="AA96" t="s">
        <v>2119</v>
      </c>
      <c r="AB96" t="s">
        <v>2120</v>
      </c>
      <c r="AC96" t="s">
        <v>2121</v>
      </c>
      <c r="AD96" t="s">
        <v>2122</v>
      </c>
      <c r="AE96" t="s">
        <v>2123</v>
      </c>
      <c r="AF96" t="s">
        <v>74</v>
      </c>
      <c r="AG96">
        <v>186</v>
      </c>
      <c r="AH96">
        <v>0</v>
      </c>
      <c r="AI96">
        <v>0</v>
      </c>
      <c r="AJ96">
        <v>15</v>
      </c>
      <c r="AK96">
        <v>15</v>
      </c>
      <c r="AL96" t="s">
        <v>167</v>
      </c>
      <c r="AM96" t="s">
        <v>168</v>
      </c>
      <c r="AN96" t="s">
        <v>169</v>
      </c>
      <c r="AO96" t="s">
        <v>2124</v>
      </c>
      <c r="AP96" t="s">
        <v>2125</v>
      </c>
      <c r="AQ96" t="s">
        <v>74</v>
      </c>
      <c r="AR96" t="s">
        <v>2126</v>
      </c>
      <c r="AS96" t="s">
        <v>2127</v>
      </c>
      <c r="AT96" t="s">
        <v>2128</v>
      </c>
      <c r="AU96">
        <v>2023</v>
      </c>
      <c r="AV96" t="s">
        <v>74</v>
      </c>
      <c r="AW96" t="s">
        <v>74</v>
      </c>
      <c r="AX96" t="s">
        <v>74</v>
      </c>
      <c r="AY96" t="s">
        <v>74</v>
      </c>
      <c r="AZ96" t="s">
        <v>74</v>
      </c>
      <c r="BA96" t="s">
        <v>74</v>
      </c>
      <c r="BB96" t="s">
        <v>74</v>
      </c>
      <c r="BC96" t="s">
        <v>74</v>
      </c>
      <c r="BD96" t="s">
        <v>74</v>
      </c>
      <c r="BE96" t="s">
        <v>2129</v>
      </c>
      <c r="BF96" t="str">
        <f>HYPERLINK("http://dx.doi.org/10.1109/TNNLS.2023.3291371","http://dx.doi.org/10.1109/TNNLS.2023.3291371")</f>
        <v>http://dx.doi.org/10.1109/TNNLS.2023.3291371</v>
      </c>
      <c r="BG96" t="s">
        <v>74</v>
      </c>
      <c r="BH96" t="s">
        <v>1331</v>
      </c>
      <c r="BI96">
        <v>20</v>
      </c>
      <c r="BJ96" t="s">
        <v>2130</v>
      </c>
      <c r="BK96" t="s">
        <v>98</v>
      </c>
      <c r="BL96" t="s">
        <v>269</v>
      </c>
      <c r="BM96" t="s">
        <v>2131</v>
      </c>
      <c r="BN96">
        <v>37432817</v>
      </c>
      <c r="BO96" t="s">
        <v>702</v>
      </c>
      <c r="BP96" t="s">
        <v>74</v>
      </c>
      <c r="BQ96" t="s">
        <v>74</v>
      </c>
      <c r="BR96" t="s">
        <v>102</v>
      </c>
      <c r="BS96" t="s">
        <v>2132</v>
      </c>
      <c r="BT96" t="str">
        <f>HYPERLINK("https%3A%2F%2Fwww.webofscience.com%2Fwos%2Fwoscc%2Ffull-record%2FWOS:001030658200001","View Full Record in Web of Science")</f>
        <v>View Full Record in Web of Science</v>
      </c>
    </row>
    <row r="97" spans="1:72" x14ac:dyDescent="0.2">
      <c r="A97" t="s">
        <v>72</v>
      </c>
      <c r="B97" t="s">
        <v>2133</v>
      </c>
      <c r="C97" t="s">
        <v>74</v>
      </c>
      <c r="D97" t="s">
        <v>74</v>
      </c>
      <c r="E97" t="s">
        <v>74</v>
      </c>
      <c r="F97" t="s">
        <v>2134</v>
      </c>
      <c r="G97" t="s">
        <v>74</v>
      </c>
      <c r="H97" t="s">
        <v>74</v>
      </c>
      <c r="I97" t="s">
        <v>2135</v>
      </c>
      <c r="J97" t="s">
        <v>2136</v>
      </c>
      <c r="K97" t="s">
        <v>74</v>
      </c>
      <c r="L97" t="s">
        <v>74</v>
      </c>
      <c r="M97" t="s">
        <v>78</v>
      </c>
      <c r="N97" t="s">
        <v>917</v>
      </c>
      <c r="O97" t="s">
        <v>74</v>
      </c>
      <c r="P97" t="s">
        <v>74</v>
      </c>
      <c r="Q97" t="s">
        <v>74</v>
      </c>
      <c r="R97" t="s">
        <v>74</v>
      </c>
      <c r="S97" t="s">
        <v>74</v>
      </c>
      <c r="T97" t="s">
        <v>2137</v>
      </c>
      <c r="U97" t="s">
        <v>2138</v>
      </c>
      <c r="V97" t="s">
        <v>2139</v>
      </c>
      <c r="W97" t="s">
        <v>2140</v>
      </c>
      <c r="X97" t="s">
        <v>2141</v>
      </c>
      <c r="Y97" t="s">
        <v>2142</v>
      </c>
      <c r="Z97" t="s">
        <v>2143</v>
      </c>
      <c r="AA97" t="s">
        <v>74</v>
      </c>
      <c r="AB97" t="s">
        <v>74</v>
      </c>
      <c r="AC97" t="s">
        <v>2144</v>
      </c>
      <c r="AD97" t="s">
        <v>2145</v>
      </c>
      <c r="AE97" t="s">
        <v>2146</v>
      </c>
      <c r="AF97" t="s">
        <v>74</v>
      </c>
      <c r="AG97">
        <v>37</v>
      </c>
      <c r="AH97">
        <v>0</v>
      </c>
      <c r="AI97">
        <v>0</v>
      </c>
      <c r="AJ97">
        <v>5</v>
      </c>
      <c r="AK97">
        <v>5</v>
      </c>
      <c r="AL97" t="s">
        <v>2147</v>
      </c>
      <c r="AM97" t="s">
        <v>90</v>
      </c>
      <c r="AN97" t="s">
        <v>2148</v>
      </c>
      <c r="AO97" t="s">
        <v>2149</v>
      </c>
      <c r="AP97" t="s">
        <v>2150</v>
      </c>
      <c r="AQ97" t="s">
        <v>74</v>
      </c>
      <c r="AR97" t="s">
        <v>2151</v>
      </c>
      <c r="AS97" t="s">
        <v>2152</v>
      </c>
      <c r="AT97" t="s">
        <v>2153</v>
      </c>
      <c r="AU97">
        <v>2023</v>
      </c>
      <c r="AV97" t="s">
        <v>74</v>
      </c>
      <c r="AW97" t="s">
        <v>74</v>
      </c>
      <c r="AX97" t="s">
        <v>74</v>
      </c>
      <c r="AY97" t="s">
        <v>74</v>
      </c>
      <c r="AZ97" t="s">
        <v>74</v>
      </c>
      <c r="BA97" t="s">
        <v>74</v>
      </c>
      <c r="BB97" t="s">
        <v>74</v>
      </c>
      <c r="BC97" t="s">
        <v>74</v>
      </c>
      <c r="BD97" t="s">
        <v>74</v>
      </c>
      <c r="BE97" t="s">
        <v>2154</v>
      </c>
      <c r="BF97" t="str">
        <f>HYPERLINK("http://dx.doi.org/10.1177/14759217231188002","http://dx.doi.org/10.1177/14759217231188002")</f>
        <v>http://dx.doi.org/10.1177/14759217231188002</v>
      </c>
      <c r="BG97" t="s">
        <v>74</v>
      </c>
      <c r="BH97" t="s">
        <v>2155</v>
      </c>
      <c r="BI97">
        <v>14</v>
      </c>
      <c r="BJ97" t="s">
        <v>2156</v>
      </c>
      <c r="BK97" t="s">
        <v>98</v>
      </c>
      <c r="BL97" t="s">
        <v>2157</v>
      </c>
      <c r="BM97" t="s">
        <v>2158</v>
      </c>
      <c r="BN97" t="s">
        <v>74</v>
      </c>
      <c r="BO97" t="s">
        <v>74</v>
      </c>
      <c r="BP97" t="s">
        <v>74</v>
      </c>
      <c r="BQ97" t="s">
        <v>74</v>
      </c>
      <c r="BR97" t="s">
        <v>102</v>
      </c>
      <c r="BS97" t="s">
        <v>2159</v>
      </c>
      <c r="BT97" t="str">
        <f>HYPERLINK("https%3A%2F%2Fwww.webofscience.com%2Fwos%2Fwoscc%2Ffull-record%2FWOS:001046479600001","View Full Record in Web of Science")</f>
        <v>View Full Record in Web of Science</v>
      </c>
    </row>
    <row r="98" spans="1:72" x14ac:dyDescent="0.2">
      <c r="A98" t="s">
        <v>72</v>
      </c>
      <c r="B98" t="s">
        <v>2160</v>
      </c>
      <c r="C98" t="s">
        <v>74</v>
      </c>
      <c r="D98" t="s">
        <v>74</v>
      </c>
      <c r="E98" t="s">
        <v>74</v>
      </c>
      <c r="F98" t="s">
        <v>2161</v>
      </c>
      <c r="G98" t="s">
        <v>74</v>
      </c>
      <c r="H98" t="s">
        <v>74</v>
      </c>
      <c r="I98" t="s">
        <v>2162</v>
      </c>
      <c r="J98" t="s">
        <v>2163</v>
      </c>
      <c r="K98" t="s">
        <v>74</v>
      </c>
      <c r="L98" t="s">
        <v>74</v>
      </c>
      <c r="M98" t="s">
        <v>78</v>
      </c>
      <c r="N98" t="s">
        <v>108</v>
      </c>
      <c r="O98" t="s">
        <v>74</v>
      </c>
      <c r="P98" t="s">
        <v>74</v>
      </c>
      <c r="Q98" t="s">
        <v>74</v>
      </c>
      <c r="R98" t="s">
        <v>74</v>
      </c>
      <c r="S98" t="s">
        <v>74</v>
      </c>
      <c r="T98" t="s">
        <v>2164</v>
      </c>
      <c r="U98" t="s">
        <v>2165</v>
      </c>
      <c r="V98" t="s">
        <v>2166</v>
      </c>
      <c r="W98" t="s">
        <v>2167</v>
      </c>
      <c r="X98" t="s">
        <v>2168</v>
      </c>
      <c r="Y98" t="s">
        <v>2169</v>
      </c>
      <c r="Z98" t="s">
        <v>2170</v>
      </c>
      <c r="AA98" t="s">
        <v>2171</v>
      </c>
      <c r="AB98" t="s">
        <v>74</v>
      </c>
      <c r="AC98" t="s">
        <v>2172</v>
      </c>
      <c r="AD98" t="s">
        <v>2173</v>
      </c>
      <c r="AE98" t="s">
        <v>2174</v>
      </c>
      <c r="AF98" t="s">
        <v>74</v>
      </c>
      <c r="AG98">
        <v>21</v>
      </c>
      <c r="AH98">
        <v>10</v>
      </c>
      <c r="AI98">
        <v>10</v>
      </c>
      <c r="AJ98">
        <v>2</v>
      </c>
      <c r="AK98">
        <v>98</v>
      </c>
      <c r="AL98" t="s">
        <v>409</v>
      </c>
      <c r="AM98" t="s">
        <v>410</v>
      </c>
      <c r="AN98" t="s">
        <v>411</v>
      </c>
      <c r="AO98" t="s">
        <v>2175</v>
      </c>
      <c r="AP98" t="s">
        <v>2176</v>
      </c>
      <c r="AQ98" t="s">
        <v>74</v>
      </c>
      <c r="AR98" t="s">
        <v>2177</v>
      </c>
      <c r="AS98" t="s">
        <v>2178</v>
      </c>
      <c r="AT98" t="s">
        <v>2179</v>
      </c>
      <c r="AU98">
        <v>2016</v>
      </c>
      <c r="AV98">
        <v>28</v>
      </c>
      <c r="AW98">
        <v>4</v>
      </c>
      <c r="AX98" t="s">
        <v>74</v>
      </c>
      <c r="AY98" t="s">
        <v>74</v>
      </c>
      <c r="AZ98" t="s">
        <v>570</v>
      </c>
      <c r="BA98" t="s">
        <v>74</v>
      </c>
      <c r="BB98">
        <v>1246</v>
      </c>
      <c r="BC98">
        <v>1256</v>
      </c>
      <c r="BD98" t="s">
        <v>74</v>
      </c>
      <c r="BE98" t="s">
        <v>2180</v>
      </c>
      <c r="BF98" t="str">
        <f>HYPERLINK("http://dx.doi.org/10.1002/cpe.3625","http://dx.doi.org/10.1002/cpe.3625")</f>
        <v>http://dx.doi.org/10.1002/cpe.3625</v>
      </c>
      <c r="BG98" t="s">
        <v>74</v>
      </c>
      <c r="BH98" t="s">
        <v>74</v>
      </c>
      <c r="BI98">
        <v>11</v>
      </c>
      <c r="BJ98" t="s">
        <v>2181</v>
      </c>
      <c r="BK98" t="s">
        <v>98</v>
      </c>
      <c r="BL98" t="s">
        <v>99</v>
      </c>
      <c r="BM98" t="s">
        <v>2182</v>
      </c>
      <c r="BN98" t="s">
        <v>74</v>
      </c>
      <c r="BO98" t="s">
        <v>74</v>
      </c>
      <c r="BP98" t="s">
        <v>74</v>
      </c>
      <c r="BQ98" t="s">
        <v>74</v>
      </c>
      <c r="BR98" t="s">
        <v>102</v>
      </c>
      <c r="BS98" t="s">
        <v>2183</v>
      </c>
      <c r="BT98" t="str">
        <f>HYPERLINK("https%3A%2F%2Fwww.webofscience.com%2Fwos%2Fwoscc%2Ffull-record%2FWOS:000370646300021","View Full Record in Web of Science")</f>
        <v>View Full Record in Web of Science</v>
      </c>
    </row>
    <row r="99" spans="1:72" x14ac:dyDescent="0.2">
      <c r="A99" t="s">
        <v>72</v>
      </c>
      <c r="B99" t="s">
        <v>2184</v>
      </c>
      <c r="C99" t="s">
        <v>74</v>
      </c>
      <c r="D99" t="s">
        <v>74</v>
      </c>
      <c r="E99" t="s">
        <v>74</v>
      </c>
      <c r="F99" t="s">
        <v>2185</v>
      </c>
      <c r="G99" t="s">
        <v>74</v>
      </c>
      <c r="H99" t="s">
        <v>74</v>
      </c>
      <c r="I99" t="s">
        <v>2186</v>
      </c>
      <c r="J99" t="s">
        <v>511</v>
      </c>
      <c r="K99" t="s">
        <v>74</v>
      </c>
      <c r="L99" t="s">
        <v>74</v>
      </c>
      <c r="M99" t="s">
        <v>78</v>
      </c>
      <c r="N99" t="s">
        <v>108</v>
      </c>
      <c r="O99" t="s">
        <v>74</v>
      </c>
      <c r="P99" t="s">
        <v>74</v>
      </c>
      <c r="Q99" t="s">
        <v>74</v>
      </c>
      <c r="R99" t="s">
        <v>74</v>
      </c>
      <c r="S99" t="s">
        <v>74</v>
      </c>
      <c r="T99" t="s">
        <v>2187</v>
      </c>
      <c r="U99" t="s">
        <v>2188</v>
      </c>
      <c r="V99" t="s">
        <v>2189</v>
      </c>
      <c r="W99" t="s">
        <v>2190</v>
      </c>
      <c r="X99" t="s">
        <v>2191</v>
      </c>
      <c r="Y99" t="s">
        <v>2192</v>
      </c>
      <c r="Z99" t="s">
        <v>2193</v>
      </c>
      <c r="AA99" t="s">
        <v>74</v>
      </c>
      <c r="AB99" t="s">
        <v>2194</v>
      </c>
      <c r="AC99" t="s">
        <v>2195</v>
      </c>
      <c r="AD99" t="s">
        <v>2196</v>
      </c>
      <c r="AE99" t="s">
        <v>2197</v>
      </c>
      <c r="AF99" t="s">
        <v>74</v>
      </c>
      <c r="AG99">
        <v>32</v>
      </c>
      <c r="AH99">
        <v>0</v>
      </c>
      <c r="AI99">
        <v>0</v>
      </c>
      <c r="AJ99">
        <v>0</v>
      </c>
      <c r="AK99">
        <v>2</v>
      </c>
      <c r="AL99" t="s">
        <v>116</v>
      </c>
      <c r="AM99" t="s">
        <v>117</v>
      </c>
      <c r="AN99" t="s">
        <v>118</v>
      </c>
      <c r="AO99" t="s">
        <v>74</v>
      </c>
      <c r="AP99" t="s">
        <v>521</v>
      </c>
      <c r="AQ99" t="s">
        <v>74</v>
      </c>
      <c r="AR99" t="s">
        <v>511</v>
      </c>
      <c r="AS99" t="s">
        <v>522</v>
      </c>
      <c r="AT99" t="s">
        <v>394</v>
      </c>
      <c r="AU99">
        <v>2022</v>
      </c>
      <c r="AV99">
        <v>6</v>
      </c>
      <c r="AW99">
        <v>3</v>
      </c>
      <c r="AX99" t="s">
        <v>74</v>
      </c>
      <c r="AY99" t="s">
        <v>74</v>
      </c>
      <c r="AZ99" t="s">
        <v>74</v>
      </c>
      <c r="BA99" t="s">
        <v>74</v>
      </c>
      <c r="BB99" t="s">
        <v>74</v>
      </c>
      <c r="BC99" t="s">
        <v>74</v>
      </c>
      <c r="BD99">
        <v>61</v>
      </c>
      <c r="BE99" t="s">
        <v>2198</v>
      </c>
      <c r="BF99" t="str">
        <f>HYPERLINK("http://dx.doi.org/10.3390/logistics6030061","http://dx.doi.org/10.3390/logistics6030061")</f>
        <v>http://dx.doi.org/10.3390/logistics6030061</v>
      </c>
      <c r="BG99" t="s">
        <v>74</v>
      </c>
      <c r="BH99" t="s">
        <v>74</v>
      </c>
      <c r="BI99">
        <v>23</v>
      </c>
      <c r="BJ99" t="s">
        <v>524</v>
      </c>
      <c r="BK99" t="s">
        <v>124</v>
      </c>
      <c r="BL99" t="s">
        <v>525</v>
      </c>
      <c r="BM99" t="s">
        <v>2199</v>
      </c>
      <c r="BN99" t="s">
        <v>74</v>
      </c>
      <c r="BO99" t="s">
        <v>126</v>
      </c>
      <c r="BP99" t="s">
        <v>74</v>
      </c>
      <c r="BQ99" t="s">
        <v>74</v>
      </c>
      <c r="BR99" t="s">
        <v>102</v>
      </c>
      <c r="BS99" t="s">
        <v>2200</v>
      </c>
      <c r="BT99" t="str">
        <f>HYPERLINK("https%3A%2F%2Fwww.webofscience.com%2Fwos%2Fwoscc%2Ffull-record%2FWOS:000856812700001","View Full Record in Web of Science")</f>
        <v>View Full Record in Web of Science</v>
      </c>
    </row>
    <row r="100" spans="1:72" x14ac:dyDescent="0.2">
      <c r="A100" t="s">
        <v>72</v>
      </c>
      <c r="B100" t="s">
        <v>2201</v>
      </c>
      <c r="C100" t="s">
        <v>74</v>
      </c>
      <c r="D100" t="s">
        <v>74</v>
      </c>
      <c r="E100" t="s">
        <v>74</v>
      </c>
      <c r="F100" t="s">
        <v>2202</v>
      </c>
      <c r="G100" t="s">
        <v>74</v>
      </c>
      <c r="H100" t="s">
        <v>74</v>
      </c>
      <c r="I100" t="s">
        <v>2203</v>
      </c>
      <c r="J100" t="s">
        <v>2204</v>
      </c>
      <c r="K100" t="s">
        <v>74</v>
      </c>
      <c r="L100" t="s">
        <v>74</v>
      </c>
      <c r="M100" t="s">
        <v>78</v>
      </c>
      <c r="N100" t="s">
        <v>108</v>
      </c>
      <c r="O100" t="s">
        <v>74</v>
      </c>
      <c r="P100" t="s">
        <v>74</v>
      </c>
      <c r="Q100" t="s">
        <v>74</v>
      </c>
      <c r="R100" t="s">
        <v>74</v>
      </c>
      <c r="S100" t="s">
        <v>74</v>
      </c>
      <c r="T100" t="s">
        <v>2205</v>
      </c>
      <c r="U100" t="s">
        <v>74</v>
      </c>
      <c r="V100" t="s">
        <v>2206</v>
      </c>
      <c r="W100" t="s">
        <v>2207</v>
      </c>
      <c r="X100" t="s">
        <v>2208</v>
      </c>
      <c r="Y100" t="s">
        <v>2209</v>
      </c>
      <c r="Z100" t="s">
        <v>2210</v>
      </c>
      <c r="AA100" t="s">
        <v>74</v>
      </c>
      <c r="AB100" t="s">
        <v>74</v>
      </c>
      <c r="AC100" t="s">
        <v>2211</v>
      </c>
      <c r="AD100" t="s">
        <v>2212</v>
      </c>
      <c r="AE100" t="s">
        <v>2213</v>
      </c>
      <c r="AF100" t="s">
        <v>74</v>
      </c>
      <c r="AG100">
        <v>15</v>
      </c>
      <c r="AH100">
        <v>6</v>
      </c>
      <c r="AI100">
        <v>6</v>
      </c>
      <c r="AJ100">
        <v>2</v>
      </c>
      <c r="AK100">
        <v>29</v>
      </c>
      <c r="AL100" t="s">
        <v>2147</v>
      </c>
      <c r="AM100" t="s">
        <v>90</v>
      </c>
      <c r="AN100" t="s">
        <v>2148</v>
      </c>
      <c r="AO100" t="s">
        <v>2214</v>
      </c>
      <c r="AP100" t="s">
        <v>74</v>
      </c>
      <c r="AQ100" t="s">
        <v>74</v>
      </c>
      <c r="AR100" t="s">
        <v>2215</v>
      </c>
      <c r="AS100" t="s">
        <v>2216</v>
      </c>
      <c r="AT100" t="s">
        <v>2217</v>
      </c>
      <c r="AU100">
        <v>2017</v>
      </c>
      <c r="AV100">
        <v>9</v>
      </c>
      <c r="AW100">
        <v>10</v>
      </c>
      <c r="AX100" t="s">
        <v>74</v>
      </c>
      <c r="AY100" t="s">
        <v>74</v>
      </c>
      <c r="AZ100" t="s">
        <v>74</v>
      </c>
      <c r="BA100" t="s">
        <v>74</v>
      </c>
      <c r="BB100" t="s">
        <v>74</v>
      </c>
      <c r="BC100" t="s">
        <v>74</v>
      </c>
      <c r="BD100">
        <v>1687814017732308</v>
      </c>
      <c r="BE100" t="s">
        <v>2218</v>
      </c>
      <c r="BF100" t="str">
        <f>HYPERLINK("http://dx.doi.org/10.1177/1687814017732308","http://dx.doi.org/10.1177/1687814017732308")</f>
        <v>http://dx.doi.org/10.1177/1687814017732308</v>
      </c>
      <c r="BG100" t="s">
        <v>74</v>
      </c>
      <c r="BH100" t="s">
        <v>74</v>
      </c>
      <c r="BI100">
        <v>13</v>
      </c>
      <c r="BJ100" t="s">
        <v>2219</v>
      </c>
      <c r="BK100" t="s">
        <v>98</v>
      </c>
      <c r="BL100" t="s">
        <v>2220</v>
      </c>
      <c r="BM100" t="s">
        <v>2221</v>
      </c>
      <c r="BN100" t="s">
        <v>74</v>
      </c>
      <c r="BO100" t="s">
        <v>126</v>
      </c>
      <c r="BP100" t="s">
        <v>74</v>
      </c>
      <c r="BQ100" t="s">
        <v>74</v>
      </c>
      <c r="BR100" t="s">
        <v>102</v>
      </c>
      <c r="BS100" t="s">
        <v>2222</v>
      </c>
      <c r="BT100" t="str">
        <f>HYPERLINK("https%3A%2F%2Fwww.webofscience.com%2Fwos%2Fwoscc%2Ffull-record%2FWOS:000413207200001","View Full Record in Web of Science")</f>
        <v>View Full Record in Web of Science</v>
      </c>
    </row>
    <row r="101" spans="1:72" x14ac:dyDescent="0.2">
      <c r="A101" t="s">
        <v>72</v>
      </c>
      <c r="B101" t="s">
        <v>2223</v>
      </c>
      <c r="C101" t="s">
        <v>74</v>
      </c>
      <c r="D101" t="s">
        <v>74</v>
      </c>
      <c r="E101" t="s">
        <v>74</v>
      </c>
      <c r="F101" t="s">
        <v>2224</v>
      </c>
      <c r="G101" t="s">
        <v>74</v>
      </c>
      <c r="H101" t="s">
        <v>74</v>
      </c>
      <c r="I101" t="s">
        <v>2225</v>
      </c>
      <c r="J101" t="s">
        <v>2226</v>
      </c>
      <c r="K101" t="s">
        <v>74</v>
      </c>
      <c r="L101" t="s">
        <v>74</v>
      </c>
      <c r="M101" t="s">
        <v>78</v>
      </c>
      <c r="N101" t="s">
        <v>108</v>
      </c>
      <c r="O101" t="s">
        <v>74</v>
      </c>
      <c r="P101" t="s">
        <v>74</v>
      </c>
      <c r="Q101" t="s">
        <v>74</v>
      </c>
      <c r="R101" t="s">
        <v>74</v>
      </c>
      <c r="S101" t="s">
        <v>74</v>
      </c>
      <c r="T101" t="s">
        <v>2227</v>
      </c>
      <c r="U101" t="s">
        <v>2228</v>
      </c>
      <c r="V101" t="s">
        <v>2229</v>
      </c>
      <c r="W101" t="s">
        <v>2230</v>
      </c>
      <c r="X101" t="s">
        <v>2231</v>
      </c>
      <c r="Y101" t="s">
        <v>2232</v>
      </c>
      <c r="Z101" t="s">
        <v>2233</v>
      </c>
      <c r="AA101" t="s">
        <v>74</v>
      </c>
      <c r="AB101" t="s">
        <v>2234</v>
      </c>
      <c r="AC101" t="s">
        <v>2235</v>
      </c>
      <c r="AD101" t="s">
        <v>2236</v>
      </c>
      <c r="AE101" t="s">
        <v>2237</v>
      </c>
      <c r="AF101" t="s">
        <v>74</v>
      </c>
      <c r="AG101">
        <v>31</v>
      </c>
      <c r="AH101">
        <v>0</v>
      </c>
      <c r="AI101">
        <v>0</v>
      </c>
      <c r="AJ101">
        <v>0</v>
      </c>
      <c r="AK101">
        <v>2</v>
      </c>
      <c r="AL101" t="s">
        <v>167</v>
      </c>
      <c r="AM101" t="s">
        <v>168</v>
      </c>
      <c r="AN101" t="s">
        <v>169</v>
      </c>
      <c r="AO101" t="s">
        <v>2238</v>
      </c>
      <c r="AP101" t="s">
        <v>2239</v>
      </c>
      <c r="AQ101" t="s">
        <v>74</v>
      </c>
      <c r="AR101" t="s">
        <v>2240</v>
      </c>
      <c r="AS101" t="s">
        <v>2241</v>
      </c>
      <c r="AT101" t="s">
        <v>416</v>
      </c>
      <c r="AU101">
        <v>2022</v>
      </c>
      <c r="AV101">
        <v>22</v>
      </c>
      <c r="AW101">
        <v>2</v>
      </c>
      <c r="AX101" t="s">
        <v>74</v>
      </c>
      <c r="AY101" t="s">
        <v>74</v>
      </c>
      <c r="AZ101" t="s">
        <v>74</v>
      </c>
      <c r="BA101" t="s">
        <v>74</v>
      </c>
      <c r="BB101">
        <v>154</v>
      </c>
      <c r="BC101">
        <v>163</v>
      </c>
      <c r="BD101" t="s">
        <v>74</v>
      </c>
      <c r="BE101" t="s">
        <v>2242</v>
      </c>
      <c r="BF101" t="str">
        <f>HYPERLINK("http://dx.doi.org/10.1109/TDMR.2022.3164788","http://dx.doi.org/10.1109/TDMR.2022.3164788")</f>
        <v>http://dx.doi.org/10.1109/TDMR.2022.3164788</v>
      </c>
      <c r="BG101" t="s">
        <v>74</v>
      </c>
      <c r="BH101" t="s">
        <v>74</v>
      </c>
      <c r="BI101">
        <v>10</v>
      </c>
      <c r="BJ101" t="s">
        <v>2243</v>
      </c>
      <c r="BK101" t="s">
        <v>98</v>
      </c>
      <c r="BL101" t="s">
        <v>2244</v>
      </c>
      <c r="BM101" t="s">
        <v>2245</v>
      </c>
      <c r="BN101" t="s">
        <v>74</v>
      </c>
      <c r="BO101" t="s">
        <v>1833</v>
      </c>
      <c r="BP101" t="s">
        <v>74</v>
      </c>
      <c r="BQ101" t="s">
        <v>74</v>
      </c>
      <c r="BR101" t="s">
        <v>102</v>
      </c>
      <c r="BS101" t="s">
        <v>2246</v>
      </c>
      <c r="BT101" t="str">
        <f>HYPERLINK("https%3A%2F%2Fwww.webofscience.com%2Fwos%2Fwoscc%2Ffull-record%2FWOS:000808073600012","View Full Record in Web of Science")</f>
        <v>View Full Record in Web of Science</v>
      </c>
    </row>
    <row r="102" spans="1:72" x14ac:dyDescent="0.2">
      <c r="A102" t="s">
        <v>72</v>
      </c>
      <c r="B102" t="s">
        <v>2247</v>
      </c>
      <c r="C102" t="s">
        <v>74</v>
      </c>
      <c r="D102" t="s">
        <v>74</v>
      </c>
      <c r="E102" t="s">
        <v>74</v>
      </c>
      <c r="F102" t="s">
        <v>2247</v>
      </c>
      <c r="G102" t="s">
        <v>74</v>
      </c>
      <c r="H102" t="s">
        <v>74</v>
      </c>
      <c r="I102" t="s">
        <v>2248</v>
      </c>
      <c r="J102" t="s">
        <v>2249</v>
      </c>
      <c r="K102" t="s">
        <v>74</v>
      </c>
      <c r="L102" t="s">
        <v>74</v>
      </c>
      <c r="M102" t="s">
        <v>78</v>
      </c>
      <c r="N102" t="s">
        <v>108</v>
      </c>
      <c r="O102" t="s">
        <v>74</v>
      </c>
      <c r="P102" t="s">
        <v>74</v>
      </c>
      <c r="Q102" t="s">
        <v>74</v>
      </c>
      <c r="R102" t="s">
        <v>74</v>
      </c>
      <c r="S102" t="s">
        <v>74</v>
      </c>
      <c r="T102" t="s">
        <v>2250</v>
      </c>
      <c r="U102" t="s">
        <v>2251</v>
      </c>
      <c r="V102" t="s">
        <v>2252</v>
      </c>
      <c r="W102" t="s">
        <v>2253</v>
      </c>
      <c r="X102" t="s">
        <v>2254</v>
      </c>
      <c r="Y102" t="s">
        <v>2255</v>
      </c>
      <c r="Z102" t="s">
        <v>2256</v>
      </c>
      <c r="AA102" t="s">
        <v>74</v>
      </c>
      <c r="AB102" t="s">
        <v>74</v>
      </c>
      <c r="AC102" t="s">
        <v>74</v>
      </c>
      <c r="AD102" t="s">
        <v>74</v>
      </c>
      <c r="AE102" t="s">
        <v>74</v>
      </c>
      <c r="AF102" t="s">
        <v>74</v>
      </c>
      <c r="AG102">
        <v>25</v>
      </c>
      <c r="AH102">
        <v>111</v>
      </c>
      <c r="AI102">
        <v>117</v>
      </c>
      <c r="AJ102">
        <v>5</v>
      </c>
      <c r="AK102">
        <v>73</v>
      </c>
      <c r="AL102" t="s">
        <v>543</v>
      </c>
      <c r="AM102" t="s">
        <v>260</v>
      </c>
      <c r="AN102" t="s">
        <v>544</v>
      </c>
      <c r="AO102" t="s">
        <v>2257</v>
      </c>
      <c r="AP102" t="s">
        <v>74</v>
      </c>
      <c r="AQ102" t="s">
        <v>74</v>
      </c>
      <c r="AR102" t="s">
        <v>2258</v>
      </c>
      <c r="AS102" t="s">
        <v>2259</v>
      </c>
      <c r="AT102" t="s">
        <v>239</v>
      </c>
      <c r="AU102">
        <v>2005</v>
      </c>
      <c r="AV102">
        <v>33</v>
      </c>
      <c r="AW102">
        <v>4</v>
      </c>
      <c r="AX102" t="s">
        <v>74</v>
      </c>
      <c r="AY102" t="s">
        <v>74</v>
      </c>
      <c r="AZ102" t="s">
        <v>74</v>
      </c>
      <c r="BA102" t="s">
        <v>74</v>
      </c>
      <c r="BB102">
        <v>333</v>
      </c>
      <c r="BC102">
        <v>343</v>
      </c>
      <c r="BD102" t="s">
        <v>74</v>
      </c>
      <c r="BE102" t="s">
        <v>2260</v>
      </c>
      <c r="BF102" t="str">
        <f>HYPERLINK("http://dx.doi.org/10.1016/j.omega.2004.05.003","http://dx.doi.org/10.1016/j.omega.2004.05.003")</f>
        <v>http://dx.doi.org/10.1016/j.omega.2004.05.003</v>
      </c>
      <c r="BG102" t="s">
        <v>74</v>
      </c>
      <c r="BH102" t="s">
        <v>74</v>
      </c>
      <c r="BI102">
        <v>11</v>
      </c>
      <c r="BJ102" t="s">
        <v>524</v>
      </c>
      <c r="BK102" t="s">
        <v>147</v>
      </c>
      <c r="BL102" t="s">
        <v>525</v>
      </c>
      <c r="BM102" t="s">
        <v>2261</v>
      </c>
      <c r="BN102" t="s">
        <v>74</v>
      </c>
      <c r="BO102" t="s">
        <v>74</v>
      </c>
      <c r="BP102" t="s">
        <v>74</v>
      </c>
      <c r="BQ102" t="s">
        <v>74</v>
      </c>
      <c r="BR102" t="s">
        <v>102</v>
      </c>
      <c r="BS102" t="s">
        <v>2262</v>
      </c>
      <c r="BT102" t="str">
        <f>HYPERLINK("https%3A%2F%2Fwww.webofscience.com%2Fwos%2Fwoscc%2Ffull-record%2FWOS:000228032900004","View Full Record in Web of Science")</f>
        <v>View Full Record in Web of Science</v>
      </c>
    </row>
    <row r="103" spans="1:72" x14ac:dyDescent="0.2">
      <c r="A103" t="s">
        <v>72</v>
      </c>
      <c r="B103" t="s">
        <v>2263</v>
      </c>
      <c r="C103" t="s">
        <v>74</v>
      </c>
      <c r="D103" t="s">
        <v>74</v>
      </c>
      <c r="E103" t="s">
        <v>74</v>
      </c>
      <c r="F103" t="s">
        <v>2264</v>
      </c>
      <c r="G103" t="s">
        <v>74</v>
      </c>
      <c r="H103" t="s">
        <v>74</v>
      </c>
      <c r="I103" t="s">
        <v>2265</v>
      </c>
      <c r="J103" t="s">
        <v>762</v>
      </c>
      <c r="K103" t="s">
        <v>74</v>
      </c>
      <c r="L103" t="s">
        <v>74</v>
      </c>
      <c r="M103" t="s">
        <v>78</v>
      </c>
      <c r="N103" t="s">
        <v>108</v>
      </c>
      <c r="O103" t="s">
        <v>74</v>
      </c>
      <c r="P103" t="s">
        <v>74</v>
      </c>
      <c r="Q103" t="s">
        <v>74</v>
      </c>
      <c r="R103" t="s">
        <v>74</v>
      </c>
      <c r="S103" t="s">
        <v>74</v>
      </c>
      <c r="T103" t="s">
        <v>2266</v>
      </c>
      <c r="U103" t="s">
        <v>2267</v>
      </c>
      <c r="V103" t="s">
        <v>2268</v>
      </c>
      <c r="W103" t="s">
        <v>2269</v>
      </c>
      <c r="X103" t="s">
        <v>2270</v>
      </c>
      <c r="Y103" t="s">
        <v>2271</v>
      </c>
      <c r="Z103" t="s">
        <v>2272</v>
      </c>
      <c r="AA103" t="s">
        <v>2273</v>
      </c>
      <c r="AB103" t="s">
        <v>2274</v>
      </c>
      <c r="AC103" t="s">
        <v>74</v>
      </c>
      <c r="AD103" t="s">
        <v>74</v>
      </c>
      <c r="AE103" t="s">
        <v>74</v>
      </c>
      <c r="AF103" t="s">
        <v>74</v>
      </c>
      <c r="AG103">
        <v>38</v>
      </c>
      <c r="AH103">
        <v>65</v>
      </c>
      <c r="AI103">
        <v>65</v>
      </c>
      <c r="AJ103">
        <v>0</v>
      </c>
      <c r="AK103">
        <v>30</v>
      </c>
      <c r="AL103" t="s">
        <v>279</v>
      </c>
      <c r="AM103" t="s">
        <v>280</v>
      </c>
      <c r="AN103" t="s">
        <v>281</v>
      </c>
      <c r="AO103" t="s">
        <v>773</v>
      </c>
      <c r="AP103" t="s">
        <v>774</v>
      </c>
      <c r="AQ103" t="s">
        <v>74</v>
      </c>
      <c r="AR103" t="s">
        <v>775</v>
      </c>
      <c r="AS103" t="s">
        <v>776</v>
      </c>
      <c r="AT103" t="s">
        <v>74</v>
      </c>
      <c r="AU103">
        <v>2009</v>
      </c>
      <c r="AV103">
        <v>47</v>
      </c>
      <c r="AW103">
        <v>7</v>
      </c>
      <c r="AX103" t="s">
        <v>74</v>
      </c>
      <c r="AY103" t="s">
        <v>74</v>
      </c>
      <c r="AZ103" t="s">
        <v>74</v>
      </c>
      <c r="BA103" t="s">
        <v>74</v>
      </c>
      <c r="BB103">
        <v>1733</v>
      </c>
      <c r="BC103">
        <v>1751</v>
      </c>
      <c r="BD103" t="s">
        <v>2275</v>
      </c>
      <c r="BE103" t="s">
        <v>2276</v>
      </c>
      <c r="BF103" t="str">
        <f>HYPERLINK("http://dx.doi.org/10.1080/00207540701644235","http://dx.doi.org/10.1080/00207540701644235")</f>
        <v>http://dx.doi.org/10.1080/00207540701644235</v>
      </c>
      <c r="BG103" t="s">
        <v>74</v>
      </c>
      <c r="BH103" t="s">
        <v>74</v>
      </c>
      <c r="BI103">
        <v>19</v>
      </c>
      <c r="BJ103" t="s">
        <v>780</v>
      </c>
      <c r="BK103" t="s">
        <v>98</v>
      </c>
      <c r="BL103" t="s">
        <v>781</v>
      </c>
      <c r="BM103" t="s">
        <v>2277</v>
      </c>
      <c r="BN103" t="s">
        <v>74</v>
      </c>
      <c r="BO103" t="s">
        <v>74</v>
      </c>
      <c r="BP103" t="s">
        <v>74</v>
      </c>
      <c r="BQ103" t="s">
        <v>74</v>
      </c>
      <c r="BR103" t="s">
        <v>102</v>
      </c>
      <c r="BS103" t="s">
        <v>2278</v>
      </c>
      <c r="BT103" t="str">
        <f>HYPERLINK("https%3A%2F%2Fwww.webofscience.com%2Fwos%2Fwoscc%2Ffull-record%2FWOS:000263266500002","View Full Record in Web of Science")</f>
        <v>View Full Record in Web of Science</v>
      </c>
    </row>
    <row r="104" spans="1:72" x14ac:dyDescent="0.2">
      <c r="A104" t="s">
        <v>72</v>
      </c>
      <c r="B104" t="s">
        <v>2279</v>
      </c>
      <c r="C104" t="s">
        <v>74</v>
      </c>
      <c r="D104" t="s">
        <v>74</v>
      </c>
      <c r="E104" t="s">
        <v>74</v>
      </c>
      <c r="F104" t="s">
        <v>2280</v>
      </c>
      <c r="G104" t="s">
        <v>74</v>
      </c>
      <c r="H104" t="s">
        <v>74</v>
      </c>
      <c r="I104" t="s">
        <v>2281</v>
      </c>
      <c r="J104" t="s">
        <v>155</v>
      </c>
      <c r="K104" t="s">
        <v>74</v>
      </c>
      <c r="L104" t="s">
        <v>74</v>
      </c>
      <c r="M104" t="s">
        <v>78</v>
      </c>
      <c r="N104" t="s">
        <v>108</v>
      </c>
      <c r="O104" t="s">
        <v>74</v>
      </c>
      <c r="P104" t="s">
        <v>74</v>
      </c>
      <c r="Q104" t="s">
        <v>74</v>
      </c>
      <c r="R104" t="s">
        <v>74</v>
      </c>
      <c r="S104" t="s">
        <v>74</v>
      </c>
      <c r="T104" t="s">
        <v>2282</v>
      </c>
      <c r="U104" t="s">
        <v>2283</v>
      </c>
      <c r="V104" t="s">
        <v>2284</v>
      </c>
      <c r="W104" t="s">
        <v>2285</v>
      </c>
      <c r="X104" t="s">
        <v>2286</v>
      </c>
      <c r="Y104" t="s">
        <v>2287</v>
      </c>
      <c r="Z104" t="s">
        <v>2288</v>
      </c>
      <c r="AA104" t="s">
        <v>74</v>
      </c>
      <c r="AB104" t="s">
        <v>74</v>
      </c>
      <c r="AC104" t="s">
        <v>2289</v>
      </c>
      <c r="AD104" t="s">
        <v>2290</v>
      </c>
      <c r="AE104" t="s">
        <v>2291</v>
      </c>
      <c r="AF104" t="s">
        <v>74</v>
      </c>
      <c r="AG104">
        <v>55</v>
      </c>
      <c r="AH104">
        <v>4</v>
      </c>
      <c r="AI104">
        <v>4</v>
      </c>
      <c r="AJ104">
        <v>40</v>
      </c>
      <c r="AK104">
        <v>64</v>
      </c>
      <c r="AL104" t="s">
        <v>167</v>
      </c>
      <c r="AM104" t="s">
        <v>168</v>
      </c>
      <c r="AN104" t="s">
        <v>169</v>
      </c>
      <c r="AO104" t="s">
        <v>170</v>
      </c>
      <c r="AP104" t="s">
        <v>171</v>
      </c>
      <c r="AQ104" t="s">
        <v>74</v>
      </c>
      <c r="AR104" t="s">
        <v>172</v>
      </c>
      <c r="AS104" t="s">
        <v>173</v>
      </c>
      <c r="AT104" t="s">
        <v>216</v>
      </c>
      <c r="AU104">
        <v>2022</v>
      </c>
      <c r="AV104">
        <v>69</v>
      </c>
      <c r="AW104">
        <v>6</v>
      </c>
      <c r="AX104" t="s">
        <v>74</v>
      </c>
      <c r="AY104" t="s">
        <v>74</v>
      </c>
      <c r="AZ104" t="s">
        <v>74</v>
      </c>
      <c r="BA104" t="s">
        <v>74</v>
      </c>
      <c r="BB104">
        <v>3367</v>
      </c>
      <c r="BC104">
        <v>3378</v>
      </c>
      <c r="BD104" t="s">
        <v>74</v>
      </c>
      <c r="BE104" t="s">
        <v>2292</v>
      </c>
      <c r="BF104" t="str">
        <f>HYPERLINK("http://dx.doi.org/10.1109/TEM.2020.3041933","http://dx.doi.org/10.1109/TEM.2020.3041933")</f>
        <v>http://dx.doi.org/10.1109/TEM.2020.3041933</v>
      </c>
      <c r="BG104" t="s">
        <v>74</v>
      </c>
      <c r="BH104" t="s">
        <v>74</v>
      </c>
      <c r="BI104">
        <v>12</v>
      </c>
      <c r="BJ104" t="s">
        <v>176</v>
      </c>
      <c r="BK104" t="s">
        <v>147</v>
      </c>
      <c r="BL104" t="s">
        <v>177</v>
      </c>
      <c r="BM104" t="s">
        <v>2293</v>
      </c>
      <c r="BN104" t="s">
        <v>74</v>
      </c>
      <c r="BO104" t="s">
        <v>74</v>
      </c>
      <c r="BP104" t="s">
        <v>74</v>
      </c>
      <c r="BQ104" t="s">
        <v>74</v>
      </c>
      <c r="BR104" t="s">
        <v>102</v>
      </c>
      <c r="BS104" t="s">
        <v>2294</v>
      </c>
      <c r="BT104" t="str">
        <f>HYPERLINK("https%3A%2F%2Fwww.webofscience.com%2Fwos%2Fwoscc%2Ffull-record%2FWOS:000879054100069","View Full Record in Web of Science")</f>
        <v>View Full Record in Web of Science</v>
      </c>
    </row>
    <row r="105" spans="1:72" x14ac:dyDescent="0.2">
      <c r="A105" t="s">
        <v>72</v>
      </c>
      <c r="B105" t="s">
        <v>2295</v>
      </c>
      <c r="C105" t="s">
        <v>74</v>
      </c>
      <c r="D105" t="s">
        <v>74</v>
      </c>
      <c r="E105" t="s">
        <v>74</v>
      </c>
      <c r="F105" t="s">
        <v>2296</v>
      </c>
      <c r="G105" t="s">
        <v>74</v>
      </c>
      <c r="H105" t="s">
        <v>74</v>
      </c>
      <c r="I105" t="s">
        <v>2297</v>
      </c>
      <c r="J105" t="s">
        <v>873</v>
      </c>
      <c r="K105" t="s">
        <v>74</v>
      </c>
      <c r="L105" t="s">
        <v>74</v>
      </c>
      <c r="M105" t="s">
        <v>78</v>
      </c>
      <c r="N105" t="s">
        <v>108</v>
      </c>
      <c r="O105" t="s">
        <v>74</v>
      </c>
      <c r="P105" t="s">
        <v>74</v>
      </c>
      <c r="Q105" t="s">
        <v>74</v>
      </c>
      <c r="R105" t="s">
        <v>74</v>
      </c>
      <c r="S105" t="s">
        <v>74</v>
      </c>
      <c r="T105" t="s">
        <v>2298</v>
      </c>
      <c r="U105" t="s">
        <v>2299</v>
      </c>
      <c r="V105" t="s">
        <v>2300</v>
      </c>
      <c r="W105" t="s">
        <v>2301</v>
      </c>
      <c r="X105" t="s">
        <v>2302</v>
      </c>
      <c r="Y105" t="s">
        <v>2303</v>
      </c>
      <c r="Z105" t="s">
        <v>2304</v>
      </c>
      <c r="AA105" t="s">
        <v>2305</v>
      </c>
      <c r="AB105" t="s">
        <v>2306</v>
      </c>
      <c r="AC105" t="s">
        <v>74</v>
      </c>
      <c r="AD105" t="s">
        <v>74</v>
      </c>
      <c r="AE105" t="s">
        <v>74</v>
      </c>
      <c r="AF105" t="s">
        <v>74</v>
      </c>
      <c r="AG105">
        <v>61</v>
      </c>
      <c r="AH105">
        <v>6</v>
      </c>
      <c r="AI105">
        <v>6</v>
      </c>
      <c r="AJ105">
        <v>0</v>
      </c>
      <c r="AK105">
        <v>23</v>
      </c>
      <c r="AL105" t="s">
        <v>209</v>
      </c>
      <c r="AM105" t="s">
        <v>210</v>
      </c>
      <c r="AN105" t="s">
        <v>211</v>
      </c>
      <c r="AO105" t="s">
        <v>883</v>
      </c>
      <c r="AP105" t="s">
        <v>884</v>
      </c>
      <c r="AQ105" t="s">
        <v>74</v>
      </c>
      <c r="AR105" t="s">
        <v>885</v>
      </c>
      <c r="AS105" t="s">
        <v>886</v>
      </c>
      <c r="AT105" t="s">
        <v>239</v>
      </c>
      <c r="AU105">
        <v>2012</v>
      </c>
      <c r="AV105">
        <v>138</v>
      </c>
      <c r="AW105">
        <v>2</v>
      </c>
      <c r="AX105" t="s">
        <v>74</v>
      </c>
      <c r="AY105" t="s">
        <v>74</v>
      </c>
      <c r="AZ105" t="s">
        <v>74</v>
      </c>
      <c r="BA105" t="s">
        <v>74</v>
      </c>
      <c r="BB105">
        <v>254</v>
      </c>
      <c r="BC105">
        <v>272</v>
      </c>
      <c r="BD105" t="s">
        <v>74</v>
      </c>
      <c r="BE105" t="s">
        <v>2307</v>
      </c>
      <c r="BF105" t="str">
        <f>HYPERLINK("http://dx.doi.org/10.1016/j.ijpe.2012.03.026","http://dx.doi.org/10.1016/j.ijpe.2012.03.026")</f>
        <v>http://dx.doi.org/10.1016/j.ijpe.2012.03.026</v>
      </c>
      <c r="BG105" t="s">
        <v>74</v>
      </c>
      <c r="BH105" t="s">
        <v>74</v>
      </c>
      <c r="BI105">
        <v>19</v>
      </c>
      <c r="BJ105" t="s">
        <v>780</v>
      </c>
      <c r="BK105" t="s">
        <v>147</v>
      </c>
      <c r="BL105" t="s">
        <v>781</v>
      </c>
      <c r="BM105" t="s">
        <v>2308</v>
      </c>
      <c r="BN105" t="s">
        <v>74</v>
      </c>
      <c r="BO105" t="s">
        <v>2309</v>
      </c>
      <c r="BP105" t="s">
        <v>74</v>
      </c>
      <c r="BQ105" t="s">
        <v>74</v>
      </c>
      <c r="BR105" t="s">
        <v>102</v>
      </c>
      <c r="BS105" t="s">
        <v>2310</v>
      </c>
      <c r="BT105" t="str">
        <f>HYPERLINK("https%3A%2F%2Fwww.webofscience.com%2Fwos%2Fwoscc%2Ffull-record%2FWOS:000306030700003","View Full Record in Web of Science")</f>
        <v>View Full Record in Web of Science</v>
      </c>
    </row>
    <row r="106" spans="1:72" x14ac:dyDescent="0.2">
      <c r="A106" t="s">
        <v>72</v>
      </c>
      <c r="B106" t="s">
        <v>2311</v>
      </c>
      <c r="C106" t="s">
        <v>74</v>
      </c>
      <c r="D106" t="s">
        <v>74</v>
      </c>
      <c r="E106" t="s">
        <v>74</v>
      </c>
      <c r="F106" t="s">
        <v>2312</v>
      </c>
      <c r="G106" t="s">
        <v>74</v>
      </c>
      <c r="H106" t="s">
        <v>74</v>
      </c>
      <c r="I106" t="s">
        <v>2313</v>
      </c>
      <c r="J106" t="s">
        <v>2314</v>
      </c>
      <c r="K106" t="s">
        <v>74</v>
      </c>
      <c r="L106" t="s">
        <v>74</v>
      </c>
      <c r="M106" t="s">
        <v>78</v>
      </c>
      <c r="N106" t="s">
        <v>108</v>
      </c>
      <c r="O106" t="s">
        <v>74</v>
      </c>
      <c r="P106" t="s">
        <v>74</v>
      </c>
      <c r="Q106" t="s">
        <v>74</v>
      </c>
      <c r="R106" t="s">
        <v>74</v>
      </c>
      <c r="S106" t="s">
        <v>74</v>
      </c>
      <c r="T106" t="s">
        <v>2315</v>
      </c>
      <c r="U106" t="s">
        <v>74</v>
      </c>
      <c r="V106" t="s">
        <v>2316</v>
      </c>
      <c r="W106" t="s">
        <v>2317</v>
      </c>
      <c r="X106" t="s">
        <v>2318</v>
      </c>
      <c r="Y106" t="s">
        <v>2319</v>
      </c>
      <c r="Z106" t="s">
        <v>2320</v>
      </c>
      <c r="AA106" t="s">
        <v>2321</v>
      </c>
      <c r="AB106" t="s">
        <v>2322</v>
      </c>
      <c r="AC106" t="s">
        <v>2323</v>
      </c>
      <c r="AD106" t="s">
        <v>2324</v>
      </c>
      <c r="AE106" t="s">
        <v>2325</v>
      </c>
      <c r="AF106" t="s">
        <v>74</v>
      </c>
      <c r="AG106">
        <v>27</v>
      </c>
      <c r="AH106">
        <v>9</v>
      </c>
      <c r="AI106">
        <v>9</v>
      </c>
      <c r="AJ106">
        <v>0</v>
      </c>
      <c r="AK106">
        <v>2</v>
      </c>
      <c r="AL106" t="s">
        <v>2326</v>
      </c>
      <c r="AM106" t="s">
        <v>2327</v>
      </c>
      <c r="AN106" t="s">
        <v>2328</v>
      </c>
      <c r="AO106" t="s">
        <v>2329</v>
      </c>
      <c r="AP106" t="s">
        <v>2330</v>
      </c>
      <c r="AQ106" t="s">
        <v>74</v>
      </c>
      <c r="AR106" t="s">
        <v>2314</v>
      </c>
      <c r="AS106" t="s">
        <v>2331</v>
      </c>
      <c r="AT106" t="s">
        <v>416</v>
      </c>
      <c r="AU106">
        <v>2020</v>
      </c>
      <c r="AV106">
        <v>102</v>
      </c>
      <c r="AW106">
        <v>6</v>
      </c>
      <c r="AX106" t="s">
        <v>74</v>
      </c>
      <c r="AY106" t="s">
        <v>74</v>
      </c>
      <c r="AZ106" t="s">
        <v>570</v>
      </c>
      <c r="BA106" t="s">
        <v>74</v>
      </c>
      <c r="BB106">
        <v>1323</v>
      </c>
      <c r="BC106">
        <v>1344</v>
      </c>
      <c r="BD106" t="s">
        <v>74</v>
      </c>
      <c r="BE106" t="s">
        <v>2332</v>
      </c>
      <c r="BF106" t="str">
        <f>HYPERLINK("http://dx.doi.org/10.1007/s00607-020-00792-y","http://dx.doi.org/10.1007/s00607-020-00792-y")</f>
        <v>http://dx.doi.org/10.1007/s00607-020-00792-y</v>
      </c>
      <c r="BG106" t="s">
        <v>74</v>
      </c>
      <c r="BH106" t="s">
        <v>2333</v>
      </c>
      <c r="BI106">
        <v>22</v>
      </c>
      <c r="BJ106" t="s">
        <v>97</v>
      </c>
      <c r="BK106" t="s">
        <v>98</v>
      </c>
      <c r="BL106" t="s">
        <v>99</v>
      </c>
      <c r="BM106" t="s">
        <v>2334</v>
      </c>
      <c r="BN106" t="s">
        <v>74</v>
      </c>
      <c r="BO106" t="s">
        <v>2335</v>
      </c>
      <c r="BP106" t="s">
        <v>74</v>
      </c>
      <c r="BQ106" t="s">
        <v>74</v>
      </c>
      <c r="BR106" t="s">
        <v>102</v>
      </c>
      <c r="BS106" t="s">
        <v>2336</v>
      </c>
      <c r="BT106" t="str">
        <f>HYPERLINK("https%3A%2F%2Fwww.webofscience.com%2Fwos%2Fwoscc%2Ffull-record%2FWOS:000510083400002","View Full Record in Web of Science")</f>
        <v>View Full Record in Web of Science</v>
      </c>
    </row>
    <row r="107" spans="1:72" x14ac:dyDescent="0.2">
      <c r="A107" t="s">
        <v>72</v>
      </c>
      <c r="B107" t="s">
        <v>2337</v>
      </c>
      <c r="C107" t="s">
        <v>74</v>
      </c>
      <c r="D107" t="s">
        <v>74</v>
      </c>
      <c r="E107" t="s">
        <v>74</v>
      </c>
      <c r="F107" t="s">
        <v>2337</v>
      </c>
      <c r="G107" t="s">
        <v>74</v>
      </c>
      <c r="H107" t="s">
        <v>74</v>
      </c>
      <c r="I107" t="s">
        <v>2338</v>
      </c>
      <c r="J107" t="s">
        <v>2042</v>
      </c>
      <c r="K107" t="s">
        <v>74</v>
      </c>
      <c r="L107" t="s">
        <v>74</v>
      </c>
      <c r="M107" t="s">
        <v>78</v>
      </c>
      <c r="N107" t="s">
        <v>108</v>
      </c>
      <c r="O107" t="s">
        <v>74</v>
      </c>
      <c r="P107" t="s">
        <v>74</v>
      </c>
      <c r="Q107" t="s">
        <v>74</v>
      </c>
      <c r="R107" t="s">
        <v>74</v>
      </c>
      <c r="S107" t="s">
        <v>74</v>
      </c>
      <c r="T107" t="s">
        <v>2339</v>
      </c>
      <c r="U107" t="s">
        <v>2340</v>
      </c>
      <c r="V107" t="s">
        <v>2341</v>
      </c>
      <c r="W107" t="s">
        <v>2342</v>
      </c>
      <c r="X107" t="s">
        <v>2343</v>
      </c>
      <c r="Y107" t="s">
        <v>2344</v>
      </c>
      <c r="Z107" t="s">
        <v>2256</v>
      </c>
      <c r="AA107" t="s">
        <v>74</v>
      </c>
      <c r="AB107" t="s">
        <v>74</v>
      </c>
      <c r="AC107" t="s">
        <v>74</v>
      </c>
      <c r="AD107" t="s">
        <v>74</v>
      </c>
      <c r="AE107" t="s">
        <v>74</v>
      </c>
      <c r="AF107" t="s">
        <v>74</v>
      </c>
      <c r="AG107">
        <v>27</v>
      </c>
      <c r="AH107">
        <v>68</v>
      </c>
      <c r="AI107">
        <v>73</v>
      </c>
      <c r="AJ107">
        <v>0</v>
      </c>
      <c r="AK107">
        <v>67</v>
      </c>
      <c r="AL107" t="s">
        <v>543</v>
      </c>
      <c r="AM107" t="s">
        <v>260</v>
      </c>
      <c r="AN107" t="s">
        <v>544</v>
      </c>
      <c r="AO107" t="s">
        <v>2054</v>
      </c>
      <c r="AP107" t="s">
        <v>2055</v>
      </c>
      <c r="AQ107" t="s">
        <v>74</v>
      </c>
      <c r="AR107" t="s">
        <v>2056</v>
      </c>
      <c r="AS107" t="s">
        <v>2057</v>
      </c>
      <c r="AT107" t="s">
        <v>800</v>
      </c>
      <c r="AU107">
        <v>2005</v>
      </c>
      <c r="AV107">
        <v>28</v>
      </c>
      <c r="AW107">
        <v>3</v>
      </c>
      <c r="AX107" t="s">
        <v>74</v>
      </c>
      <c r="AY107" t="s">
        <v>74</v>
      </c>
      <c r="AZ107" t="s">
        <v>74</v>
      </c>
      <c r="BA107" t="s">
        <v>74</v>
      </c>
      <c r="BB107">
        <v>453</v>
      </c>
      <c r="BC107">
        <v>460</v>
      </c>
      <c r="BD107" t="s">
        <v>74</v>
      </c>
      <c r="BE107" t="s">
        <v>2345</v>
      </c>
      <c r="BF107" t="str">
        <f>HYPERLINK("http://dx.doi.org/10.1016/j.eswa.2004.12.006","http://dx.doi.org/10.1016/j.eswa.2004.12.006")</f>
        <v>http://dx.doi.org/10.1016/j.eswa.2004.12.006</v>
      </c>
      <c r="BG107" t="s">
        <v>74</v>
      </c>
      <c r="BH107" t="s">
        <v>74</v>
      </c>
      <c r="BI107">
        <v>8</v>
      </c>
      <c r="BJ107" t="s">
        <v>2059</v>
      </c>
      <c r="BK107" t="s">
        <v>98</v>
      </c>
      <c r="BL107" t="s">
        <v>2060</v>
      </c>
      <c r="BM107" t="s">
        <v>2346</v>
      </c>
      <c r="BN107" t="s">
        <v>74</v>
      </c>
      <c r="BO107" t="s">
        <v>74</v>
      </c>
      <c r="BP107" t="s">
        <v>74</v>
      </c>
      <c r="BQ107" t="s">
        <v>74</v>
      </c>
      <c r="BR107" t="s">
        <v>102</v>
      </c>
      <c r="BS107" t="s">
        <v>2347</v>
      </c>
      <c r="BT107" t="str">
        <f>HYPERLINK("https%3A%2F%2Fwww.webofscience.com%2Fwos%2Fwoscc%2Ffull-record%2FWOS:000227546200006","View Full Record in Web of Science")</f>
        <v>View Full Record in Web of Science</v>
      </c>
    </row>
    <row r="108" spans="1:72" x14ac:dyDescent="0.2">
      <c r="A108" t="s">
        <v>475</v>
      </c>
      <c r="B108" t="s">
        <v>2348</v>
      </c>
      <c r="C108" t="s">
        <v>74</v>
      </c>
      <c r="D108" t="s">
        <v>2349</v>
      </c>
      <c r="E108" t="s">
        <v>74</v>
      </c>
      <c r="F108" t="s">
        <v>2348</v>
      </c>
      <c r="G108" t="s">
        <v>74</v>
      </c>
      <c r="H108" t="s">
        <v>74</v>
      </c>
      <c r="I108" t="s">
        <v>2350</v>
      </c>
      <c r="J108" t="s">
        <v>2351</v>
      </c>
      <c r="K108" t="s">
        <v>2352</v>
      </c>
      <c r="L108" t="s">
        <v>74</v>
      </c>
      <c r="M108" t="s">
        <v>78</v>
      </c>
      <c r="N108" t="s">
        <v>482</v>
      </c>
      <c r="O108" t="s">
        <v>2353</v>
      </c>
      <c r="P108" t="s">
        <v>2354</v>
      </c>
      <c r="Q108" t="s">
        <v>2355</v>
      </c>
      <c r="R108" t="s">
        <v>2356</v>
      </c>
      <c r="S108" t="s">
        <v>74</v>
      </c>
      <c r="T108" t="s">
        <v>2357</v>
      </c>
      <c r="U108" t="s">
        <v>74</v>
      </c>
      <c r="V108" t="s">
        <v>2358</v>
      </c>
      <c r="W108" t="s">
        <v>2359</v>
      </c>
      <c r="X108" t="s">
        <v>2360</v>
      </c>
      <c r="Y108" t="s">
        <v>2361</v>
      </c>
      <c r="Z108" t="s">
        <v>2362</v>
      </c>
      <c r="AA108" t="s">
        <v>74</v>
      </c>
      <c r="AB108" t="s">
        <v>74</v>
      </c>
      <c r="AC108" t="s">
        <v>74</v>
      </c>
      <c r="AD108" t="s">
        <v>74</v>
      </c>
      <c r="AE108" t="s">
        <v>74</v>
      </c>
      <c r="AF108" t="s">
        <v>74</v>
      </c>
      <c r="AG108">
        <v>22</v>
      </c>
      <c r="AH108">
        <v>1</v>
      </c>
      <c r="AI108">
        <v>1</v>
      </c>
      <c r="AJ108">
        <v>0</v>
      </c>
      <c r="AK108">
        <v>2</v>
      </c>
      <c r="AL108" t="s">
        <v>2363</v>
      </c>
      <c r="AM108" t="s">
        <v>2364</v>
      </c>
      <c r="AN108" t="s">
        <v>2365</v>
      </c>
      <c r="AO108" t="s">
        <v>2366</v>
      </c>
      <c r="AP108" t="s">
        <v>2367</v>
      </c>
      <c r="AQ108" t="s">
        <v>2368</v>
      </c>
      <c r="AR108" t="s">
        <v>2369</v>
      </c>
      <c r="AS108" t="s">
        <v>74</v>
      </c>
      <c r="AT108" t="s">
        <v>74</v>
      </c>
      <c r="AU108">
        <v>2004</v>
      </c>
      <c r="AV108">
        <v>3275</v>
      </c>
      <c r="AW108" t="s">
        <v>74</v>
      </c>
      <c r="AX108" t="s">
        <v>74</v>
      </c>
      <c r="AY108" t="s">
        <v>74</v>
      </c>
      <c r="AZ108" t="s">
        <v>74</v>
      </c>
      <c r="BA108" t="s">
        <v>74</v>
      </c>
      <c r="BB108">
        <v>117</v>
      </c>
      <c r="BC108">
        <v>126</v>
      </c>
      <c r="BD108" t="s">
        <v>74</v>
      </c>
      <c r="BE108" t="s">
        <v>74</v>
      </c>
      <c r="BF108" t="s">
        <v>74</v>
      </c>
      <c r="BG108" t="s">
        <v>74</v>
      </c>
      <c r="BH108" t="s">
        <v>74</v>
      </c>
      <c r="BI108">
        <v>10</v>
      </c>
      <c r="BJ108" t="s">
        <v>2017</v>
      </c>
      <c r="BK108" t="s">
        <v>2370</v>
      </c>
      <c r="BL108" t="s">
        <v>99</v>
      </c>
      <c r="BM108" t="s">
        <v>2371</v>
      </c>
      <c r="BN108" t="s">
        <v>74</v>
      </c>
      <c r="BO108" t="s">
        <v>74</v>
      </c>
      <c r="BP108" t="s">
        <v>74</v>
      </c>
      <c r="BQ108" t="s">
        <v>74</v>
      </c>
      <c r="BR108" t="s">
        <v>102</v>
      </c>
      <c r="BS108" t="s">
        <v>2372</v>
      </c>
      <c r="BT108" t="str">
        <f>HYPERLINK("https%3A%2F%2Fwww.webofscience.com%2Fwos%2Fwoscc%2Ffull-record%2FWOS:000227356700013","View Full Record in Web of Science")</f>
        <v>View Full Record in Web of Science</v>
      </c>
    </row>
    <row r="109" spans="1:72" x14ac:dyDescent="0.2">
      <c r="A109" t="s">
        <v>72</v>
      </c>
      <c r="B109" t="s">
        <v>2373</v>
      </c>
      <c r="C109" t="s">
        <v>74</v>
      </c>
      <c r="D109" t="s">
        <v>74</v>
      </c>
      <c r="E109" t="s">
        <v>74</v>
      </c>
      <c r="F109" t="s">
        <v>2374</v>
      </c>
      <c r="G109" t="s">
        <v>74</v>
      </c>
      <c r="H109" t="s">
        <v>74</v>
      </c>
      <c r="I109" t="s">
        <v>2375</v>
      </c>
      <c r="J109" t="s">
        <v>131</v>
      </c>
      <c r="K109" t="s">
        <v>74</v>
      </c>
      <c r="L109" t="s">
        <v>74</v>
      </c>
      <c r="M109" t="s">
        <v>78</v>
      </c>
      <c r="N109" t="s">
        <v>108</v>
      </c>
      <c r="O109" t="s">
        <v>74</v>
      </c>
      <c r="P109" t="s">
        <v>74</v>
      </c>
      <c r="Q109" t="s">
        <v>74</v>
      </c>
      <c r="R109" t="s">
        <v>74</v>
      </c>
      <c r="S109" t="s">
        <v>74</v>
      </c>
      <c r="T109" t="s">
        <v>2376</v>
      </c>
      <c r="U109" t="s">
        <v>2377</v>
      </c>
      <c r="V109" t="s">
        <v>2378</v>
      </c>
      <c r="W109" t="s">
        <v>2379</v>
      </c>
      <c r="X109" t="s">
        <v>2380</v>
      </c>
      <c r="Y109" t="s">
        <v>2381</v>
      </c>
      <c r="Z109" t="s">
        <v>2382</v>
      </c>
      <c r="AA109" t="s">
        <v>2383</v>
      </c>
      <c r="AB109" t="s">
        <v>2384</v>
      </c>
      <c r="AC109" t="s">
        <v>2385</v>
      </c>
      <c r="AD109" t="s">
        <v>2386</v>
      </c>
      <c r="AE109" t="s">
        <v>2387</v>
      </c>
      <c r="AF109" t="s">
        <v>74</v>
      </c>
      <c r="AG109">
        <v>43</v>
      </c>
      <c r="AH109">
        <v>36</v>
      </c>
      <c r="AI109">
        <v>36</v>
      </c>
      <c r="AJ109">
        <v>2</v>
      </c>
      <c r="AK109">
        <v>46</v>
      </c>
      <c r="AL109" t="s">
        <v>116</v>
      </c>
      <c r="AM109" t="s">
        <v>117</v>
      </c>
      <c r="AN109" t="s">
        <v>118</v>
      </c>
      <c r="AO109" t="s">
        <v>74</v>
      </c>
      <c r="AP109" t="s">
        <v>142</v>
      </c>
      <c r="AQ109" t="s">
        <v>74</v>
      </c>
      <c r="AR109" t="s">
        <v>143</v>
      </c>
      <c r="AS109" t="s">
        <v>144</v>
      </c>
      <c r="AT109" t="s">
        <v>194</v>
      </c>
      <c r="AU109">
        <v>2017</v>
      </c>
      <c r="AV109">
        <v>9</v>
      </c>
      <c r="AW109">
        <v>11</v>
      </c>
      <c r="AX109" t="s">
        <v>74</v>
      </c>
      <c r="AY109" t="s">
        <v>74</v>
      </c>
      <c r="AZ109" t="s">
        <v>74</v>
      </c>
      <c r="BA109" t="s">
        <v>74</v>
      </c>
      <c r="BB109" t="s">
        <v>74</v>
      </c>
      <c r="BC109" t="s">
        <v>74</v>
      </c>
      <c r="BD109">
        <v>2073</v>
      </c>
      <c r="BE109" t="s">
        <v>2388</v>
      </c>
      <c r="BF109" t="str">
        <f>HYPERLINK("http://dx.doi.org/10.3390/su9112073","http://dx.doi.org/10.3390/su9112073")</f>
        <v>http://dx.doi.org/10.3390/su9112073</v>
      </c>
      <c r="BG109" t="s">
        <v>74</v>
      </c>
      <c r="BH109" t="s">
        <v>74</v>
      </c>
      <c r="BI109">
        <v>17</v>
      </c>
      <c r="BJ109" t="s">
        <v>146</v>
      </c>
      <c r="BK109" t="s">
        <v>147</v>
      </c>
      <c r="BL109" t="s">
        <v>148</v>
      </c>
      <c r="BM109" t="s">
        <v>2389</v>
      </c>
      <c r="BN109" t="s">
        <v>74</v>
      </c>
      <c r="BO109" t="s">
        <v>150</v>
      </c>
      <c r="BP109" t="s">
        <v>74</v>
      </c>
      <c r="BQ109" t="s">
        <v>74</v>
      </c>
      <c r="BR109" t="s">
        <v>102</v>
      </c>
      <c r="BS109" t="s">
        <v>2390</v>
      </c>
      <c r="BT109" t="str">
        <f>HYPERLINK("https%3A%2F%2Fwww.webofscience.com%2Fwos%2Fwoscc%2Ffull-record%2FWOS:000416793400153","View Full Record in Web of Science")</f>
        <v>View Full Record in Web of Science</v>
      </c>
    </row>
    <row r="110" spans="1:72" x14ac:dyDescent="0.2">
      <c r="A110" t="s">
        <v>72</v>
      </c>
      <c r="B110" t="s">
        <v>2391</v>
      </c>
      <c r="C110" t="s">
        <v>74</v>
      </c>
      <c r="D110" t="s">
        <v>74</v>
      </c>
      <c r="E110" t="s">
        <v>74</v>
      </c>
      <c r="F110" t="s">
        <v>2392</v>
      </c>
      <c r="G110" t="s">
        <v>74</v>
      </c>
      <c r="H110" t="s">
        <v>74</v>
      </c>
      <c r="I110" t="s">
        <v>2393</v>
      </c>
      <c r="J110" t="s">
        <v>2394</v>
      </c>
      <c r="K110" t="s">
        <v>74</v>
      </c>
      <c r="L110" t="s">
        <v>74</v>
      </c>
      <c r="M110" t="s">
        <v>78</v>
      </c>
      <c r="N110" t="s">
        <v>108</v>
      </c>
      <c r="O110" t="s">
        <v>74</v>
      </c>
      <c r="P110" t="s">
        <v>74</v>
      </c>
      <c r="Q110" t="s">
        <v>74</v>
      </c>
      <c r="R110" t="s">
        <v>74</v>
      </c>
      <c r="S110" t="s">
        <v>74</v>
      </c>
      <c r="T110" t="s">
        <v>2395</v>
      </c>
      <c r="U110" t="s">
        <v>74</v>
      </c>
      <c r="V110" t="s">
        <v>2396</v>
      </c>
      <c r="W110" t="s">
        <v>2397</v>
      </c>
      <c r="X110" t="s">
        <v>2398</v>
      </c>
      <c r="Y110" t="s">
        <v>2399</v>
      </c>
      <c r="Z110" t="s">
        <v>2400</v>
      </c>
      <c r="AA110" t="s">
        <v>2401</v>
      </c>
      <c r="AB110" t="s">
        <v>2402</v>
      </c>
      <c r="AC110" t="s">
        <v>2403</v>
      </c>
      <c r="AD110" t="s">
        <v>2404</v>
      </c>
      <c r="AE110" t="s">
        <v>2405</v>
      </c>
      <c r="AF110" t="s">
        <v>74</v>
      </c>
      <c r="AG110">
        <v>25</v>
      </c>
      <c r="AH110">
        <v>3</v>
      </c>
      <c r="AI110">
        <v>3</v>
      </c>
      <c r="AJ110">
        <v>13</v>
      </c>
      <c r="AK110">
        <v>83</v>
      </c>
      <c r="AL110" t="s">
        <v>2406</v>
      </c>
      <c r="AM110" t="s">
        <v>2407</v>
      </c>
      <c r="AN110" t="s">
        <v>2408</v>
      </c>
      <c r="AO110" t="s">
        <v>2409</v>
      </c>
      <c r="AP110" t="s">
        <v>2410</v>
      </c>
      <c r="AQ110" t="s">
        <v>74</v>
      </c>
      <c r="AR110" t="s">
        <v>2411</v>
      </c>
      <c r="AS110" t="s">
        <v>2412</v>
      </c>
      <c r="AT110" t="s">
        <v>2413</v>
      </c>
      <c r="AU110">
        <v>2019</v>
      </c>
      <c r="AV110" t="s">
        <v>74</v>
      </c>
      <c r="AW110" t="s">
        <v>74</v>
      </c>
      <c r="AX110" t="s">
        <v>74</v>
      </c>
      <c r="AY110" t="s">
        <v>74</v>
      </c>
      <c r="AZ110">
        <v>93</v>
      </c>
      <c r="BA110" t="s">
        <v>74</v>
      </c>
      <c r="BB110">
        <v>1047</v>
      </c>
      <c r="BC110">
        <v>1052</v>
      </c>
      <c r="BD110" t="s">
        <v>74</v>
      </c>
      <c r="BE110" t="s">
        <v>2414</v>
      </c>
      <c r="BF110" t="str">
        <f>HYPERLINK("http://dx.doi.org/10.2112/SI93-151.1","http://dx.doi.org/10.2112/SI93-151.1")</f>
        <v>http://dx.doi.org/10.2112/SI93-151.1</v>
      </c>
      <c r="BG110" t="s">
        <v>74</v>
      </c>
      <c r="BH110" t="s">
        <v>74</v>
      </c>
      <c r="BI110">
        <v>6</v>
      </c>
      <c r="BJ110" t="s">
        <v>2415</v>
      </c>
      <c r="BK110" t="s">
        <v>98</v>
      </c>
      <c r="BL110" t="s">
        <v>2416</v>
      </c>
      <c r="BM110" t="s">
        <v>2417</v>
      </c>
      <c r="BN110" t="s">
        <v>74</v>
      </c>
      <c r="BO110" t="s">
        <v>74</v>
      </c>
      <c r="BP110" t="s">
        <v>74</v>
      </c>
      <c r="BQ110" t="s">
        <v>74</v>
      </c>
      <c r="BR110" t="s">
        <v>102</v>
      </c>
      <c r="BS110" t="s">
        <v>2418</v>
      </c>
      <c r="BT110" t="str">
        <f>HYPERLINK("https%3A%2F%2Fwww.webofscience.com%2Fwos%2Fwoscc%2Ffull-record%2FWOS:000487997100152","View Full Record in Web of Science")</f>
        <v>View Full Record in Web of Science</v>
      </c>
    </row>
    <row r="111" spans="1:72" x14ac:dyDescent="0.2">
      <c r="A111" t="s">
        <v>72</v>
      </c>
      <c r="B111" t="s">
        <v>2419</v>
      </c>
      <c r="C111" t="s">
        <v>74</v>
      </c>
      <c r="D111" t="s">
        <v>74</v>
      </c>
      <c r="E111" t="s">
        <v>74</v>
      </c>
      <c r="F111" t="s">
        <v>2420</v>
      </c>
      <c r="G111" t="s">
        <v>74</v>
      </c>
      <c r="H111" t="s">
        <v>74</v>
      </c>
      <c r="I111" t="s">
        <v>2421</v>
      </c>
      <c r="J111" t="s">
        <v>2422</v>
      </c>
      <c r="K111" t="s">
        <v>74</v>
      </c>
      <c r="L111" t="s">
        <v>74</v>
      </c>
      <c r="M111" t="s">
        <v>78</v>
      </c>
      <c r="N111" t="s">
        <v>108</v>
      </c>
      <c r="O111" t="s">
        <v>74</v>
      </c>
      <c r="P111" t="s">
        <v>74</v>
      </c>
      <c r="Q111" t="s">
        <v>74</v>
      </c>
      <c r="R111" t="s">
        <v>74</v>
      </c>
      <c r="S111" t="s">
        <v>74</v>
      </c>
      <c r="T111" t="s">
        <v>2423</v>
      </c>
      <c r="U111" t="s">
        <v>2424</v>
      </c>
      <c r="V111" t="s">
        <v>2425</v>
      </c>
      <c r="W111" t="s">
        <v>2426</v>
      </c>
      <c r="X111" t="s">
        <v>2427</v>
      </c>
      <c r="Y111" t="s">
        <v>2428</v>
      </c>
      <c r="Z111" t="s">
        <v>2429</v>
      </c>
      <c r="AA111" t="s">
        <v>2430</v>
      </c>
      <c r="AB111" t="s">
        <v>2431</v>
      </c>
      <c r="AC111" t="s">
        <v>2432</v>
      </c>
      <c r="AD111" t="s">
        <v>2433</v>
      </c>
      <c r="AE111" t="s">
        <v>2434</v>
      </c>
      <c r="AF111" t="s">
        <v>74</v>
      </c>
      <c r="AG111">
        <v>30</v>
      </c>
      <c r="AH111">
        <v>107</v>
      </c>
      <c r="AI111">
        <v>114</v>
      </c>
      <c r="AJ111">
        <v>3</v>
      </c>
      <c r="AK111">
        <v>214</v>
      </c>
      <c r="AL111" t="s">
        <v>259</v>
      </c>
      <c r="AM111" t="s">
        <v>260</v>
      </c>
      <c r="AN111" t="s">
        <v>261</v>
      </c>
      <c r="AO111" t="s">
        <v>2435</v>
      </c>
      <c r="AP111" t="s">
        <v>2436</v>
      </c>
      <c r="AQ111" t="s">
        <v>74</v>
      </c>
      <c r="AR111" t="s">
        <v>2422</v>
      </c>
      <c r="AS111" t="s">
        <v>2437</v>
      </c>
      <c r="AT111" t="s">
        <v>616</v>
      </c>
      <c r="AU111">
        <v>2017</v>
      </c>
      <c r="AV111">
        <v>73</v>
      </c>
      <c r="AW111" t="s">
        <v>74</v>
      </c>
      <c r="AX111" t="s">
        <v>2438</v>
      </c>
      <c r="AY111" t="s">
        <v>74</v>
      </c>
      <c r="AZ111" t="s">
        <v>74</v>
      </c>
      <c r="BA111" t="s">
        <v>74</v>
      </c>
      <c r="BB111">
        <v>223</v>
      </c>
      <c r="BC111">
        <v>229</v>
      </c>
      <c r="BD111" t="s">
        <v>74</v>
      </c>
      <c r="BE111" t="s">
        <v>2439</v>
      </c>
      <c r="BF111" t="str">
        <f>HYPERLINK("http://dx.doi.org/10.1016/j.foodcont.2016.09.048","http://dx.doi.org/10.1016/j.foodcont.2016.09.048")</f>
        <v>http://dx.doi.org/10.1016/j.foodcont.2016.09.048</v>
      </c>
      <c r="BG111" t="s">
        <v>74</v>
      </c>
      <c r="BH111" t="s">
        <v>74</v>
      </c>
      <c r="BI111">
        <v>7</v>
      </c>
      <c r="BJ111" t="s">
        <v>1121</v>
      </c>
      <c r="BK111" t="s">
        <v>98</v>
      </c>
      <c r="BL111" t="s">
        <v>1121</v>
      </c>
      <c r="BM111" t="s">
        <v>2440</v>
      </c>
      <c r="BN111" t="s">
        <v>74</v>
      </c>
      <c r="BO111" t="s">
        <v>74</v>
      </c>
      <c r="BP111" t="s">
        <v>74</v>
      </c>
      <c r="BQ111" t="s">
        <v>74</v>
      </c>
      <c r="BR111" t="s">
        <v>102</v>
      </c>
      <c r="BS111" t="s">
        <v>2441</v>
      </c>
      <c r="BT111" t="str">
        <f>HYPERLINK("https%3A%2F%2Fwww.webofscience.com%2Fwos%2Fwoscc%2Ffull-record%2FWOS:000390965800013","View Full Record in Web of Science")</f>
        <v>View Full Record in Web of Science</v>
      </c>
    </row>
    <row r="112" spans="1:72" x14ac:dyDescent="0.2">
      <c r="A112" t="s">
        <v>72</v>
      </c>
      <c r="B112" t="s">
        <v>2442</v>
      </c>
      <c r="C112" t="s">
        <v>74</v>
      </c>
      <c r="D112" t="s">
        <v>74</v>
      </c>
      <c r="E112" t="s">
        <v>74</v>
      </c>
      <c r="F112" t="s">
        <v>2443</v>
      </c>
      <c r="G112" t="s">
        <v>74</v>
      </c>
      <c r="H112" t="s">
        <v>74</v>
      </c>
      <c r="I112" t="s">
        <v>2444</v>
      </c>
      <c r="J112" t="s">
        <v>2445</v>
      </c>
      <c r="K112" t="s">
        <v>74</v>
      </c>
      <c r="L112" t="s">
        <v>74</v>
      </c>
      <c r="M112" t="s">
        <v>78</v>
      </c>
      <c r="N112" t="s">
        <v>108</v>
      </c>
      <c r="O112" t="s">
        <v>74</v>
      </c>
      <c r="P112" t="s">
        <v>74</v>
      </c>
      <c r="Q112" t="s">
        <v>74</v>
      </c>
      <c r="R112" t="s">
        <v>74</v>
      </c>
      <c r="S112" t="s">
        <v>74</v>
      </c>
      <c r="T112" t="s">
        <v>2446</v>
      </c>
      <c r="U112" t="s">
        <v>2447</v>
      </c>
      <c r="V112" t="s">
        <v>2448</v>
      </c>
      <c r="W112" t="s">
        <v>2449</v>
      </c>
      <c r="X112" t="s">
        <v>2450</v>
      </c>
      <c r="Y112" t="s">
        <v>2451</v>
      </c>
      <c r="Z112" t="s">
        <v>2452</v>
      </c>
      <c r="AA112" t="s">
        <v>2453</v>
      </c>
      <c r="AB112" t="s">
        <v>74</v>
      </c>
      <c r="AC112" t="s">
        <v>2454</v>
      </c>
      <c r="AD112" t="s">
        <v>2455</v>
      </c>
      <c r="AE112" t="s">
        <v>2456</v>
      </c>
      <c r="AF112" t="s">
        <v>74</v>
      </c>
      <c r="AG112">
        <v>35</v>
      </c>
      <c r="AH112">
        <v>1</v>
      </c>
      <c r="AI112">
        <v>1</v>
      </c>
      <c r="AJ112">
        <v>0</v>
      </c>
      <c r="AK112">
        <v>19</v>
      </c>
      <c r="AL112" t="s">
        <v>2457</v>
      </c>
      <c r="AM112" t="s">
        <v>2458</v>
      </c>
      <c r="AN112" t="s">
        <v>2459</v>
      </c>
      <c r="AO112" t="s">
        <v>2460</v>
      </c>
      <c r="AP112" t="s">
        <v>74</v>
      </c>
      <c r="AQ112" t="s">
        <v>74</v>
      </c>
      <c r="AR112" t="s">
        <v>2461</v>
      </c>
      <c r="AS112" t="s">
        <v>120</v>
      </c>
      <c r="AT112" t="s">
        <v>121</v>
      </c>
      <c r="AU112">
        <v>2010</v>
      </c>
      <c r="AV112">
        <v>13</v>
      </c>
      <c r="AW112">
        <v>4</v>
      </c>
      <c r="AX112" t="s">
        <v>74</v>
      </c>
      <c r="AY112" t="s">
        <v>74</v>
      </c>
      <c r="AZ112" t="s">
        <v>74</v>
      </c>
      <c r="BA112" t="s">
        <v>74</v>
      </c>
      <c r="BB112">
        <v>1449</v>
      </c>
      <c r="BC112">
        <v>1465</v>
      </c>
      <c r="BD112" t="s">
        <v>74</v>
      </c>
      <c r="BE112" t="s">
        <v>74</v>
      </c>
      <c r="BF112" t="s">
        <v>74</v>
      </c>
      <c r="BG112" t="s">
        <v>74</v>
      </c>
      <c r="BH112" t="s">
        <v>74</v>
      </c>
      <c r="BI112">
        <v>17</v>
      </c>
      <c r="BJ112" t="s">
        <v>2462</v>
      </c>
      <c r="BK112" t="s">
        <v>98</v>
      </c>
      <c r="BL112" t="s">
        <v>1292</v>
      </c>
      <c r="BM112" t="s">
        <v>2463</v>
      </c>
      <c r="BN112" t="s">
        <v>74</v>
      </c>
      <c r="BO112" t="s">
        <v>74</v>
      </c>
      <c r="BP112" t="s">
        <v>74</v>
      </c>
      <c r="BQ112" t="s">
        <v>74</v>
      </c>
      <c r="BR112" t="s">
        <v>102</v>
      </c>
      <c r="BS112" t="s">
        <v>2464</v>
      </c>
      <c r="BT112" t="str">
        <f>HYPERLINK("https%3A%2F%2Fwww.webofscience.com%2Fwos%2Fwoscc%2Ffull-record%2FWOS:000284339400024","View Full Record in Web of Science")</f>
        <v>View Full Record in Web of Science</v>
      </c>
    </row>
    <row r="113" spans="1:72" x14ac:dyDescent="0.2">
      <c r="A113" t="s">
        <v>72</v>
      </c>
      <c r="B113" t="s">
        <v>2465</v>
      </c>
      <c r="C113" t="s">
        <v>74</v>
      </c>
      <c r="D113" t="s">
        <v>74</v>
      </c>
      <c r="E113" t="s">
        <v>74</v>
      </c>
      <c r="F113" t="s">
        <v>2466</v>
      </c>
      <c r="G113" t="s">
        <v>74</v>
      </c>
      <c r="H113" t="s">
        <v>74</v>
      </c>
      <c r="I113" t="s">
        <v>2467</v>
      </c>
      <c r="J113" t="s">
        <v>2468</v>
      </c>
      <c r="K113" t="s">
        <v>74</v>
      </c>
      <c r="L113" t="s">
        <v>74</v>
      </c>
      <c r="M113" t="s">
        <v>78</v>
      </c>
      <c r="N113" t="s">
        <v>108</v>
      </c>
      <c r="O113" t="s">
        <v>74</v>
      </c>
      <c r="P113" t="s">
        <v>74</v>
      </c>
      <c r="Q113" t="s">
        <v>74</v>
      </c>
      <c r="R113" t="s">
        <v>74</v>
      </c>
      <c r="S113" t="s">
        <v>74</v>
      </c>
      <c r="T113" t="s">
        <v>2469</v>
      </c>
      <c r="U113" t="s">
        <v>2470</v>
      </c>
      <c r="V113" t="s">
        <v>2471</v>
      </c>
      <c r="W113" t="s">
        <v>2472</v>
      </c>
      <c r="X113" t="s">
        <v>2473</v>
      </c>
      <c r="Y113" t="s">
        <v>2474</v>
      </c>
      <c r="Z113" t="s">
        <v>2475</v>
      </c>
      <c r="AA113" t="s">
        <v>74</v>
      </c>
      <c r="AB113" t="s">
        <v>74</v>
      </c>
      <c r="AC113" t="s">
        <v>2476</v>
      </c>
      <c r="AD113" t="s">
        <v>987</v>
      </c>
      <c r="AE113" t="s">
        <v>2477</v>
      </c>
      <c r="AF113" t="s">
        <v>74</v>
      </c>
      <c r="AG113">
        <v>23</v>
      </c>
      <c r="AH113">
        <v>11</v>
      </c>
      <c r="AI113">
        <v>11</v>
      </c>
      <c r="AJ113">
        <v>1</v>
      </c>
      <c r="AK113">
        <v>31</v>
      </c>
      <c r="AL113" t="s">
        <v>2478</v>
      </c>
      <c r="AM113" t="s">
        <v>90</v>
      </c>
      <c r="AN113" t="s">
        <v>2479</v>
      </c>
      <c r="AO113" t="s">
        <v>2480</v>
      </c>
      <c r="AP113" t="s">
        <v>2481</v>
      </c>
      <c r="AQ113" t="s">
        <v>74</v>
      </c>
      <c r="AR113" t="s">
        <v>2468</v>
      </c>
      <c r="AS113" t="s">
        <v>2482</v>
      </c>
      <c r="AT113" t="s">
        <v>846</v>
      </c>
      <c r="AU113">
        <v>2020</v>
      </c>
      <c r="AV113">
        <v>20</v>
      </c>
      <c r="AW113">
        <v>3</v>
      </c>
      <c r="AX113" t="s">
        <v>74</v>
      </c>
      <c r="AY113" t="s">
        <v>74</v>
      </c>
      <c r="AZ113" t="s">
        <v>74</v>
      </c>
      <c r="BA113" t="s">
        <v>74</v>
      </c>
      <c r="BB113">
        <v>963</v>
      </c>
      <c r="BC113">
        <v>974</v>
      </c>
      <c r="BD113" t="s">
        <v>74</v>
      </c>
      <c r="BE113" t="s">
        <v>2483</v>
      </c>
      <c r="BF113" t="str">
        <f>HYPERLINK("http://dx.doi.org/10.2166/ws.2020.013","http://dx.doi.org/10.2166/ws.2020.013")</f>
        <v>http://dx.doi.org/10.2166/ws.2020.013</v>
      </c>
      <c r="BG113" t="s">
        <v>74</v>
      </c>
      <c r="BH113" t="s">
        <v>74</v>
      </c>
      <c r="BI113">
        <v>12</v>
      </c>
      <c r="BJ113" t="s">
        <v>2484</v>
      </c>
      <c r="BK113" t="s">
        <v>98</v>
      </c>
      <c r="BL113" t="s">
        <v>2485</v>
      </c>
      <c r="BM113" t="s">
        <v>2486</v>
      </c>
      <c r="BN113" t="s">
        <v>74</v>
      </c>
      <c r="BO113" t="s">
        <v>804</v>
      </c>
      <c r="BP113" t="s">
        <v>74</v>
      </c>
      <c r="BQ113" t="s">
        <v>74</v>
      </c>
      <c r="BR113" t="s">
        <v>102</v>
      </c>
      <c r="BS113" t="s">
        <v>2487</v>
      </c>
      <c r="BT113" t="str">
        <f>HYPERLINK("https%3A%2F%2Fwww.webofscience.com%2Fwos%2Fwoscc%2Ffull-record%2FWOS:000537271000020","View Full Record in Web of Science")</f>
        <v>View Full Record in Web of Science</v>
      </c>
    </row>
    <row r="114" spans="1:72" x14ac:dyDescent="0.2">
      <c r="A114" t="s">
        <v>72</v>
      </c>
      <c r="B114" t="s">
        <v>2488</v>
      </c>
      <c r="C114" t="s">
        <v>74</v>
      </c>
      <c r="D114" t="s">
        <v>74</v>
      </c>
      <c r="E114" t="s">
        <v>74</v>
      </c>
      <c r="F114" t="s">
        <v>2489</v>
      </c>
      <c r="G114" t="s">
        <v>74</v>
      </c>
      <c r="H114" t="s">
        <v>74</v>
      </c>
      <c r="I114" t="s">
        <v>2490</v>
      </c>
      <c r="J114" t="s">
        <v>2491</v>
      </c>
      <c r="K114" t="s">
        <v>74</v>
      </c>
      <c r="L114" t="s">
        <v>74</v>
      </c>
      <c r="M114" t="s">
        <v>78</v>
      </c>
      <c r="N114" t="s">
        <v>108</v>
      </c>
      <c r="O114" t="s">
        <v>74</v>
      </c>
      <c r="P114" t="s">
        <v>74</v>
      </c>
      <c r="Q114" t="s">
        <v>74</v>
      </c>
      <c r="R114" t="s">
        <v>74</v>
      </c>
      <c r="S114" t="s">
        <v>74</v>
      </c>
      <c r="T114" t="s">
        <v>2492</v>
      </c>
      <c r="U114" t="s">
        <v>74</v>
      </c>
      <c r="V114" t="s">
        <v>2493</v>
      </c>
      <c r="W114" t="s">
        <v>2494</v>
      </c>
      <c r="X114" t="s">
        <v>2495</v>
      </c>
      <c r="Y114" t="s">
        <v>2496</v>
      </c>
      <c r="Z114" t="s">
        <v>2497</v>
      </c>
      <c r="AA114" t="s">
        <v>74</v>
      </c>
      <c r="AB114" t="s">
        <v>2498</v>
      </c>
      <c r="AC114" t="s">
        <v>74</v>
      </c>
      <c r="AD114" t="s">
        <v>74</v>
      </c>
      <c r="AE114" t="s">
        <v>74</v>
      </c>
      <c r="AF114" t="s">
        <v>74</v>
      </c>
      <c r="AG114">
        <v>40</v>
      </c>
      <c r="AH114">
        <v>15</v>
      </c>
      <c r="AI114">
        <v>15</v>
      </c>
      <c r="AJ114">
        <v>0</v>
      </c>
      <c r="AK114">
        <v>16</v>
      </c>
      <c r="AL114" t="s">
        <v>347</v>
      </c>
      <c r="AM114" t="s">
        <v>348</v>
      </c>
      <c r="AN114" t="s">
        <v>349</v>
      </c>
      <c r="AO114" t="s">
        <v>2499</v>
      </c>
      <c r="AP114" t="s">
        <v>2500</v>
      </c>
      <c r="AQ114" t="s">
        <v>74</v>
      </c>
      <c r="AR114" t="s">
        <v>2501</v>
      </c>
      <c r="AS114" t="s">
        <v>2502</v>
      </c>
      <c r="AT114" t="s">
        <v>2503</v>
      </c>
      <c r="AU114">
        <v>2012</v>
      </c>
      <c r="AV114">
        <v>195</v>
      </c>
      <c r="AW114" t="s">
        <v>74</v>
      </c>
      <c r="AX114" t="s">
        <v>74</v>
      </c>
      <c r="AY114" t="s">
        <v>74</v>
      </c>
      <c r="AZ114" t="s">
        <v>74</v>
      </c>
      <c r="BA114" t="s">
        <v>74</v>
      </c>
      <c r="BB114">
        <v>25</v>
      </c>
      <c r="BC114">
        <v>44</v>
      </c>
      <c r="BD114" t="s">
        <v>74</v>
      </c>
      <c r="BE114" t="s">
        <v>2504</v>
      </c>
      <c r="BF114" t="str">
        <f>HYPERLINK("http://dx.doi.org/10.1016/j.ins.2012.01.041","http://dx.doi.org/10.1016/j.ins.2012.01.041")</f>
        <v>http://dx.doi.org/10.1016/j.ins.2012.01.041</v>
      </c>
      <c r="BG114" t="s">
        <v>74</v>
      </c>
      <c r="BH114" t="s">
        <v>74</v>
      </c>
      <c r="BI114">
        <v>20</v>
      </c>
      <c r="BJ114" t="s">
        <v>123</v>
      </c>
      <c r="BK114" t="s">
        <v>98</v>
      </c>
      <c r="BL114" t="s">
        <v>99</v>
      </c>
      <c r="BM114" t="s">
        <v>2505</v>
      </c>
      <c r="BN114" t="s">
        <v>74</v>
      </c>
      <c r="BO114" t="s">
        <v>74</v>
      </c>
      <c r="BP114" t="s">
        <v>74</v>
      </c>
      <c r="BQ114" t="s">
        <v>74</v>
      </c>
      <c r="BR114" t="s">
        <v>102</v>
      </c>
      <c r="BS114" t="s">
        <v>2506</v>
      </c>
      <c r="BT114" t="str">
        <f>HYPERLINK("https%3A%2F%2Fwww.webofscience.com%2Fwos%2Fwoscc%2Ffull-record%2FWOS:000303092800002","View Full Record in Web of Science")</f>
        <v>View Full Record in Web of Science</v>
      </c>
    </row>
    <row r="115" spans="1:72" x14ac:dyDescent="0.2">
      <c r="A115" t="s">
        <v>72</v>
      </c>
      <c r="B115" t="s">
        <v>2507</v>
      </c>
      <c r="C115" t="s">
        <v>74</v>
      </c>
      <c r="D115" t="s">
        <v>74</v>
      </c>
      <c r="E115" t="s">
        <v>74</v>
      </c>
      <c r="F115" t="s">
        <v>2508</v>
      </c>
      <c r="G115" t="s">
        <v>74</v>
      </c>
      <c r="H115" t="s">
        <v>74</v>
      </c>
      <c r="I115" t="s">
        <v>2509</v>
      </c>
      <c r="J115" t="s">
        <v>1467</v>
      </c>
      <c r="K115" t="s">
        <v>74</v>
      </c>
      <c r="L115" t="s">
        <v>74</v>
      </c>
      <c r="M115" t="s">
        <v>78</v>
      </c>
      <c r="N115" t="s">
        <v>108</v>
      </c>
      <c r="O115" t="s">
        <v>74</v>
      </c>
      <c r="P115" t="s">
        <v>74</v>
      </c>
      <c r="Q115" t="s">
        <v>74</v>
      </c>
      <c r="R115" t="s">
        <v>74</v>
      </c>
      <c r="S115" t="s">
        <v>74</v>
      </c>
      <c r="T115" t="s">
        <v>2510</v>
      </c>
      <c r="U115" t="s">
        <v>2511</v>
      </c>
      <c r="V115" t="s">
        <v>2512</v>
      </c>
      <c r="W115" t="s">
        <v>2513</v>
      </c>
      <c r="X115" t="s">
        <v>2514</v>
      </c>
      <c r="Y115" t="s">
        <v>2515</v>
      </c>
      <c r="Z115" t="s">
        <v>2516</v>
      </c>
      <c r="AA115" t="s">
        <v>2517</v>
      </c>
      <c r="AB115" t="s">
        <v>2518</v>
      </c>
      <c r="AC115" t="s">
        <v>74</v>
      </c>
      <c r="AD115" t="s">
        <v>74</v>
      </c>
      <c r="AE115" t="s">
        <v>74</v>
      </c>
      <c r="AF115" t="s">
        <v>74</v>
      </c>
      <c r="AG115">
        <v>31</v>
      </c>
      <c r="AH115">
        <v>45</v>
      </c>
      <c r="AI115">
        <v>46</v>
      </c>
      <c r="AJ115">
        <v>2</v>
      </c>
      <c r="AK115">
        <v>53</v>
      </c>
      <c r="AL115" t="s">
        <v>209</v>
      </c>
      <c r="AM115" t="s">
        <v>210</v>
      </c>
      <c r="AN115" t="s">
        <v>211</v>
      </c>
      <c r="AO115" t="s">
        <v>1478</v>
      </c>
      <c r="AP115" t="s">
        <v>1479</v>
      </c>
      <c r="AQ115" t="s">
        <v>74</v>
      </c>
      <c r="AR115" t="s">
        <v>1480</v>
      </c>
      <c r="AS115" t="s">
        <v>1481</v>
      </c>
      <c r="AT115" t="s">
        <v>394</v>
      </c>
      <c r="AU115">
        <v>2013</v>
      </c>
      <c r="AV115">
        <v>64</v>
      </c>
      <c r="AW115">
        <v>7</v>
      </c>
      <c r="AX115" t="s">
        <v>74</v>
      </c>
      <c r="AY115" t="s">
        <v>74</v>
      </c>
      <c r="AZ115" t="s">
        <v>74</v>
      </c>
      <c r="BA115" t="s">
        <v>74</v>
      </c>
      <c r="BB115">
        <v>776</v>
      </c>
      <c r="BC115">
        <v>784</v>
      </c>
      <c r="BD115" t="s">
        <v>74</v>
      </c>
      <c r="BE115" t="s">
        <v>2519</v>
      </c>
      <c r="BF115" t="str">
        <f>HYPERLINK("http://dx.doi.org/10.1016/j.compind.2013.04.011","http://dx.doi.org/10.1016/j.compind.2013.04.011")</f>
        <v>http://dx.doi.org/10.1016/j.compind.2013.04.011</v>
      </c>
      <c r="BG115" t="s">
        <v>74</v>
      </c>
      <c r="BH115" t="s">
        <v>74</v>
      </c>
      <c r="BI115">
        <v>9</v>
      </c>
      <c r="BJ115" t="s">
        <v>1483</v>
      </c>
      <c r="BK115" t="s">
        <v>98</v>
      </c>
      <c r="BL115" t="s">
        <v>99</v>
      </c>
      <c r="BM115" t="s">
        <v>2520</v>
      </c>
      <c r="BN115" t="s">
        <v>74</v>
      </c>
      <c r="BO115" t="s">
        <v>74</v>
      </c>
      <c r="BP115" t="s">
        <v>74</v>
      </c>
      <c r="BQ115" t="s">
        <v>74</v>
      </c>
      <c r="BR115" t="s">
        <v>102</v>
      </c>
      <c r="BS115" t="s">
        <v>2521</v>
      </c>
      <c r="BT115" t="str">
        <f>HYPERLINK("https%3A%2F%2Fwww.webofscience.com%2Fwos%2Fwoscc%2Ffull-record%2FWOS:000324080300002","View Full Record in Web of Science")</f>
        <v>View Full Record in Web of Science</v>
      </c>
    </row>
    <row r="116" spans="1:72" x14ac:dyDescent="0.2">
      <c r="A116" t="s">
        <v>72</v>
      </c>
      <c r="B116" t="s">
        <v>2522</v>
      </c>
      <c r="C116" t="s">
        <v>74</v>
      </c>
      <c r="D116" t="s">
        <v>74</v>
      </c>
      <c r="E116" t="s">
        <v>74</v>
      </c>
      <c r="F116" t="s">
        <v>2523</v>
      </c>
      <c r="G116" t="s">
        <v>74</v>
      </c>
      <c r="H116" t="s">
        <v>74</v>
      </c>
      <c r="I116" t="s">
        <v>2524</v>
      </c>
      <c r="J116" t="s">
        <v>599</v>
      </c>
      <c r="K116" t="s">
        <v>74</v>
      </c>
      <c r="L116" t="s">
        <v>74</v>
      </c>
      <c r="M116" t="s">
        <v>78</v>
      </c>
      <c r="N116" t="s">
        <v>108</v>
      </c>
      <c r="O116" t="s">
        <v>74</v>
      </c>
      <c r="P116" t="s">
        <v>74</v>
      </c>
      <c r="Q116" t="s">
        <v>74</v>
      </c>
      <c r="R116" t="s">
        <v>74</v>
      </c>
      <c r="S116" t="s">
        <v>74</v>
      </c>
      <c r="T116" t="s">
        <v>2525</v>
      </c>
      <c r="U116" t="s">
        <v>2526</v>
      </c>
      <c r="V116" t="s">
        <v>2527</v>
      </c>
      <c r="W116" t="s">
        <v>2528</v>
      </c>
      <c r="X116" t="s">
        <v>2529</v>
      </c>
      <c r="Y116" t="s">
        <v>2530</v>
      </c>
      <c r="Z116" t="s">
        <v>2531</v>
      </c>
      <c r="AA116" t="s">
        <v>2532</v>
      </c>
      <c r="AB116" t="s">
        <v>2533</v>
      </c>
      <c r="AC116" t="s">
        <v>2534</v>
      </c>
      <c r="AD116" t="s">
        <v>2535</v>
      </c>
      <c r="AE116" t="s">
        <v>2536</v>
      </c>
      <c r="AF116" t="s">
        <v>74</v>
      </c>
      <c r="AG116">
        <v>50</v>
      </c>
      <c r="AH116">
        <v>0</v>
      </c>
      <c r="AI116">
        <v>0</v>
      </c>
      <c r="AJ116">
        <v>3</v>
      </c>
      <c r="AK116">
        <v>3</v>
      </c>
      <c r="AL116" t="s">
        <v>611</v>
      </c>
      <c r="AM116" t="s">
        <v>612</v>
      </c>
      <c r="AN116" t="s">
        <v>613</v>
      </c>
      <c r="AO116" t="s">
        <v>74</v>
      </c>
      <c r="AP116" t="s">
        <v>614</v>
      </c>
      <c r="AQ116" t="s">
        <v>74</v>
      </c>
      <c r="AR116" t="s">
        <v>599</v>
      </c>
      <c r="AS116" t="s">
        <v>615</v>
      </c>
      <c r="AT116" t="s">
        <v>121</v>
      </c>
      <c r="AU116">
        <v>2023</v>
      </c>
      <c r="AV116">
        <v>9</v>
      </c>
      <c r="AW116">
        <v>7</v>
      </c>
      <c r="AX116" t="s">
        <v>74</v>
      </c>
      <c r="AY116" t="s">
        <v>74</v>
      </c>
      <c r="AZ116" t="s">
        <v>74</v>
      </c>
      <c r="BA116" t="s">
        <v>74</v>
      </c>
      <c r="BB116" t="s">
        <v>74</v>
      </c>
      <c r="BC116" t="s">
        <v>74</v>
      </c>
      <c r="BD116" t="s">
        <v>2537</v>
      </c>
      <c r="BE116" t="s">
        <v>2538</v>
      </c>
      <c r="BF116" t="str">
        <f>HYPERLINK("http://dx.doi.org/10.1016/j.heliyon.2023.e17916","http://dx.doi.org/10.1016/j.heliyon.2023.e17916")</f>
        <v>http://dx.doi.org/10.1016/j.heliyon.2023.e17916</v>
      </c>
      <c r="BG116" t="s">
        <v>74</v>
      </c>
      <c r="BH116" t="s">
        <v>74</v>
      </c>
      <c r="BI116">
        <v>21</v>
      </c>
      <c r="BJ116" t="s">
        <v>620</v>
      </c>
      <c r="BK116" t="s">
        <v>98</v>
      </c>
      <c r="BL116" t="s">
        <v>621</v>
      </c>
      <c r="BM116" t="s">
        <v>2539</v>
      </c>
      <c r="BN116">
        <v>37483761</v>
      </c>
      <c r="BO116" t="s">
        <v>623</v>
      </c>
      <c r="BP116" t="s">
        <v>74</v>
      </c>
      <c r="BQ116" t="s">
        <v>74</v>
      </c>
      <c r="BR116" t="s">
        <v>102</v>
      </c>
      <c r="BS116" t="s">
        <v>2540</v>
      </c>
      <c r="BT116" t="str">
        <f>HYPERLINK("https%3A%2F%2Fwww.webofscience.com%2Fwos%2Fwoscc%2Ffull-record%2FWOS:001048289000001","View Full Record in Web of Science")</f>
        <v>View Full Record in Web of Science</v>
      </c>
    </row>
    <row r="117" spans="1:72" x14ac:dyDescent="0.2">
      <c r="A117" t="s">
        <v>72</v>
      </c>
      <c r="B117" t="s">
        <v>2541</v>
      </c>
      <c r="C117" t="s">
        <v>74</v>
      </c>
      <c r="D117" t="s">
        <v>74</v>
      </c>
      <c r="E117" t="s">
        <v>74</v>
      </c>
      <c r="F117" t="s">
        <v>2542</v>
      </c>
      <c r="G117" t="s">
        <v>74</v>
      </c>
      <c r="H117" t="s">
        <v>74</v>
      </c>
      <c r="I117" t="s">
        <v>2543</v>
      </c>
      <c r="J117" t="s">
        <v>2544</v>
      </c>
      <c r="K117" t="s">
        <v>74</v>
      </c>
      <c r="L117" t="s">
        <v>74</v>
      </c>
      <c r="M117" t="s">
        <v>78</v>
      </c>
      <c r="N117" t="s">
        <v>108</v>
      </c>
      <c r="O117" t="s">
        <v>74</v>
      </c>
      <c r="P117" t="s">
        <v>74</v>
      </c>
      <c r="Q117" t="s">
        <v>74</v>
      </c>
      <c r="R117" t="s">
        <v>74</v>
      </c>
      <c r="S117" t="s">
        <v>74</v>
      </c>
      <c r="T117" t="s">
        <v>2545</v>
      </c>
      <c r="U117" t="s">
        <v>2546</v>
      </c>
      <c r="V117" t="s">
        <v>2547</v>
      </c>
      <c r="W117" t="s">
        <v>2548</v>
      </c>
      <c r="X117" t="s">
        <v>2549</v>
      </c>
      <c r="Y117" t="s">
        <v>2550</v>
      </c>
      <c r="Z117" t="s">
        <v>2551</v>
      </c>
      <c r="AA117" t="s">
        <v>74</v>
      </c>
      <c r="AB117" t="s">
        <v>74</v>
      </c>
      <c r="AC117" t="s">
        <v>2552</v>
      </c>
      <c r="AD117" t="s">
        <v>2553</v>
      </c>
      <c r="AE117" t="s">
        <v>2554</v>
      </c>
      <c r="AF117" t="s">
        <v>74</v>
      </c>
      <c r="AG117">
        <v>11</v>
      </c>
      <c r="AH117">
        <v>3</v>
      </c>
      <c r="AI117">
        <v>3</v>
      </c>
      <c r="AJ117">
        <v>3</v>
      </c>
      <c r="AK117">
        <v>20</v>
      </c>
      <c r="AL117" t="s">
        <v>321</v>
      </c>
      <c r="AM117" t="s">
        <v>348</v>
      </c>
      <c r="AN117" t="s">
        <v>2555</v>
      </c>
      <c r="AO117" t="s">
        <v>2556</v>
      </c>
      <c r="AP117" t="s">
        <v>2557</v>
      </c>
      <c r="AQ117" t="s">
        <v>74</v>
      </c>
      <c r="AR117" t="s">
        <v>2558</v>
      </c>
      <c r="AS117" t="s">
        <v>2559</v>
      </c>
      <c r="AT117" t="s">
        <v>121</v>
      </c>
      <c r="AU117">
        <v>2019</v>
      </c>
      <c r="AV117">
        <v>22</v>
      </c>
      <c r="AW117" t="s">
        <v>74</v>
      </c>
      <c r="AX117" t="s">
        <v>74</v>
      </c>
      <c r="AY117">
        <v>4</v>
      </c>
      <c r="AZ117" t="s">
        <v>74</v>
      </c>
      <c r="BA117" t="s">
        <v>74</v>
      </c>
      <c r="BB117" t="s">
        <v>2560</v>
      </c>
      <c r="BC117" t="s">
        <v>2561</v>
      </c>
      <c r="BD117" t="s">
        <v>74</v>
      </c>
      <c r="BE117" t="s">
        <v>2562</v>
      </c>
      <c r="BF117" t="str">
        <f>HYPERLINK("http://dx.doi.org/10.1007/s10586-018-1894-8","http://dx.doi.org/10.1007/s10586-018-1894-8")</f>
        <v>http://dx.doi.org/10.1007/s10586-018-1894-8</v>
      </c>
      <c r="BG117" t="s">
        <v>74</v>
      </c>
      <c r="BH117" t="s">
        <v>74</v>
      </c>
      <c r="BI117">
        <v>12</v>
      </c>
      <c r="BJ117" t="s">
        <v>2563</v>
      </c>
      <c r="BK117" t="s">
        <v>98</v>
      </c>
      <c r="BL117" t="s">
        <v>99</v>
      </c>
      <c r="BM117" t="s">
        <v>2564</v>
      </c>
      <c r="BN117" t="s">
        <v>74</v>
      </c>
      <c r="BO117" t="s">
        <v>74</v>
      </c>
      <c r="BP117" t="s">
        <v>74</v>
      </c>
      <c r="BQ117" t="s">
        <v>74</v>
      </c>
      <c r="BR117" t="s">
        <v>102</v>
      </c>
      <c r="BS117" t="s">
        <v>2565</v>
      </c>
      <c r="BT117" t="str">
        <f>HYPERLINK("https%3A%2F%2Fwww.webofscience.com%2Fwos%2Fwoscc%2Ffull-record%2FWOS:000502007000085","View Full Record in Web of Science")</f>
        <v>View Full Record in Web of Science</v>
      </c>
    </row>
    <row r="118" spans="1:72" x14ac:dyDescent="0.2">
      <c r="A118" t="s">
        <v>72</v>
      </c>
      <c r="B118" t="s">
        <v>2566</v>
      </c>
      <c r="C118" t="s">
        <v>74</v>
      </c>
      <c r="D118" t="s">
        <v>74</v>
      </c>
      <c r="E118" t="s">
        <v>74</v>
      </c>
      <c r="F118" t="s">
        <v>2567</v>
      </c>
      <c r="G118" t="s">
        <v>74</v>
      </c>
      <c r="H118" t="s">
        <v>74</v>
      </c>
      <c r="I118" t="s">
        <v>2568</v>
      </c>
      <c r="J118" t="s">
        <v>1105</v>
      </c>
      <c r="K118" t="s">
        <v>74</v>
      </c>
      <c r="L118" t="s">
        <v>74</v>
      </c>
      <c r="M118" t="s">
        <v>78</v>
      </c>
      <c r="N118" t="s">
        <v>108</v>
      </c>
      <c r="O118" t="s">
        <v>74</v>
      </c>
      <c r="P118" t="s">
        <v>74</v>
      </c>
      <c r="Q118" t="s">
        <v>74</v>
      </c>
      <c r="R118" t="s">
        <v>74</v>
      </c>
      <c r="S118" t="s">
        <v>74</v>
      </c>
      <c r="T118" t="s">
        <v>2569</v>
      </c>
      <c r="U118" t="s">
        <v>2570</v>
      </c>
      <c r="V118" t="s">
        <v>2571</v>
      </c>
      <c r="W118" t="s">
        <v>2572</v>
      </c>
      <c r="X118" t="s">
        <v>2573</v>
      </c>
      <c r="Y118" t="s">
        <v>2574</v>
      </c>
      <c r="Z118" t="s">
        <v>2575</v>
      </c>
      <c r="AA118" t="s">
        <v>74</v>
      </c>
      <c r="AB118" t="s">
        <v>74</v>
      </c>
      <c r="AC118" t="s">
        <v>74</v>
      </c>
      <c r="AD118" t="s">
        <v>74</v>
      </c>
      <c r="AE118" t="s">
        <v>74</v>
      </c>
      <c r="AF118" t="s">
        <v>74</v>
      </c>
      <c r="AG118">
        <v>55</v>
      </c>
      <c r="AH118">
        <v>1</v>
      </c>
      <c r="AI118">
        <v>1</v>
      </c>
      <c r="AJ118">
        <v>23</v>
      </c>
      <c r="AK118">
        <v>23</v>
      </c>
      <c r="AL118" t="s">
        <v>116</v>
      </c>
      <c r="AM118" t="s">
        <v>117</v>
      </c>
      <c r="AN118" t="s">
        <v>118</v>
      </c>
      <c r="AO118" t="s">
        <v>74</v>
      </c>
      <c r="AP118" t="s">
        <v>1118</v>
      </c>
      <c r="AQ118" t="s">
        <v>74</v>
      </c>
      <c r="AR118" t="s">
        <v>1105</v>
      </c>
      <c r="AS118" t="s">
        <v>1119</v>
      </c>
      <c r="AT118" t="s">
        <v>800</v>
      </c>
      <c r="AU118">
        <v>2023</v>
      </c>
      <c r="AV118">
        <v>12</v>
      </c>
      <c r="AW118">
        <v>8</v>
      </c>
      <c r="AX118" t="s">
        <v>74</v>
      </c>
      <c r="AY118" t="s">
        <v>74</v>
      </c>
      <c r="AZ118" t="s">
        <v>74</v>
      </c>
      <c r="BA118" t="s">
        <v>74</v>
      </c>
      <c r="BB118" t="s">
        <v>74</v>
      </c>
      <c r="BC118" t="s">
        <v>74</v>
      </c>
      <c r="BD118">
        <v>1654</v>
      </c>
      <c r="BE118" t="s">
        <v>2576</v>
      </c>
      <c r="BF118" t="str">
        <f>HYPERLINK("http://dx.doi.org/10.3390/foods12081654","http://dx.doi.org/10.3390/foods12081654")</f>
        <v>http://dx.doi.org/10.3390/foods12081654</v>
      </c>
      <c r="BG118" t="s">
        <v>74</v>
      </c>
      <c r="BH118" t="s">
        <v>74</v>
      </c>
      <c r="BI118">
        <v>12</v>
      </c>
      <c r="BJ118" t="s">
        <v>1121</v>
      </c>
      <c r="BK118" t="s">
        <v>98</v>
      </c>
      <c r="BL118" t="s">
        <v>1121</v>
      </c>
      <c r="BM118" t="s">
        <v>2577</v>
      </c>
      <c r="BN118">
        <v>37107449</v>
      </c>
      <c r="BO118" t="s">
        <v>623</v>
      </c>
      <c r="BP118" t="s">
        <v>74</v>
      </c>
      <c r="BQ118" t="s">
        <v>74</v>
      </c>
      <c r="BR118" t="s">
        <v>102</v>
      </c>
      <c r="BS118" t="s">
        <v>2578</v>
      </c>
      <c r="BT118" t="str">
        <f>HYPERLINK("https%3A%2F%2Fwww.webofscience.com%2Fwos%2Fwoscc%2Ffull-record%2FWOS:000977862500001","View Full Record in Web of Science")</f>
        <v>View Full Record in Web of Science</v>
      </c>
    </row>
    <row r="119" spans="1:72" x14ac:dyDescent="0.2">
      <c r="A119" t="s">
        <v>72</v>
      </c>
      <c r="B119" t="s">
        <v>2579</v>
      </c>
      <c r="C119" t="s">
        <v>74</v>
      </c>
      <c r="D119" t="s">
        <v>74</v>
      </c>
      <c r="E119" t="s">
        <v>74</v>
      </c>
      <c r="F119" t="s">
        <v>2580</v>
      </c>
      <c r="G119" t="s">
        <v>74</v>
      </c>
      <c r="H119" t="s">
        <v>74</v>
      </c>
      <c r="I119" t="s">
        <v>2581</v>
      </c>
      <c r="J119" t="s">
        <v>2582</v>
      </c>
      <c r="K119" t="s">
        <v>74</v>
      </c>
      <c r="L119" t="s">
        <v>74</v>
      </c>
      <c r="M119" t="s">
        <v>78</v>
      </c>
      <c r="N119" t="s">
        <v>79</v>
      </c>
      <c r="O119" t="s">
        <v>74</v>
      </c>
      <c r="P119" t="s">
        <v>74</v>
      </c>
      <c r="Q119" t="s">
        <v>74</v>
      </c>
      <c r="R119" t="s">
        <v>74</v>
      </c>
      <c r="S119" t="s">
        <v>74</v>
      </c>
      <c r="T119" t="s">
        <v>2583</v>
      </c>
      <c r="U119" t="s">
        <v>2584</v>
      </c>
      <c r="V119" t="s">
        <v>2585</v>
      </c>
      <c r="W119" t="s">
        <v>2586</v>
      </c>
      <c r="X119" t="s">
        <v>2587</v>
      </c>
      <c r="Y119" t="s">
        <v>2588</v>
      </c>
      <c r="Z119" t="s">
        <v>2589</v>
      </c>
      <c r="AA119" t="s">
        <v>2590</v>
      </c>
      <c r="AB119" t="s">
        <v>2591</v>
      </c>
      <c r="AC119" t="s">
        <v>74</v>
      </c>
      <c r="AD119" t="s">
        <v>74</v>
      </c>
      <c r="AE119" t="s">
        <v>74</v>
      </c>
      <c r="AF119" t="s">
        <v>74</v>
      </c>
      <c r="AG119">
        <v>33</v>
      </c>
      <c r="AH119">
        <v>4</v>
      </c>
      <c r="AI119">
        <v>4</v>
      </c>
      <c r="AJ119">
        <v>3</v>
      </c>
      <c r="AK119">
        <v>25</v>
      </c>
      <c r="AL119" t="s">
        <v>2592</v>
      </c>
      <c r="AM119" t="s">
        <v>2593</v>
      </c>
      <c r="AN119" t="s">
        <v>2594</v>
      </c>
      <c r="AO119" t="s">
        <v>2595</v>
      </c>
      <c r="AP119" t="s">
        <v>74</v>
      </c>
      <c r="AQ119" t="s">
        <v>74</v>
      </c>
      <c r="AR119" t="s">
        <v>2596</v>
      </c>
      <c r="AS119" t="s">
        <v>2597</v>
      </c>
      <c r="AT119" t="s">
        <v>394</v>
      </c>
      <c r="AU119">
        <v>2020</v>
      </c>
      <c r="AV119">
        <v>17</v>
      </c>
      <c r="AW119">
        <v>3</v>
      </c>
      <c r="AX119" t="s">
        <v>74</v>
      </c>
      <c r="AY119" t="s">
        <v>74</v>
      </c>
      <c r="AZ119" t="s">
        <v>570</v>
      </c>
      <c r="BA119" t="s">
        <v>74</v>
      </c>
      <c r="BB119" t="s">
        <v>74</v>
      </c>
      <c r="BC119" t="s">
        <v>74</v>
      </c>
      <c r="BD119" t="s">
        <v>2598</v>
      </c>
      <c r="BE119" t="s">
        <v>2599</v>
      </c>
      <c r="BF119" t="str">
        <f>HYPERLINK("http://dx.doi.org/10.14488/BJOPM.2020.029","http://dx.doi.org/10.14488/BJOPM.2020.029")</f>
        <v>http://dx.doi.org/10.14488/BJOPM.2020.029</v>
      </c>
      <c r="BG119" t="s">
        <v>74</v>
      </c>
      <c r="BH119" t="s">
        <v>74</v>
      </c>
      <c r="BI119">
        <v>14</v>
      </c>
      <c r="BJ119" t="s">
        <v>330</v>
      </c>
      <c r="BK119" t="s">
        <v>124</v>
      </c>
      <c r="BL119" t="s">
        <v>330</v>
      </c>
      <c r="BM119" t="s">
        <v>2600</v>
      </c>
      <c r="BN119" t="s">
        <v>74</v>
      </c>
      <c r="BO119" t="s">
        <v>101</v>
      </c>
      <c r="BP119" t="s">
        <v>74</v>
      </c>
      <c r="BQ119" t="s">
        <v>74</v>
      </c>
      <c r="BR119" t="s">
        <v>102</v>
      </c>
      <c r="BS119" t="s">
        <v>2601</v>
      </c>
      <c r="BT119" t="str">
        <f>HYPERLINK("https%3A%2F%2Fwww.webofscience.com%2Fwos%2Fwoscc%2Ffull-record%2FWOS:000586032300005","View Full Record in Web of Science")</f>
        <v>View Full Record in Web of Science</v>
      </c>
    </row>
    <row r="120" spans="1:72" x14ac:dyDescent="0.2">
      <c r="A120" t="s">
        <v>72</v>
      </c>
      <c r="B120" t="s">
        <v>2602</v>
      </c>
      <c r="C120" t="s">
        <v>74</v>
      </c>
      <c r="D120" t="s">
        <v>74</v>
      </c>
      <c r="E120" t="s">
        <v>74</v>
      </c>
      <c r="F120" t="s">
        <v>2603</v>
      </c>
      <c r="G120" t="s">
        <v>74</v>
      </c>
      <c r="H120" t="s">
        <v>74</v>
      </c>
      <c r="I120" t="s">
        <v>2604</v>
      </c>
      <c r="J120" t="s">
        <v>1317</v>
      </c>
      <c r="K120" t="s">
        <v>74</v>
      </c>
      <c r="L120" t="s">
        <v>74</v>
      </c>
      <c r="M120" t="s">
        <v>78</v>
      </c>
      <c r="N120" t="s">
        <v>108</v>
      </c>
      <c r="O120" t="s">
        <v>74</v>
      </c>
      <c r="P120" t="s">
        <v>74</v>
      </c>
      <c r="Q120" t="s">
        <v>74</v>
      </c>
      <c r="R120" t="s">
        <v>74</v>
      </c>
      <c r="S120" t="s">
        <v>74</v>
      </c>
      <c r="T120" t="s">
        <v>2605</v>
      </c>
      <c r="U120" t="s">
        <v>2606</v>
      </c>
      <c r="V120" t="s">
        <v>2607</v>
      </c>
      <c r="W120" t="s">
        <v>2608</v>
      </c>
      <c r="X120" t="s">
        <v>2609</v>
      </c>
      <c r="Y120" t="s">
        <v>2610</v>
      </c>
      <c r="Z120" t="s">
        <v>2611</v>
      </c>
      <c r="AA120" t="s">
        <v>74</v>
      </c>
      <c r="AB120" t="s">
        <v>74</v>
      </c>
      <c r="AC120" t="s">
        <v>2612</v>
      </c>
      <c r="AD120" t="s">
        <v>2612</v>
      </c>
      <c r="AE120" t="s">
        <v>2613</v>
      </c>
      <c r="AF120" t="s">
        <v>74</v>
      </c>
      <c r="AG120">
        <v>99</v>
      </c>
      <c r="AH120">
        <v>0</v>
      </c>
      <c r="AI120">
        <v>0</v>
      </c>
      <c r="AJ120">
        <v>6</v>
      </c>
      <c r="AK120">
        <v>22</v>
      </c>
      <c r="AL120" t="s">
        <v>437</v>
      </c>
      <c r="AM120" t="s">
        <v>438</v>
      </c>
      <c r="AN120" t="s">
        <v>439</v>
      </c>
      <c r="AO120" t="s">
        <v>1325</v>
      </c>
      <c r="AP120" t="s">
        <v>1326</v>
      </c>
      <c r="AQ120" t="s">
        <v>74</v>
      </c>
      <c r="AR120" t="s">
        <v>1327</v>
      </c>
      <c r="AS120" t="s">
        <v>1328</v>
      </c>
      <c r="AT120" t="s">
        <v>2614</v>
      </c>
      <c r="AU120">
        <v>2023</v>
      </c>
      <c r="AV120">
        <v>30</v>
      </c>
      <c r="AW120">
        <v>2</v>
      </c>
      <c r="AX120" t="s">
        <v>74</v>
      </c>
      <c r="AY120" t="s">
        <v>74</v>
      </c>
      <c r="AZ120" t="s">
        <v>74</v>
      </c>
      <c r="BA120" t="s">
        <v>74</v>
      </c>
      <c r="BB120">
        <v>333</v>
      </c>
      <c r="BC120">
        <v>360</v>
      </c>
      <c r="BD120" t="s">
        <v>74</v>
      </c>
      <c r="BE120" t="s">
        <v>2615</v>
      </c>
      <c r="BF120" t="str">
        <f>HYPERLINK("http://dx.doi.org/10.1108/BIJ-02-2021-0095","http://dx.doi.org/10.1108/BIJ-02-2021-0095")</f>
        <v>http://dx.doi.org/10.1108/BIJ-02-2021-0095</v>
      </c>
      <c r="BG120" t="s">
        <v>74</v>
      </c>
      <c r="BH120" t="s">
        <v>329</v>
      </c>
      <c r="BI120">
        <v>28</v>
      </c>
      <c r="BJ120" t="s">
        <v>418</v>
      </c>
      <c r="BK120" t="s">
        <v>124</v>
      </c>
      <c r="BL120" t="s">
        <v>419</v>
      </c>
      <c r="BM120" t="s">
        <v>2616</v>
      </c>
      <c r="BN120" t="s">
        <v>74</v>
      </c>
      <c r="BO120" t="s">
        <v>74</v>
      </c>
      <c r="BP120" t="s">
        <v>74</v>
      </c>
      <c r="BQ120" t="s">
        <v>74</v>
      </c>
      <c r="BR120" t="s">
        <v>102</v>
      </c>
      <c r="BS120" t="s">
        <v>2617</v>
      </c>
      <c r="BT120" t="str">
        <f>HYPERLINK("https%3A%2F%2Fwww.webofscience.com%2Fwos%2Fwoscc%2Ffull-record%2FWOS:000771602100001","View Full Record in Web of Science")</f>
        <v>View Full Record in Web of Science</v>
      </c>
    </row>
    <row r="121" spans="1:72" x14ac:dyDescent="0.2">
      <c r="A121" t="s">
        <v>72</v>
      </c>
      <c r="B121" t="s">
        <v>2618</v>
      </c>
      <c r="C121" t="s">
        <v>74</v>
      </c>
      <c r="D121" t="s">
        <v>74</v>
      </c>
      <c r="E121" t="s">
        <v>74</v>
      </c>
      <c r="F121" t="s">
        <v>2619</v>
      </c>
      <c r="G121" t="s">
        <v>74</v>
      </c>
      <c r="H121" t="s">
        <v>74</v>
      </c>
      <c r="I121" t="s">
        <v>2620</v>
      </c>
      <c r="J121" t="s">
        <v>2621</v>
      </c>
      <c r="K121" t="s">
        <v>74</v>
      </c>
      <c r="L121" t="s">
        <v>74</v>
      </c>
      <c r="M121" t="s">
        <v>78</v>
      </c>
      <c r="N121" t="s">
        <v>108</v>
      </c>
      <c r="O121" t="s">
        <v>74</v>
      </c>
      <c r="P121" t="s">
        <v>74</v>
      </c>
      <c r="Q121" t="s">
        <v>74</v>
      </c>
      <c r="R121" t="s">
        <v>74</v>
      </c>
      <c r="S121" t="s">
        <v>74</v>
      </c>
      <c r="T121" t="s">
        <v>2622</v>
      </c>
      <c r="U121" t="s">
        <v>2623</v>
      </c>
      <c r="V121" t="s">
        <v>2624</v>
      </c>
      <c r="W121" t="s">
        <v>2625</v>
      </c>
      <c r="X121" t="s">
        <v>2626</v>
      </c>
      <c r="Y121" t="s">
        <v>2627</v>
      </c>
      <c r="Z121" t="s">
        <v>2628</v>
      </c>
      <c r="AA121" t="s">
        <v>2629</v>
      </c>
      <c r="AB121" t="s">
        <v>2630</v>
      </c>
      <c r="AC121" t="s">
        <v>2631</v>
      </c>
      <c r="AD121" t="s">
        <v>2632</v>
      </c>
      <c r="AE121" t="s">
        <v>2633</v>
      </c>
      <c r="AF121" t="s">
        <v>74</v>
      </c>
      <c r="AG121">
        <v>65</v>
      </c>
      <c r="AH121">
        <v>1</v>
      </c>
      <c r="AI121">
        <v>1</v>
      </c>
      <c r="AJ121">
        <v>2</v>
      </c>
      <c r="AK121">
        <v>17</v>
      </c>
      <c r="AL121" t="s">
        <v>2634</v>
      </c>
      <c r="AM121" t="s">
        <v>2635</v>
      </c>
      <c r="AN121" t="s">
        <v>2636</v>
      </c>
      <c r="AO121" t="s">
        <v>2637</v>
      </c>
      <c r="AP121" t="s">
        <v>2638</v>
      </c>
      <c r="AQ121" t="s">
        <v>74</v>
      </c>
      <c r="AR121" t="s">
        <v>2639</v>
      </c>
      <c r="AS121" t="s">
        <v>2640</v>
      </c>
      <c r="AT121" t="s">
        <v>74</v>
      </c>
      <c r="AU121">
        <v>2021</v>
      </c>
      <c r="AV121">
        <v>15</v>
      </c>
      <c r="AW121">
        <v>2</v>
      </c>
      <c r="AX121" t="s">
        <v>74</v>
      </c>
      <c r="AY121" t="s">
        <v>74</v>
      </c>
      <c r="AZ121" t="s">
        <v>74</v>
      </c>
      <c r="BA121" t="s">
        <v>74</v>
      </c>
      <c r="BB121">
        <v>273</v>
      </c>
      <c r="BC121">
        <v>294</v>
      </c>
      <c r="BD121" t="s">
        <v>74</v>
      </c>
      <c r="BE121" t="s">
        <v>2641</v>
      </c>
      <c r="BF121" t="str">
        <f>HYPERLINK("http://dx.doi.org/10.1504/EJIE.2021.114009","http://dx.doi.org/10.1504/EJIE.2021.114009")</f>
        <v>http://dx.doi.org/10.1504/EJIE.2021.114009</v>
      </c>
      <c r="BG121" t="s">
        <v>74</v>
      </c>
      <c r="BH121" t="s">
        <v>74</v>
      </c>
      <c r="BI121">
        <v>22</v>
      </c>
      <c r="BJ121" t="s">
        <v>2642</v>
      </c>
      <c r="BK121" t="s">
        <v>147</v>
      </c>
      <c r="BL121" t="s">
        <v>781</v>
      </c>
      <c r="BM121" t="s">
        <v>2643</v>
      </c>
      <c r="BN121" t="s">
        <v>74</v>
      </c>
      <c r="BO121" t="s">
        <v>1833</v>
      </c>
      <c r="BP121" t="s">
        <v>74</v>
      </c>
      <c r="BQ121" t="s">
        <v>74</v>
      </c>
      <c r="BR121" t="s">
        <v>102</v>
      </c>
      <c r="BS121" t="s">
        <v>2644</v>
      </c>
      <c r="BT121" t="str">
        <f>HYPERLINK("https%3A%2F%2Fwww.webofscience.com%2Fwos%2Fwoscc%2Ffull-record%2FWOS:000637797100005","View Full Record in Web of Science")</f>
        <v>View Full Record in Web of Science</v>
      </c>
    </row>
    <row r="122" spans="1:72" x14ac:dyDescent="0.2">
      <c r="A122" t="s">
        <v>72</v>
      </c>
      <c r="B122" t="s">
        <v>2645</v>
      </c>
      <c r="C122" t="s">
        <v>74</v>
      </c>
      <c r="D122" t="s">
        <v>74</v>
      </c>
      <c r="E122" t="s">
        <v>74</v>
      </c>
      <c r="F122" t="s">
        <v>2646</v>
      </c>
      <c r="G122" t="s">
        <v>74</v>
      </c>
      <c r="H122" t="s">
        <v>74</v>
      </c>
      <c r="I122" t="s">
        <v>2647</v>
      </c>
      <c r="J122" t="s">
        <v>2468</v>
      </c>
      <c r="K122" t="s">
        <v>74</v>
      </c>
      <c r="L122" t="s">
        <v>74</v>
      </c>
      <c r="M122" t="s">
        <v>78</v>
      </c>
      <c r="N122" t="s">
        <v>108</v>
      </c>
      <c r="O122" t="s">
        <v>74</v>
      </c>
      <c r="P122" t="s">
        <v>74</v>
      </c>
      <c r="Q122" t="s">
        <v>74</v>
      </c>
      <c r="R122" t="s">
        <v>74</v>
      </c>
      <c r="S122" t="s">
        <v>74</v>
      </c>
      <c r="T122" t="s">
        <v>2648</v>
      </c>
      <c r="U122" t="s">
        <v>74</v>
      </c>
      <c r="V122" t="s">
        <v>2649</v>
      </c>
      <c r="W122" t="s">
        <v>2650</v>
      </c>
      <c r="X122" t="s">
        <v>2651</v>
      </c>
      <c r="Y122" t="s">
        <v>2652</v>
      </c>
      <c r="Z122" t="s">
        <v>2653</v>
      </c>
      <c r="AA122" t="s">
        <v>2654</v>
      </c>
      <c r="AB122" t="s">
        <v>74</v>
      </c>
      <c r="AC122" t="s">
        <v>2655</v>
      </c>
      <c r="AD122" t="s">
        <v>2656</v>
      </c>
      <c r="AE122" t="s">
        <v>2657</v>
      </c>
      <c r="AF122" t="s">
        <v>74</v>
      </c>
      <c r="AG122">
        <v>14</v>
      </c>
      <c r="AH122">
        <v>3</v>
      </c>
      <c r="AI122">
        <v>3</v>
      </c>
      <c r="AJ122">
        <v>2</v>
      </c>
      <c r="AK122">
        <v>7</v>
      </c>
      <c r="AL122" t="s">
        <v>2478</v>
      </c>
      <c r="AM122" t="s">
        <v>90</v>
      </c>
      <c r="AN122" t="s">
        <v>2479</v>
      </c>
      <c r="AO122" t="s">
        <v>2480</v>
      </c>
      <c r="AP122" t="s">
        <v>2481</v>
      </c>
      <c r="AQ122" t="s">
        <v>74</v>
      </c>
      <c r="AR122" t="s">
        <v>2468</v>
      </c>
      <c r="AS122" t="s">
        <v>2482</v>
      </c>
      <c r="AT122" t="s">
        <v>372</v>
      </c>
      <c r="AU122">
        <v>2022</v>
      </c>
      <c r="AV122">
        <v>22</v>
      </c>
      <c r="AW122">
        <v>1</v>
      </c>
      <c r="AX122" t="s">
        <v>74</v>
      </c>
      <c r="AY122" t="s">
        <v>74</v>
      </c>
      <c r="AZ122" t="s">
        <v>74</v>
      </c>
      <c r="BA122" t="s">
        <v>74</v>
      </c>
      <c r="BB122">
        <v>1131</v>
      </c>
      <c r="BC122">
        <v>1140</v>
      </c>
      <c r="BD122" t="s">
        <v>74</v>
      </c>
      <c r="BE122" t="s">
        <v>2658</v>
      </c>
      <c r="BF122" t="str">
        <f>HYPERLINK("http://dx.doi.org/10.2166/ws.2021.210","http://dx.doi.org/10.2166/ws.2021.210")</f>
        <v>http://dx.doi.org/10.2166/ws.2021.210</v>
      </c>
      <c r="BG122" t="s">
        <v>74</v>
      </c>
      <c r="BH122" t="s">
        <v>1056</v>
      </c>
      <c r="BI122">
        <v>10</v>
      </c>
      <c r="BJ122" t="s">
        <v>2484</v>
      </c>
      <c r="BK122" t="s">
        <v>98</v>
      </c>
      <c r="BL122" t="s">
        <v>2485</v>
      </c>
      <c r="BM122" t="s">
        <v>2659</v>
      </c>
      <c r="BN122" t="s">
        <v>74</v>
      </c>
      <c r="BO122" t="s">
        <v>126</v>
      </c>
      <c r="BP122" t="s">
        <v>74</v>
      </c>
      <c r="BQ122" t="s">
        <v>74</v>
      </c>
      <c r="BR122" t="s">
        <v>102</v>
      </c>
      <c r="BS122" t="s">
        <v>2660</v>
      </c>
      <c r="BT122" t="str">
        <f>HYPERLINK("https%3A%2F%2Fwww.webofscience.com%2Fwos%2Fwoscc%2Ffull-record%2FWOS:000670011300001","View Full Record in Web of Science")</f>
        <v>View Full Record in Web of Science</v>
      </c>
    </row>
    <row r="123" spans="1:72" x14ac:dyDescent="0.2">
      <c r="A123" t="s">
        <v>72</v>
      </c>
      <c r="B123" t="s">
        <v>2661</v>
      </c>
      <c r="C123" t="s">
        <v>74</v>
      </c>
      <c r="D123" t="s">
        <v>74</v>
      </c>
      <c r="E123" t="s">
        <v>74</v>
      </c>
      <c r="F123" t="s">
        <v>2662</v>
      </c>
      <c r="G123" t="s">
        <v>74</v>
      </c>
      <c r="H123" t="s">
        <v>74</v>
      </c>
      <c r="I123" t="s">
        <v>2663</v>
      </c>
      <c r="J123" t="s">
        <v>762</v>
      </c>
      <c r="K123" t="s">
        <v>74</v>
      </c>
      <c r="L123" t="s">
        <v>74</v>
      </c>
      <c r="M123" t="s">
        <v>78</v>
      </c>
      <c r="N123" t="s">
        <v>108</v>
      </c>
      <c r="O123" t="s">
        <v>74</v>
      </c>
      <c r="P123" t="s">
        <v>74</v>
      </c>
      <c r="Q123" t="s">
        <v>74</v>
      </c>
      <c r="R123" t="s">
        <v>74</v>
      </c>
      <c r="S123" t="s">
        <v>74</v>
      </c>
      <c r="T123" t="s">
        <v>2664</v>
      </c>
      <c r="U123" t="s">
        <v>2665</v>
      </c>
      <c r="V123" t="s">
        <v>2666</v>
      </c>
      <c r="W123" t="s">
        <v>2667</v>
      </c>
      <c r="X123" t="s">
        <v>2668</v>
      </c>
      <c r="Y123" t="s">
        <v>2669</v>
      </c>
      <c r="Z123" t="s">
        <v>2670</v>
      </c>
      <c r="AA123" t="s">
        <v>2671</v>
      </c>
      <c r="AB123" t="s">
        <v>2672</v>
      </c>
      <c r="AC123" t="s">
        <v>74</v>
      </c>
      <c r="AD123" t="s">
        <v>74</v>
      </c>
      <c r="AE123" t="s">
        <v>74</v>
      </c>
      <c r="AF123" t="s">
        <v>74</v>
      </c>
      <c r="AG123">
        <v>48</v>
      </c>
      <c r="AH123">
        <v>20</v>
      </c>
      <c r="AI123">
        <v>20</v>
      </c>
      <c r="AJ123">
        <v>3</v>
      </c>
      <c r="AK123">
        <v>31</v>
      </c>
      <c r="AL123" t="s">
        <v>279</v>
      </c>
      <c r="AM123" t="s">
        <v>280</v>
      </c>
      <c r="AN123" t="s">
        <v>281</v>
      </c>
      <c r="AO123" t="s">
        <v>773</v>
      </c>
      <c r="AP123" t="s">
        <v>774</v>
      </c>
      <c r="AQ123" t="s">
        <v>74</v>
      </c>
      <c r="AR123" t="s">
        <v>775</v>
      </c>
      <c r="AS123" t="s">
        <v>776</v>
      </c>
      <c r="AT123" t="s">
        <v>74</v>
      </c>
      <c r="AU123">
        <v>2016</v>
      </c>
      <c r="AV123">
        <v>54</v>
      </c>
      <c r="AW123">
        <v>23</v>
      </c>
      <c r="AX123" t="s">
        <v>74</v>
      </c>
      <c r="AY123" t="s">
        <v>74</v>
      </c>
      <c r="AZ123" t="s">
        <v>570</v>
      </c>
      <c r="BA123" t="s">
        <v>74</v>
      </c>
      <c r="BB123">
        <v>7100</v>
      </c>
      <c r="BC123">
        <v>7114</v>
      </c>
      <c r="BD123" t="s">
        <v>74</v>
      </c>
      <c r="BE123" t="s">
        <v>2673</v>
      </c>
      <c r="BF123" t="str">
        <f>HYPERLINK("http://dx.doi.org/10.1080/00207543.2015.1134842","http://dx.doi.org/10.1080/00207543.2015.1134842")</f>
        <v>http://dx.doi.org/10.1080/00207543.2015.1134842</v>
      </c>
      <c r="BG123" t="s">
        <v>74</v>
      </c>
      <c r="BH123" t="s">
        <v>74</v>
      </c>
      <c r="BI123">
        <v>15</v>
      </c>
      <c r="BJ123" t="s">
        <v>780</v>
      </c>
      <c r="BK123" t="s">
        <v>98</v>
      </c>
      <c r="BL123" t="s">
        <v>781</v>
      </c>
      <c r="BM123" t="s">
        <v>2674</v>
      </c>
      <c r="BN123" t="s">
        <v>74</v>
      </c>
      <c r="BO123" t="s">
        <v>74</v>
      </c>
      <c r="BP123" t="s">
        <v>74</v>
      </c>
      <c r="BQ123" t="s">
        <v>74</v>
      </c>
      <c r="BR123" t="s">
        <v>102</v>
      </c>
      <c r="BS123" t="s">
        <v>2675</v>
      </c>
      <c r="BT123" t="str">
        <f>HYPERLINK("https%3A%2F%2Fwww.webofscience.com%2Fwos%2Fwoscc%2Ffull-record%2FWOS:000386800900014","View Full Record in Web of Science")</f>
        <v>View Full Record in Web of Science</v>
      </c>
    </row>
    <row r="124" spans="1:72" x14ac:dyDescent="0.2">
      <c r="A124" t="s">
        <v>72</v>
      </c>
      <c r="B124" t="s">
        <v>2676</v>
      </c>
      <c r="C124" t="s">
        <v>74</v>
      </c>
      <c r="D124" t="s">
        <v>74</v>
      </c>
      <c r="E124" t="s">
        <v>74</v>
      </c>
      <c r="F124" t="s">
        <v>2677</v>
      </c>
      <c r="G124" t="s">
        <v>74</v>
      </c>
      <c r="H124" t="s">
        <v>74</v>
      </c>
      <c r="I124" t="s">
        <v>2678</v>
      </c>
      <c r="J124" t="s">
        <v>2679</v>
      </c>
      <c r="K124" t="s">
        <v>74</v>
      </c>
      <c r="L124" t="s">
        <v>74</v>
      </c>
      <c r="M124" t="s">
        <v>78</v>
      </c>
      <c r="N124" t="s">
        <v>108</v>
      </c>
      <c r="O124" t="s">
        <v>74</v>
      </c>
      <c r="P124" t="s">
        <v>74</v>
      </c>
      <c r="Q124" t="s">
        <v>74</v>
      </c>
      <c r="R124" t="s">
        <v>74</v>
      </c>
      <c r="S124" t="s">
        <v>74</v>
      </c>
      <c r="T124" t="s">
        <v>74</v>
      </c>
      <c r="U124" t="s">
        <v>74</v>
      </c>
      <c r="V124" t="s">
        <v>74</v>
      </c>
      <c r="W124" t="s">
        <v>2680</v>
      </c>
      <c r="X124" t="s">
        <v>2681</v>
      </c>
      <c r="Y124" t="s">
        <v>2682</v>
      </c>
      <c r="Z124" t="s">
        <v>2683</v>
      </c>
      <c r="AA124" t="s">
        <v>2684</v>
      </c>
      <c r="AB124" t="s">
        <v>2685</v>
      </c>
      <c r="AC124" t="s">
        <v>74</v>
      </c>
      <c r="AD124" t="s">
        <v>74</v>
      </c>
      <c r="AE124" t="s">
        <v>74</v>
      </c>
      <c r="AF124" t="s">
        <v>74</v>
      </c>
      <c r="AG124">
        <v>11</v>
      </c>
      <c r="AH124">
        <v>4</v>
      </c>
      <c r="AI124">
        <v>4</v>
      </c>
      <c r="AJ124">
        <v>0</v>
      </c>
      <c r="AK124">
        <v>14</v>
      </c>
      <c r="AL124" t="s">
        <v>2686</v>
      </c>
      <c r="AM124" t="s">
        <v>2687</v>
      </c>
      <c r="AN124" t="s">
        <v>2688</v>
      </c>
      <c r="AO124" t="s">
        <v>2689</v>
      </c>
      <c r="AP124" t="s">
        <v>2690</v>
      </c>
      <c r="AQ124" t="s">
        <v>74</v>
      </c>
      <c r="AR124" t="s">
        <v>2691</v>
      </c>
      <c r="AS124" t="s">
        <v>2692</v>
      </c>
      <c r="AT124" t="s">
        <v>2693</v>
      </c>
      <c r="AU124">
        <v>2009</v>
      </c>
      <c r="AV124">
        <v>24</v>
      </c>
      <c r="AW124">
        <v>3</v>
      </c>
      <c r="AX124" t="s">
        <v>74</v>
      </c>
      <c r="AY124" t="s">
        <v>74</v>
      </c>
      <c r="AZ124" t="s">
        <v>74</v>
      </c>
      <c r="BA124" t="s">
        <v>74</v>
      </c>
      <c r="BB124">
        <v>54</v>
      </c>
      <c r="BC124">
        <v>63</v>
      </c>
      <c r="BD124" t="s">
        <v>74</v>
      </c>
      <c r="BE124" t="s">
        <v>2694</v>
      </c>
      <c r="BF124" t="str">
        <f>HYPERLINK("http://dx.doi.org/10.1109/MIS.2009.51","http://dx.doi.org/10.1109/MIS.2009.51")</f>
        <v>http://dx.doi.org/10.1109/MIS.2009.51</v>
      </c>
      <c r="BG124" t="s">
        <v>74</v>
      </c>
      <c r="BH124" t="s">
        <v>74</v>
      </c>
      <c r="BI124">
        <v>10</v>
      </c>
      <c r="BJ124" t="s">
        <v>1057</v>
      </c>
      <c r="BK124" t="s">
        <v>98</v>
      </c>
      <c r="BL124" t="s">
        <v>269</v>
      </c>
      <c r="BM124" t="s">
        <v>2695</v>
      </c>
      <c r="BN124" t="s">
        <v>74</v>
      </c>
      <c r="BO124" t="s">
        <v>74</v>
      </c>
      <c r="BP124" t="s">
        <v>74</v>
      </c>
      <c r="BQ124" t="s">
        <v>74</v>
      </c>
      <c r="BR124" t="s">
        <v>102</v>
      </c>
      <c r="BS124" t="s">
        <v>2696</v>
      </c>
      <c r="BT124" t="str">
        <f>HYPERLINK("https%3A%2F%2Fwww.webofscience.com%2Fwos%2Fwoscc%2Ffull-record%2FWOS:000266330000010","View Full Record in Web of Science")</f>
        <v>View Full Record in Web of Science</v>
      </c>
    </row>
    <row r="125" spans="1:72" x14ac:dyDescent="0.2">
      <c r="A125" t="s">
        <v>72</v>
      </c>
      <c r="B125" t="s">
        <v>2697</v>
      </c>
      <c r="C125" t="s">
        <v>74</v>
      </c>
      <c r="D125" t="s">
        <v>74</v>
      </c>
      <c r="E125" t="s">
        <v>74</v>
      </c>
      <c r="F125" t="s">
        <v>2698</v>
      </c>
      <c r="G125" t="s">
        <v>74</v>
      </c>
      <c r="H125" t="s">
        <v>74</v>
      </c>
      <c r="I125" t="s">
        <v>2699</v>
      </c>
      <c r="J125" t="s">
        <v>2700</v>
      </c>
      <c r="K125" t="s">
        <v>74</v>
      </c>
      <c r="L125" t="s">
        <v>74</v>
      </c>
      <c r="M125" t="s">
        <v>78</v>
      </c>
      <c r="N125" t="s">
        <v>108</v>
      </c>
      <c r="O125" t="s">
        <v>74</v>
      </c>
      <c r="P125" t="s">
        <v>74</v>
      </c>
      <c r="Q125" t="s">
        <v>74</v>
      </c>
      <c r="R125" t="s">
        <v>74</v>
      </c>
      <c r="S125" t="s">
        <v>74</v>
      </c>
      <c r="T125" t="s">
        <v>2701</v>
      </c>
      <c r="U125" t="s">
        <v>2702</v>
      </c>
      <c r="V125" t="s">
        <v>2703</v>
      </c>
      <c r="W125" t="s">
        <v>2704</v>
      </c>
      <c r="X125" t="s">
        <v>2705</v>
      </c>
      <c r="Y125" t="s">
        <v>2706</v>
      </c>
      <c r="Z125" t="s">
        <v>2707</v>
      </c>
      <c r="AA125" t="s">
        <v>2708</v>
      </c>
      <c r="AB125" t="s">
        <v>2709</v>
      </c>
      <c r="AC125" t="s">
        <v>74</v>
      </c>
      <c r="AD125" t="s">
        <v>74</v>
      </c>
      <c r="AE125" t="s">
        <v>74</v>
      </c>
      <c r="AF125" t="s">
        <v>74</v>
      </c>
      <c r="AG125">
        <v>57</v>
      </c>
      <c r="AH125">
        <v>0</v>
      </c>
      <c r="AI125">
        <v>0</v>
      </c>
      <c r="AJ125">
        <v>15</v>
      </c>
      <c r="AK125">
        <v>15</v>
      </c>
      <c r="AL125" t="s">
        <v>347</v>
      </c>
      <c r="AM125" t="s">
        <v>348</v>
      </c>
      <c r="AN125" t="s">
        <v>349</v>
      </c>
      <c r="AO125" t="s">
        <v>2710</v>
      </c>
      <c r="AP125" t="s">
        <v>2711</v>
      </c>
      <c r="AQ125" t="s">
        <v>74</v>
      </c>
      <c r="AR125" t="s">
        <v>2712</v>
      </c>
      <c r="AS125" t="s">
        <v>2713</v>
      </c>
      <c r="AT125" t="s">
        <v>416</v>
      </c>
      <c r="AU125">
        <v>2023</v>
      </c>
      <c r="AV125">
        <v>87</v>
      </c>
      <c r="AW125" t="s">
        <v>74</v>
      </c>
      <c r="AX125" t="s">
        <v>2438</v>
      </c>
      <c r="AY125" t="s">
        <v>74</v>
      </c>
      <c r="AZ125" t="s">
        <v>74</v>
      </c>
      <c r="BA125" t="s">
        <v>74</v>
      </c>
      <c r="BB125" t="s">
        <v>74</v>
      </c>
      <c r="BC125" t="s">
        <v>74</v>
      </c>
      <c r="BD125">
        <v>101602</v>
      </c>
      <c r="BE125" t="s">
        <v>2714</v>
      </c>
      <c r="BF125" t="str">
        <f>HYPERLINK("http://dx.doi.org/10.1016/j.seps.2023.101602","http://dx.doi.org/10.1016/j.seps.2023.101602")</f>
        <v>http://dx.doi.org/10.1016/j.seps.2023.101602</v>
      </c>
      <c r="BG125" t="s">
        <v>74</v>
      </c>
      <c r="BH125" t="s">
        <v>930</v>
      </c>
      <c r="BI125">
        <v>18</v>
      </c>
      <c r="BJ125" t="s">
        <v>2715</v>
      </c>
      <c r="BK125" t="s">
        <v>147</v>
      </c>
      <c r="BL125" t="s">
        <v>525</v>
      </c>
      <c r="BM125" t="s">
        <v>2716</v>
      </c>
      <c r="BN125">
        <v>37255585</v>
      </c>
      <c r="BO125" t="s">
        <v>726</v>
      </c>
      <c r="BP125" t="s">
        <v>74</v>
      </c>
      <c r="BQ125" t="s">
        <v>74</v>
      </c>
      <c r="BR125" t="s">
        <v>102</v>
      </c>
      <c r="BS125" t="s">
        <v>2717</v>
      </c>
      <c r="BT125" t="str">
        <f>HYPERLINK("https%3A%2F%2Fwww.webofscience.com%2Fwos%2Fwoscc%2Ffull-record%2FWOS:001009917900001","View Full Record in Web of Science")</f>
        <v>View Full Record in Web of Science</v>
      </c>
    </row>
    <row r="126" spans="1:72" x14ac:dyDescent="0.2">
      <c r="A126" t="s">
        <v>72</v>
      </c>
      <c r="B126" t="s">
        <v>2718</v>
      </c>
      <c r="C126" t="s">
        <v>74</v>
      </c>
      <c r="D126" t="s">
        <v>74</v>
      </c>
      <c r="E126" t="s">
        <v>74</v>
      </c>
      <c r="F126" t="s">
        <v>2719</v>
      </c>
      <c r="G126" t="s">
        <v>74</v>
      </c>
      <c r="H126" t="s">
        <v>74</v>
      </c>
      <c r="I126" t="s">
        <v>2720</v>
      </c>
      <c r="J126" t="s">
        <v>2721</v>
      </c>
      <c r="K126" t="s">
        <v>74</v>
      </c>
      <c r="L126" t="s">
        <v>74</v>
      </c>
      <c r="M126" t="s">
        <v>78</v>
      </c>
      <c r="N126" t="s">
        <v>108</v>
      </c>
      <c r="O126" t="s">
        <v>74</v>
      </c>
      <c r="P126" t="s">
        <v>74</v>
      </c>
      <c r="Q126" t="s">
        <v>74</v>
      </c>
      <c r="R126" t="s">
        <v>74</v>
      </c>
      <c r="S126" t="s">
        <v>74</v>
      </c>
      <c r="T126" t="s">
        <v>2722</v>
      </c>
      <c r="U126" t="s">
        <v>2723</v>
      </c>
      <c r="V126" t="s">
        <v>2724</v>
      </c>
      <c r="W126" t="s">
        <v>2725</v>
      </c>
      <c r="X126" t="s">
        <v>2726</v>
      </c>
      <c r="Y126" t="s">
        <v>2727</v>
      </c>
      <c r="Z126" t="s">
        <v>2728</v>
      </c>
      <c r="AA126" t="s">
        <v>2729</v>
      </c>
      <c r="AB126" t="s">
        <v>2730</v>
      </c>
      <c r="AC126" t="s">
        <v>2731</v>
      </c>
      <c r="AD126" t="s">
        <v>2732</v>
      </c>
      <c r="AE126" t="s">
        <v>2733</v>
      </c>
      <c r="AF126" t="s">
        <v>74</v>
      </c>
      <c r="AG126">
        <v>30</v>
      </c>
      <c r="AH126">
        <v>0</v>
      </c>
      <c r="AI126">
        <v>0</v>
      </c>
      <c r="AJ126">
        <v>5</v>
      </c>
      <c r="AK126">
        <v>5</v>
      </c>
      <c r="AL126" t="s">
        <v>543</v>
      </c>
      <c r="AM126" t="s">
        <v>260</v>
      </c>
      <c r="AN126" t="s">
        <v>544</v>
      </c>
      <c r="AO126" t="s">
        <v>2734</v>
      </c>
      <c r="AP126" t="s">
        <v>2735</v>
      </c>
      <c r="AQ126" t="s">
        <v>74</v>
      </c>
      <c r="AR126" t="s">
        <v>2736</v>
      </c>
      <c r="AS126" t="s">
        <v>2737</v>
      </c>
      <c r="AT126" t="s">
        <v>121</v>
      </c>
      <c r="AU126">
        <v>2023</v>
      </c>
      <c r="AV126">
        <v>109</v>
      </c>
      <c r="AW126" t="s">
        <v>74</v>
      </c>
      <c r="AX126" t="s">
        <v>2738</v>
      </c>
      <c r="AY126" t="s">
        <v>74</v>
      </c>
      <c r="AZ126" t="s">
        <v>74</v>
      </c>
      <c r="BA126" t="s">
        <v>74</v>
      </c>
      <c r="BB126" t="s">
        <v>74</v>
      </c>
      <c r="BC126" t="s">
        <v>74</v>
      </c>
      <c r="BD126">
        <v>108768</v>
      </c>
      <c r="BE126" t="s">
        <v>2739</v>
      </c>
      <c r="BF126" t="str">
        <f>HYPERLINK("http://dx.doi.org/10.1016/j.compeleceng.2023.108768","http://dx.doi.org/10.1016/j.compeleceng.2023.108768")</f>
        <v>http://dx.doi.org/10.1016/j.compeleceng.2023.108768</v>
      </c>
      <c r="BG126" t="s">
        <v>74</v>
      </c>
      <c r="BH126" t="s">
        <v>930</v>
      </c>
      <c r="BI126">
        <v>16</v>
      </c>
      <c r="BJ126" t="s">
        <v>2740</v>
      </c>
      <c r="BK126" t="s">
        <v>98</v>
      </c>
      <c r="BL126" t="s">
        <v>269</v>
      </c>
      <c r="BM126" t="s">
        <v>2741</v>
      </c>
      <c r="BN126" t="s">
        <v>74</v>
      </c>
      <c r="BO126" t="s">
        <v>74</v>
      </c>
      <c r="BP126" t="s">
        <v>74</v>
      </c>
      <c r="BQ126" t="s">
        <v>74</v>
      </c>
      <c r="BR126" t="s">
        <v>102</v>
      </c>
      <c r="BS126" t="s">
        <v>2742</v>
      </c>
      <c r="BT126" t="str">
        <f>HYPERLINK("https%3A%2F%2Fwww.webofscience.com%2Fwos%2Fwoscc%2Ffull-record%2FWOS:001006685100001","View Full Record in Web of Science")</f>
        <v>View Full Record in Web of Science</v>
      </c>
    </row>
    <row r="127" spans="1:72" x14ac:dyDescent="0.2">
      <c r="A127" t="s">
        <v>72</v>
      </c>
      <c r="B127" t="s">
        <v>2743</v>
      </c>
      <c r="C127" t="s">
        <v>74</v>
      </c>
      <c r="D127" t="s">
        <v>74</v>
      </c>
      <c r="E127" t="s">
        <v>74</v>
      </c>
      <c r="F127" t="s">
        <v>2744</v>
      </c>
      <c r="G127" t="s">
        <v>74</v>
      </c>
      <c r="H127" t="s">
        <v>74</v>
      </c>
      <c r="I127" t="s">
        <v>2745</v>
      </c>
      <c r="J127" t="s">
        <v>2746</v>
      </c>
      <c r="K127" t="s">
        <v>74</v>
      </c>
      <c r="L127" t="s">
        <v>74</v>
      </c>
      <c r="M127" t="s">
        <v>78</v>
      </c>
      <c r="N127" t="s">
        <v>917</v>
      </c>
      <c r="O127" t="s">
        <v>74</v>
      </c>
      <c r="P127" t="s">
        <v>74</v>
      </c>
      <c r="Q127" t="s">
        <v>74</v>
      </c>
      <c r="R127" t="s">
        <v>74</v>
      </c>
      <c r="S127" t="s">
        <v>74</v>
      </c>
      <c r="T127" t="s">
        <v>2747</v>
      </c>
      <c r="U127" t="s">
        <v>74</v>
      </c>
      <c r="V127" t="s">
        <v>2748</v>
      </c>
      <c r="W127" t="s">
        <v>2749</v>
      </c>
      <c r="X127" t="s">
        <v>74</v>
      </c>
      <c r="Y127" t="s">
        <v>2750</v>
      </c>
      <c r="Z127" t="s">
        <v>2751</v>
      </c>
      <c r="AA127" t="s">
        <v>74</v>
      </c>
      <c r="AB127" t="s">
        <v>74</v>
      </c>
      <c r="AC127" t="s">
        <v>74</v>
      </c>
      <c r="AD127" t="s">
        <v>74</v>
      </c>
      <c r="AE127" t="s">
        <v>74</v>
      </c>
      <c r="AF127" t="s">
        <v>74</v>
      </c>
      <c r="AG127">
        <v>15</v>
      </c>
      <c r="AH127">
        <v>0</v>
      </c>
      <c r="AI127">
        <v>0</v>
      </c>
      <c r="AJ127">
        <v>11</v>
      </c>
      <c r="AK127">
        <v>15</v>
      </c>
      <c r="AL127" t="s">
        <v>2752</v>
      </c>
      <c r="AM127" t="s">
        <v>2753</v>
      </c>
      <c r="AN127" t="s">
        <v>2754</v>
      </c>
      <c r="AO127" t="s">
        <v>2755</v>
      </c>
      <c r="AP127" t="s">
        <v>2756</v>
      </c>
      <c r="AQ127" t="s">
        <v>74</v>
      </c>
      <c r="AR127" t="s">
        <v>2757</v>
      </c>
      <c r="AS127" t="s">
        <v>2758</v>
      </c>
      <c r="AT127" t="s">
        <v>2759</v>
      </c>
      <c r="AU127">
        <v>2022</v>
      </c>
      <c r="AV127" t="s">
        <v>74</v>
      </c>
      <c r="AW127" t="s">
        <v>74</v>
      </c>
      <c r="AX127" t="s">
        <v>74</v>
      </c>
      <c r="AY127" t="s">
        <v>74</v>
      </c>
      <c r="AZ127" t="s">
        <v>74</v>
      </c>
      <c r="BA127" t="s">
        <v>74</v>
      </c>
      <c r="BB127" t="s">
        <v>74</v>
      </c>
      <c r="BC127" t="s">
        <v>74</v>
      </c>
      <c r="BD127">
        <v>2242002</v>
      </c>
      <c r="BE127" t="s">
        <v>2760</v>
      </c>
      <c r="BF127" t="str">
        <f>HYPERLINK("http://dx.doi.org/10.1142/S0219265922420026","http://dx.doi.org/10.1142/S0219265922420026")</f>
        <v>http://dx.doi.org/10.1142/S0219265922420026</v>
      </c>
      <c r="BG127" t="s">
        <v>74</v>
      </c>
      <c r="BH127" t="s">
        <v>218</v>
      </c>
      <c r="BI127">
        <v>13</v>
      </c>
      <c r="BJ127" t="s">
        <v>97</v>
      </c>
      <c r="BK127" t="s">
        <v>124</v>
      </c>
      <c r="BL127" t="s">
        <v>99</v>
      </c>
      <c r="BM127" t="s">
        <v>2761</v>
      </c>
      <c r="BN127" t="s">
        <v>74</v>
      </c>
      <c r="BO127" t="s">
        <v>74</v>
      </c>
      <c r="BP127" t="s">
        <v>74</v>
      </c>
      <c r="BQ127" t="s">
        <v>74</v>
      </c>
      <c r="BR127" t="s">
        <v>102</v>
      </c>
      <c r="BS127" t="s">
        <v>2762</v>
      </c>
      <c r="BT127" t="str">
        <f>HYPERLINK("https%3A%2F%2Fwww.webofscience.com%2Fwos%2Fwoscc%2Ffull-record%2FWOS:000886744200002","View Full Record in Web of Science")</f>
        <v>View Full Record in Web of Science</v>
      </c>
    </row>
    <row r="128" spans="1:72" x14ac:dyDescent="0.2">
      <c r="A128" t="s">
        <v>72</v>
      </c>
      <c r="B128" t="s">
        <v>2763</v>
      </c>
      <c r="C128" t="s">
        <v>74</v>
      </c>
      <c r="D128" t="s">
        <v>74</v>
      </c>
      <c r="E128" t="s">
        <v>74</v>
      </c>
      <c r="F128" t="s">
        <v>2764</v>
      </c>
      <c r="G128" t="s">
        <v>74</v>
      </c>
      <c r="H128" t="s">
        <v>74</v>
      </c>
      <c r="I128" t="s">
        <v>2765</v>
      </c>
      <c r="J128" t="s">
        <v>976</v>
      </c>
      <c r="K128" t="s">
        <v>74</v>
      </c>
      <c r="L128" t="s">
        <v>74</v>
      </c>
      <c r="M128" t="s">
        <v>78</v>
      </c>
      <c r="N128" t="s">
        <v>108</v>
      </c>
      <c r="O128" t="s">
        <v>74</v>
      </c>
      <c r="P128" t="s">
        <v>74</v>
      </c>
      <c r="Q128" t="s">
        <v>74</v>
      </c>
      <c r="R128" t="s">
        <v>74</v>
      </c>
      <c r="S128" t="s">
        <v>74</v>
      </c>
      <c r="T128" t="s">
        <v>2766</v>
      </c>
      <c r="U128" t="s">
        <v>2767</v>
      </c>
      <c r="V128" t="s">
        <v>2768</v>
      </c>
      <c r="W128" t="s">
        <v>2769</v>
      </c>
      <c r="X128" t="s">
        <v>2770</v>
      </c>
      <c r="Y128" t="s">
        <v>2771</v>
      </c>
      <c r="Z128" t="s">
        <v>2772</v>
      </c>
      <c r="AA128" t="s">
        <v>2773</v>
      </c>
      <c r="AB128" t="s">
        <v>2774</v>
      </c>
      <c r="AC128" t="s">
        <v>2775</v>
      </c>
      <c r="AD128" t="s">
        <v>2776</v>
      </c>
      <c r="AE128" t="s">
        <v>2777</v>
      </c>
      <c r="AF128" t="s">
        <v>74</v>
      </c>
      <c r="AG128">
        <v>65</v>
      </c>
      <c r="AH128">
        <v>16</v>
      </c>
      <c r="AI128">
        <v>16</v>
      </c>
      <c r="AJ128">
        <v>5</v>
      </c>
      <c r="AK128">
        <v>37</v>
      </c>
      <c r="AL128" t="s">
        <v>259</v>
      </c>
      <c r="AM128" t="s">
        <v>260</v>
      </c>
      <c r="AN128" t="s">
        <v>261</v>
      </c>
      <c r="AO128" t="s">
        <v>989</v>
      </c>
      <c r="AP128" t="s">
        <v>990</v>
      </c>
      <c r="AQ128" t="s">
        <v>74</v>
      </c>
      <c r="AR128" t="s">
        <v>991</v>
      </c>
      <c r="AS128" t="s">
        <v>992</v>
      </c>
      <c r="AT128" t="s">
        <v>2778</v>
      </c>
      <c r="AU128">
        <v>2021</v>
      </c>
      <c r="AV128">
        <v>291</v>
      </c>
      <c r="AW128" t="s">
        <v>74</v>
      </c>
      <c r="AX128" t="s">
        <v>74</v>
      </c>
      <c r="AY128" t="s">
        <v>74</v>
      </c>
      <c r="AZ128" t="s">
        <v>74</v>
      </c>
      <c r="BA128" t="s">
        <v>74</v>
      </c>
      <c r="BB128" t="s">
        <v>74</v>
      </c>
      <c r="BC128" t="s">
        <v>74</v>
      </c>
      <c r="BD128">
        <v>125702</v>
      </c>
      <c r="BE128" t="s">
        <v>2779</v>
      </c>
      <c r="BF128" t="str">
        <f>HYPERLINK("http://dx.doi.org/10.1016/j.jclepro.2020.125702","http://dx.doi.org/10.1016/j.jclepro.2020.125702")</f>
        <v>http://dx.doi.org/10.1016/j.jclepro.2020.125702</v>
      </c>
      <c r="BG128" t="s">
        <v>74</v>
      </c>
      <c r="BH128" t="s">
        <v>2780</v>
      </c>
      <c r="BI128">
        <v>33</v>
      </c>
      <c r="BJ128" t="s">
        <v>995</v>
      </c>
      <c r="BK128" t="s">
        <v>147</v>
      </c>
      <c r="BL128" t="s">
        <v>996</v>
      </c>
      <c r="BM128" t="s">
        <v>2781</v>
      </c>
      <c r="BN128" t="s">
        <v>74</v>
      </c>
      <c r="BO128" t="s">
        <v>74</v>
      </c>
      <c r="BP128" t="s">
        <v>74</v>
      </c>
      <c r="BQ128" t="s">
        <v>74</v>
      </c>
      <c r="BR128" t="s">
        <v>102</v>
      </c>
      <c r="BS128" t="s">
        <v>2782</v>
      </c>
      <c r="BT128" t="str">
        <f>HYPERLINK("https%3A%2F%2Fwww.webofscience.com%2Fwos%2Fwoscc%2Ffull-record%2FWOS:000624673800010","View Full Record in Web of Science")</f>
        <v>View Full Record in Web of Science</v>
      </c>
    </row>
    <row r="129" spans="1:72" x14ac:dyDescent="0.2">
      <c r="A129" t="s">
        <v>72</v>
      </c>
      <c r="B129" t="s">
        <v>2783</v>
      </c>
      <c r="C129" t="s">
        <v>74</v>
      </c>
      <c r="D129" t="s">
        <v>74</v>
      </c>
      <c r="E129" t="s">
        <v>74</v>
      </c>
      <c r="F129" t="s">
        <v>2784</v>
      </c>
      <c r="G129" t="s">
        <v>74</v>
      </c>
      <c r="H129" t="s">
        <v>74</v>
      </c>
      <c r="I129" t="s">
        <v>2785</v>
      </c>
      <c r="J129" t="s">
        <v>1081</v>
      </c>
      <c r="K129" t="s">
        <v>74</v>
      </c>
      <c r="L129" t="s">
        <v>74</v>
      </c>
      <c r="M129" t="s">
        <v>78</v>
      </c>
      <c r="N129" t="s">
        <v>108</v>
      </c>
      <c r="O129" t="s">
        <v>74</v>
      </c>
      <c r="P129" t="s">
        <v>74</v>
      </c>
      <c r="Q129" t="s">
        <v>74</v>
      </c>
      <c r="R129" t="s">
        <v>74</v>
      </c>
      <c r="S129" t="s">
        <v>74</v>
      </c>
      <c r="T129" t="s">
        <v>2786</v>
      </c>
      <c r="U129" t="s">
        <v>2787</v>
      </c>
      <c r="V129" t="s">
        <v>2788</v>
      </c>
      <c r="W129" t="s">
        <v>2789</v>
      </c>
      <c r="X129" t="s">
        <v>2790</v>
      </c>
      <c r="Y129" t="s">
        <v>2791</v>
      </c>
      <c r="Z129" t="s">
        <v>2792</v>
      </c>
      <c r="AA129" t="s">
        <v>2793</v>
      </c>
      <c r="AB129" t="s">
        <v>2794</v>
      </c>
      <c r="AC129" t="s">
        <v>2795</v>
      </c>
      <c r="AD129" t="s">
        <v>2796</v>
      </c>
      <c r="AE129" t="s">
        <v>2797</v>
      </c>
      <c r="AF129" t="s">
        <v>74</v>
      </c>
      <c r="AG129">
        <v>27</v>
      </c>
      <c r="AH129">
        <v>15</v>
      </c>
      <c r="AI129">
        <v>15</v>
      </c>
      <c r="AJ129">
        <v>2</v>
      </c>
      <c r="AK129">
        <v>38</v>
      </c>
      <c r="AL129" t="s">
        <v>279</v>
      </c>
      <c r="AM129" t="s">
        <v>280</v>
      </c>
      <c r="AN129" t="s">
        <v>281</v>
      </c>
      <c r="AO129" t="s">
        <v>1093</v>
      </c>
      <c r="AP129" t="s">
        <v>1094</v>
      </c>
      <c r="AQ129" t="s">
        <v>74</v>
      </c>
      <c r="AR129" t="s">
        <v>1095</v>
      </c>
      <c r="AS129" t="s">
        <v>1096</v>
      </c>
      <c r="AT129" t="s">
        <v>74</v>
      </c>
      <c r="AU129">
        <v>2014</v>
      </c>
      <c r="AV129">
        <v>25</v>
      </c>
      <c r="AW129">
        <v>11</v>
      </c>
      <c r="AX129" t="s">
        <v>74</v>
      </c>
      <c r="AY129" t="s">
        <v>74</v>
      </c>
      <c r="AZ129" t="s">
        <v>74</v>
      </c>
      <c r="BA129" t="s">
        <v>74</v>
      </c>
      <c r="BB129">
        <v>912</v>
      </c>
      <c r="BC129">
        <v>922</v>
      </c>
      <c r="BD129" t="s">
        <v>74</v>
      </c>
      <c r="BE129" t="s">
        <v>2798</v>
      </c>
      <c r="BF129" t="str">
        <f>HYPERLINK("http://dx.doi.org/10.1080/09537287.2013.780313","http://dx.doi.org/10.1080/09537287.2013.780313")</f>
        <v>http://dx.doi.org/10.1080/09537287.2013.780313</v>
      </c>
      <c r="BG129" t="s">
        <v>74</v>
      </c>
      <c r="BH129" t="s">
        <v>74</v>
      </c>
      <c r="BI129">
        <v>11</v>
      </c>
      <c r="BJ129" t="s">
        <v>780</v>
      </c>
      <c r="BK129" t="s">
        <v>98</v>
      </c>
      <c r="BL129" t="s">
        <v>781</v>
      </c>
      <c r="BM129" t="s">
        <v>2799</v>
      </c>
      <c r="BN129" t="s">
        <v>74</v>
      </c>
      <c r="BO129" t="s">
        <v>74</v>
      </c>
      <c r="BP129" t="s">
        <v>74</v>
      </c>
      <c r="BQ129" t="s">
        <v>74</v>
      </c>
      <c r="BR129" t="s">
        <v>102</v>
      </c>
      <c r="BS129" t="s">
        <v>2800</v>
      </c>
      <c r="BT129" t="str">
        <f>HYPERLINK("https%3A%2F%2Fwww.webofscience.com%2Fwos%2Fwoscc%2Ffull-record%2FWOS:000337627600004","View Full Record in Web of Science")</f>
        <v>View Full Record in Web of Science</v>
      </c>
    </row>
    <row r="130" spans="1:72" x14ac:dyDescent="0.2">
      <c r="A130" t="s">
        <v>72</v>
      </c>
      <c r="B130" t="s">
        <v>2801</v>
      </c>
      <c r="C130" t="s">
        <v>74</v>
      </c>
      <c r="D130" t="s">
        <v>74</v>
      </c>
      <c r="E130" t="s">
        <v>74</v>
      </c>
      <c r="F130" t="s">
        <v>2802</v>
      </c>
      <c r="G130" t="s">
        <v>74</v>
      </c>
      <c r="H130" t="s">
        <v>74</v>
      </c>
      <c r="I130" t="s">
        <v>2803</v>
      </c>
      <c r="J130" t="s">
        <v>2804</v>
      </c>
      <c r="K130" t="s">
        <v>74</v>
      </c>
      <c r="L130" t="s">
        <v>74</v>
      </c>
      <c r="M130" t="s">
        <v>78</v>
      </c>
      <c r="N130" t="s">
        <v>108</v>
      </c>
      <c r="O130" t="s">
        <v>74</v>
      </c>
      <c r="P130" t="s">
        <v>74</v>
      </c>
      <c r="Q130" t="s">
        <v>74</v>
      </c>
      <c r="R130" t="s">
        <v>74</v>
      </c>
      <c r="S130" t="s">
        <v>74</v>
      </c>
      <c r="T130" t="s">
        <v>2805</v>
      </c>
      <c r="U130" t="s">
        <v>2806</v>
      </c>
      <c r="V130" t="s">
        <v>2807</v>
      </c>
      <c r="W130" t="s">
        <v>2808</v>
      </c>
      <c r="X130" t="s">
        <v>2809</v>
      </c>
      <c r="Y130" t="s">
        <v>2810</v>
      </c>
      <c r="Z130" t="s">
        <v>2811</v>
      </c>
      <c r="AA130" t="s">
        <v>2812</v>
      </c>
      <c r="AB130" t="s">
        <v>2813</v>
      </c>
      <c r="AC130" t="s">
        <v>74</v>
      </c>
      <c r="AD130" t="s">
        <v>74</v>
      </c>
      <c r="AE130" t="s">
        <v>74</v>
      </c>
      <c r="AF130" t="s">
        <v>74</v>
      </c>
      <c r="AG130">
        <v>55</v>
      </c>
      <c r="AH130">
        <v>6</v>
      </c>
      <c r="AI130">
        <v>6</v>
      </c>
      <c r="AJ130">
        <v>1</v>
      </c>
      <c r="AK130">
        <v>7</v>
      </c>
      <c r="AL130" t="s">
        <v>2147</v>
      </c>
      <c r="AM130" t="s">
        <v>90</v>
      </c>
      <c r="AN130" t="s">
        <v>2148</v>
      </c>
      <c r="AO130" t="s">
        <v>2814</v>
      </c>
      <c r="AP130" t="s">
        <v>2815</v>
      </c>
      <c r="AQ130" t="s">
        <v>74</v>
      </c>
      <c r="AR130" t="s">
        <v>2816</v>
      </c>
      <c r="AS130" t="s">
        <v>2817</v>
      </c>
      <c r="AT130" t="s">
        <v>216</v>
      </c>
      <c r="AU130">
        <v>2007</v>
      </c>
      <c r="AV130">
        <v>221</v>
      </c>
      <c r="AW130">
        <v>12</v>
      </c>
      <c r="AX130" t="s">
        <v>74</v>
      </c>
      <c r="AY130" t="s">
        <v>74</v>
      </c>
      <c r="AZ130" t="s">
        <v>74</v>
      </c>
      <c r="BA130" t="s">
        <v>74</v>
      </c>
      <c r="BB130">
        <v>1771</v>
      </c>
      <c r="BC130">
        <v>1785</v>
      </c>
      <c r="BD130" t="s">
        <v>74</v>
      </c>
      <c r="BE130" t="s">
        <v>2818</v>
      </c>
      <c r="BF130" t="str">
        <f>HYPERLINK("http://dx.doi.org/10.1243/09544054JEM879","http://dx.doi.org/10.1243/09544054JEM879")</f>
        <v>http://dx.doi.org/10.1243/09544054JEM879</v>
      </c>
      <c r="BG130" t="s">
        <v>74</v>
      </c>
      <c r="BH130" t="s">
        <v>74</v>
      </c>
      <c r="BI130">
        <v>15</v>
      </c>
      <c r="BJ130" t="s">
        <v>2819</v>
      </c>
      <c r="BK130" t="s">
        <v>98</v>
      </c>
      <c r="BL130" t="s">
        <v>1292</v>
      </c>
      <c r="BM130" t="s">
        <v>2820</v>
      </c>
      <c r="BN130" t="s">
        <v>74</v>
      </c>
      <c r="BO130" t="s">
        <v>2821</v>
      </c>
      <c r="BP130" t="s">
        <v>74</v>
      </c>
      <c r="BQ130" t="s">
        <v>74</v>
      </c>
      <c r="BR130" t="s">
        <v>102</v>
      </c>
      <c r="BS130" t="s">
        <v>2822</v>
      </c>
      <c r="BT130" t="str">
        <f>HYPERLINK("https%3A%2F%2Fwww.webofscience.com%2Fwos%2Fwoscc%2Ffull-record%2FWOS:000252633800013","View Full Record in Web of Science")</f>
        <v>View Full Record in Web of Science</v>
      </c>
    </row>
    <row r="131" spans="1:72" x14ac:dyDescent="0.2">
      <c r="A131" t="s">
        <v>72</v>
      </c>
      <c r="B131" t="s">
        <v>2823</v>
      </c>
      <c r="C131" t="s">
        <v>74</v>
      </c>
      <c r="D131" t="s">
        <v>74</v>
      </c>
      <c r="E131" t="s">
        <v>74</v>
      </c>
      <c r="F131" t="s">
        <v>2824</v>
      </c>
      <c r="G131" t="s">
        <v>74</v>
      </c>
      <c r="H131" t="s">
        <v>74</v>
      </c>
      <c r="I131" t="s">
        <v>2825</v>
      </c>
      <c r="J131" t="s">
        <v>2826</v>
      </c>
      <c r="K131" t="s">
        <v>74</v>
      </c>
      <c r="L131" t="s">
        <v>74</v>
      </c>
      <c r="M131" t="s">
        <v>78</v>
      </c>
      <c r="N131" t="s">
        <v>108</v>
      </c>
      <c r="O131" t="s">
        <v>74</v>
      </c>
      <c r="P131" t="s">
        <v>74</v>
      </c>
      <c r="Q131" t="s">
        <v>74</v>
      </c>
      <c r="R131" t="s">
        <v>74</v>
      </c>
      <c r="S131" t="s">
        <v>74</v>
      </c>
      <c r="T131" t="s">
        <v>2827</v>
      </c>
      <c r="U131" t="s">
        <v>2828</v>
      </c>
      <c r="V131" t="s">
        <v>2829</v>
      </c>
      <c r="W131" t="s">
        <v>2830</v>
      </c>
      <c r="X131" t="s">
        <v>2831</v>
      </c>
      <c r="Y131" t="s">
        <v>2832</v>
      </c>
      <c r="Z131" t="s">
        <v>2833</v>
      </c>
      <c r="AA131" t="s">
        <v>2834</v>
      </c>
      <c r="AB131" t="s">
        <v>2835</v>
      </c>
      <c r="AC131" t="s">
        <v>74</v>
      </c>
      <c r="AD131" t="s">
        <v>74</v>
      </c>
      <c r="AE131" t="s">
        <v>74</v>
      </c>
      <c r="AF131" t="s">
        <v>74</v>
      </c>
      <c r="AG131">
        <v>125</v>
      </c>
      <c r="AH131">
        <v>9</v>
      </c>
      <c r="AI131">
        <v>9</v>
      </c>
      <c r="AJ131">
        <v>9</v>
      </c>
      <c r="AK131">
        <v>71</v>
      </c>
      <c r="AL131" t="s">
        <v>437</v>
      </c>
      <c r="AM131" t="s">
        <v>438</v>
      </c>
      <c r="AN131" t="s">
        <v>439</v>
      </c>
      <c r="AO131" t="s">
        <v>2836</v>
      </c>
      <c r="AP131" t="s">
        <v>2837</v>
      </c>
      <c r="AQ131" t="s">
        <v>74</v>
      </c>
      <c r="AR131" t="s">
        <v>2838</v>
      </c>
      <c r="AS131" t="s">
        <v>2839</v>
      </c>
      <c r="AT131" t="s">
        <v>2840</v>
      </c>
      <c r="AU131">
        <v>2020</v>
      </c>
      <c r="AV131">
        <v>58</v>
      </c>
      <c r="AW131">
        <v>7</v>
      </c>
      <c r="AX131" t="s">
        <v>74</v>
      </c>
      <c r="AY131" t="s">
        <v>74</v>
      </c>
      <c r="AZ131" t="s">
        <v>74</v>
      </c>
      <c r="BA131" t="s">
        <v>74</v>
      </c>
      <c r="BB131">
        <v>1449</v>
      </c>
      <c r="BC131">
        <v>1474</v>
      </c>
      <c r="BD131" t="s">
        <v>74</v>
      </c>
      <c r="BE131" t="s">
        <v>2841</v>
      </c>
      <c r="BF131" t="str">
        <f>HYPERLINK("http://dx.doi.org/10.1108/MD-01-2018-0010","http://dx.doi.org/10.1108/MD-01-2018-0010")</f>
        <v>http://dx.doi.org/10.1108/MD-01-2018-0010</v>
      </c>
      <c r="BG131" t="s">
        <v>74</v>
      </c>
      <c r="BH131" t="s">
        <v>802</v>
      </c>
      <c r="BI131">
        <v>26</v>
      </c>
      <c r="BJ131" t="s">
        <v>849</v>
      </c>
      <c r="BK131" t="s">
        <v>242</v>
      </c>
      <c r="BL131" t="s">
        <v>419</v>
      </c>
      <c r="BM131" t="s">
        <v>2842</v>
      </c>
      <c r="BN131" t="s">
        <v>74</v>
      </c>
      <c r="BO131" t="s">
        <v>594</v>
      </c>
      <c r="BP131" t="s">
        <v>74</v>
      </c>
      <c r="BQ131" t="s">
        <v>74</v>
      </c>
      <c r="BR131" t="s">
        <v>102</v>
      </c>
      <c r="BS131" t="s">
        <v>2843</v>
      </c>
      <c r="BT131" t="str">
        <f>HYPERLINK("https%3A%2F%2Fwww.webofscience.com%2Fwos%2Fwoscc%2Ffull-record%2FWOS:000526359300001","View Full Record in Web of Science")</f>
        <v>View Full Record in Web of Science</v>
      </c>
    </row>
    <row r="132" spans="1:72" x14ac:dyDescent="0.2">
      <c r="A132" t="s">
        <v>72</v>
      </c>
      <c r="B132" t="s">
        <v>2844</v>
      </c>
      <c r="C132" t="s">
        <v>74</v>
      </c>
      <c r="D132" t="s">
        <v>74</v>
      </c>
      <c r="E132" t="s">
        <v>74</v>
      </c>
      <c r="F132" t="s">
        <v>2845</v>
      </c>
      <c r="G132" t="s">
        <v>74</v>
      </c>
      <c r="H132" t="s">
        <v>74</v>
      </c>
      <c r="I132" t="s">
        <v>2846</v>
      </c>
      <c r="J132" t="s">
        <v>2847</v>
      </c>
      <c r="K132" t="s">
        <v>74</v>
      </c>
      <c r="L132" t="s">
        <v>74</v>
      </c>
      <c r="M132" t="s">
        <v>78</v>
      </c>
      <c r="N132" t="s">
        <v>108</v>
      </c>
      <c r="O132" t="s">
        <v>74</v>
      </c>
      <c r="P132" t="s">
        <v>74</v>
      </c>
      <c r="Q132" t="s">
        <v>74</v>
      </c>
      <c r="R132" t="s">
        <v>74</v>
      </c>
      <c r="S132" t="s">
        <v>74</v>
      </c>
      <c r="T132" t="s">
        <v>2848</v>
      </c>
      <c r="U132" t="s">
        <v>2849</v>
      </c>
      <c r="V132" t="s">
        <v>2850</v>
      </c>
      <c r="W132" t="s">
        <v>2851</v>
      </c>
      <c r="X132" t="s">
        <v>2852</v>
      </c>
      <c r="Y132" t="s">
        <v>2853</v>
      </c>
      <c r="Z132" t="s">
        <v>2854</v>
      </c>
      <c r="AA132" t="s">
        <v>74</v>
      </c>
      <c r="AB132" t="s">
        <v>2855</v>
      </c>
      <c r="AC132" t="s">
        <v>74</v>
      </c>
      <c r="AD132" t="s">
        <v>74</v>
      </c>
      <c r="AE132" t="s">
        <v>74</v>
      </c>
      <c r="AF132" t="s">
        <v>74</v>
      </c>
      <c r="AG132">
        <v>64</v>
      </c>
      <c r="AH132">
        <v>20</v>
      </c>
      <c r="AI132">
        <v>20</v>
      </c>
      <c r="AJ132">
        <v>1</v>
      </c>
      <c r="AK132">
        <v>44</v>
      </c>
      <c r="AL132" t="s">
        <v>409</v>
      </c>
      <c r="AM132" t="s">
        <v>410</v>
      </c>
      <c r="AN132" t="s">
        <v>411</v>
      </c>
      <c r="AO132" t="s">
        <v>2856</v>
      </c>
      <c r="AP132" t="s">
        <v>2857</v>
      </c>
      <c r="AQ132" t="s">
        <v>74</v>
      </c>
      <c r="AR132" t="s">
        <v>2858</v>
      </c>
      <c r="AS132" t="s">
        <v>2859</v>
      </c>
      <c r="AT132" t="s">
        <v>174</v>
      </c>
      <c r="AU132">
        <v>2018</v>
      </c>
      <c r="AV132">
        <v>27</v>
      </c>
      <c r="AW132">
        <v>10</v>
      </c>
      <c r="AX132" t="s">
        <v>74</v>
      </c>
      <c r="AY132" t="s">
        <v>74</v>
      </c>
      <c r="AZ132" t="s">
        <v>570</v>
      </c>
      <c r="BA132" t="s">
        <v>74</v>
      </c>
      <c r="BB132">
        <v>1834</v>
      </c>
      <c r="BC132">
        <v>1848</v>
      </c>
      <c r="BD132" t="s">
        <v>74</v>
      </c>
      <c r="BE132" t="s">
        <v>2860</v>
      </c>
      <c r="BF132" t="str">
        <f>HYPERLINK("http://dx.doi.org/10.1111/poms.12785","http://dx.doi.org/10.1111/poms.12785")</f>
        <v>http://dx.doi.org/10.1111/poms.12785</v>
      </c>
      <c r="BG132" t="s">
        <v>74</v>
      </c>
      <c r="BH132" t="s">
        <v>74</v>
      </c>
      <c r="BI132">
        <v>15</v>
      </c>
      <c r="BJ132" t="s">
        <v>2861</v>
      </c>
      <c r="BK132" t="s">
        <v>98</v>
      </c>
      <c r="BL132" t="s">
        <v>781</v>
      </c>
      <c r="BM132" t="s">
        <v>2862</v>
      </c>
      <c r="BN132" t="s">
        <v>74</v>
      </c>
      <c r="BO132" t="s">
        <v>74</v>
      </c>
      <c r="BP132" t="s">
        <v>74</v>
      </c>
      <c r="BQ132" t="s">
        <v>74</v>
      </c>
      <c r="BR132" t="s">
        <v>102</v>
      </c>
      <c r="BS132" t="s">
        <v>2863</v>
      </c>
      <c r="BT132" t="str">
        <f>HYPERLINK("https%3A%2F%2Fwww.webofscience.com%2Fwos%2Fwoscc%2Ffull-record%2FWOS:000447161000007","View Full Record in Web of Science")</f>
        <v>View Full Record in Web of Science</v>
      </c>
    </row>
    <row r="133" spans="1:72" x14ac:dyDescent="0.2">
      <c r="A133" t="s">
        <v>72</v>
      </c>
      <c r="B133" t="s">
        <v>2864</v>
      </c>
      <c r="C133" t="s">
        <v>74</v>
      </c>
      <c r="D133" t="s">
        <v>74</v>
      </c>
      <c r="E133" t="s">
        <v>74</v>
      </c>
      <c r="F133" t="s">
        <v>2865</v>
      </c>
      <c r="G133" t="s">
        <v>74</v>
      </c>
      <c r="H133" t="s">
        <v>74</v>
      </c>
      <c r="I133" t="s">
        <v>2866</v>
      </c>
      <c r="J133" t="s">
        <v>2867</v>
      </c>
      <c r="K133" t="s">
        <v>74</v>
      </c>
      <c r="L133" t="s">
        <v>74</v>
      </c>
      <c r="M133" t="s">
        <v>78</v>
      </c>
      <c r="N133" t="s">
        <v>79</v>
      </c>
      <c r="O133" t="s">
        <v>74</v>
      </c>
      <c r="P133" t="s">
        <v>74</v>
      </c>
      <c r="Q133" t="s">
        <v>74</v>
      </c>
      <c r="R133" t="s">
        <v>74</v>
      </c>
      <c r="S133" t="s">
        <v>74</v>
      </c>
      <c r="T133" t="s">
        <v>2868</v>
      </c>
      <c r="U133" t="s">
        <v>2869</v>
      </c>
      <c r="V133" t="s">
        <v>2870</v>
      </c>
      <c r="W133" t="s">
        <v>2871</v>
      </c>
      <c r="X133" t="s">
        <v>2872</v>
      </c>
      <c r="Y133" t="s">
        <v>2873</v>
      </c>
      <c r="Z133" t="s">
        <v>2874</v>
      </c>
      <c r="AA133" t="s">
        <v>74</v>
      </c>
      <c r="AB133" t="s">
        <v>74</v>
      </c>
      <c r="AC133" t="s">
        <v>2875</v>
      </c>
      <c r="AD133" t="s">
        <v>2876</v>
      </c>
      <c r="AE133" t="s">
        <v>2877</v>
      </c>
      <c r="AF133" t="s">
        <v>74</v>
      </c>
      <c r="AG133">
        <v>59</v>
      </c>
      <c r="AH133">
        <v>9</v>
      </c>
      <c r="AI133">
        <v>9</v>
      </c>
      <c r="AJ133">
        <v>12</v>
      </c>
      <c r="AK133">
        <v>12</v>
      </c>
      <c r="AL133" t="s">
        <v>209</v>
      </c>
      <c r="AM133" t="s">
        <v>210</v>
      </c>
      <c r="AN133" t="s">
        <v>211</v>
      </c>
      <c r="AO133" t="s">
        <v>2878</v>
      </c>
      <c r="AP133" t="s">
        <v>74</v>
      </c>
      <c r="AQ133" t="s">
        <v>74</v>
      </c>
      <c r="AR133" t="s">
        <v>2867</v>
      </c>
      <c r="AS133" t="s">
        <v>2879</v>
      </c>
      <c r="AT133" t="s">
        <v>416</v>
      </c>
      <c r="AU133">
        <v>2023</v>
      </c>
      <c r="AV133">
        <v>9</v>
      </c>
      <c r="AW133">
        <v>3</v>
      </c>
      <c r="AX133" t="s">
        <v>74</v>
      </c>
      <c r="AY133" t="s">
        <v>74</v>
      </c>
      <c r="AZ133" t="s">
        <v>74</v>
      </c>
      <c r="BA133" t="s">
        <v>74</v>
      </c>
      <c r="BB133">
        <v>284</v>
      </c>
      <c r="BC133">
        <v>295</v>
      </c>
      <c r="BD133" t="s">
        <v>74</v>
      </c>
      <c r="BE133" t="s">
        <v>2880</v>
      </c>
      <c r="BF133" t="str">
        <f>HYPERLINK("http://dx.doi.org/10.1016/j.icte.2022.02.001","http://dx.doi.org/10.1016/j.icte.2022.02.001")</f>
        <v>http://dx.doi.org/10.1016/j.icte.2022.02.001</v>
      </c>
      <c r="BG133" t="s">
        <v>74</v>
      </c>
      <c r="BH133" t="s">
        <v>396</v>
      </c>
      <c r="BI133">
        <v>12</v>
      </c>
      <c r="BJ133" t="s">
        <v>503</v>
      </c>
      <c r="BK133" t="s">
        <v>98</v>
      </c>
      <c r="BL133" t="s">
        <v>505</v>
      </c>
      <c r="BM133" t="s">
        <v>2881</v>
      </c>
      <c r="BN133" t="s">
        <v>74</v>
      </c>
      <c r="BO133" t="s">
        <v>126</v>
      </c>
      <c r="BP133" t="s">
        <v>74</v>
      </c>
      <c r="BQ133" t="s">
        <v>74</v>
      </c>
      <c r="BR133" t="s">
        <v>102</v>
      </c>
      <c r="BS133" t="s">
        <v>2882</v>
      </c>
      <c r="BT133" t="str">
        <f>HYPERLINK("https%3A%2F%2Fwww.webofscience.com%2Fwos%2Fwoscc%2Ffull-record%2FWOS:001028647700001","View Full Record in Web of Science")</f>
        <v>View Full Record in Web of Science</v>
      </c>
    </row>
    <row r="134" spans="1:72" x14ac:dyDescent="0.2">
      <c r="A134" t="s">
        <v>72</v>
      </c>
      <c r="B134" t="s">
        <v>2883</v>
      </c>
      <c r="C134" t="s">
        <v>74</v>
      </c>
      <c r="D134" t="s">
        <v>74</v>
      </c>
      <c r="E134" t="s">
        <v>74</v>
      </c>
      <c r="F134" t="s">
        <v>2884</v>
      </c>
      <c r="G134" t="s">
        <v>74</v>
      </c>
      <c r="H134" t="s">
        <v>74</v>
      </c>
      <c r="I134" t="s">
        <v>2885</v>
      </c>
      <c r="J134" t="s">
        <v>2886</v>
      </c>
      <c r="K134" t="s">
        <v>74</v>
      </c>
      <c r="L134" t="s">
        <v>74</v>
      </c>
      <c r="M134" t="s">
        <v>78</v>
      </c>
      <c r="N134" t="s">
        <v>108</v>
      </c>
      <c r="O134" t="s">
        <v>74</v>
      </c>
      <c r="P134" t="s">
        <v>74</v>
      </c>
      <c r="Q134" t="s">
        <v>74</v>
      </c>
      <c r="R134" t="s">
        <v>74</v>
      </c>
      <c r="S134" t="s">
        <v>74</v>
      </c>
      <c r="T134" t="s">
        <v>2887</v>
      </c>
      <c r="U134" t="s">
        <v>2888</v>
      </c>
      <c r="V134" t="s">
        <v>2889</v>
      </c>
      <c r="W134" t="s">
        <v>2890</v>
      </c>
      <c r="X134" t="s">
        <v>2380</v>
      </c>
      <c r="Y134" t="s">
        <v>2891</v>
      </c>
      <c r="Z134" t="s">
        <v>2892</v>
      </c>
      <c r="AA134" t="s">
        <v>2383</v>
      </c>
      <c r="AB134" t="s">
        <v>2893</v>
      </c>
      <c r="AC134" t="s">
        <v>2894</v>
      </c>
      <c r="AD134" t="s">
        <v>2895</v>
      </c>
      <c r="AE134" t="s">
        <v>2896</v>
      </c>
      <c r="AF134" t="s">
        <v>74</v>
      </c>
      <c r="AG134">
        <v>57</v>
      </c>
      <c r="AH134">
        <v>17</v>
      </c>
      <c r="AI134">
        <v>17</v>
      </c>
      <c r="AJ134">
        <v>0</v>
      </c>
      <c r="AK134">
        <v>18</v>
      </c>
      <c r="AL134" t="s">
        <v>116</v>
      </c>
      <c r="AM134" t="s">
        <v>117</v>
      </c>
      <c r="AN134" t="s">
        <v>118</v>
      </c>
      <c r="AO134" t="s">
        <v>74</v>
      </c>
      <c r="AP134" t="s">
        <v>2897</v>
      </c>
      <c r="AQ134" t="s">
        <v>74</v>
      </c>
      <c r="AR134" t="s">
        <v>2898</v>
      </c>
      <c r="AS134" t="s">
        <v>2899</v>
      </c>
      <c r="AT134" t="s">
        <v>2900</v>
      </c>
      <c r="AU134">
        <v>2019</v>
      </c>
      <c r="AV134">
        <v>9</v>
      </c>
      <c r="AW134">
        <v>6</v>
      </c>
      <c r="AX134" t="s">
        <v>74</v>
      </c>
      <c r="AY134" t="s">
        <v>74</v>
      </c>
      <c r="AZ134" t="s">
        <v>74</v>
      </c>
      <c r="BA134" t="s">
        <v>74</v>
      </c>
      <c r="BB134" t="s">
        <v>74</v>
      </c>
      <c r="BC134" t="s">
        <v>74</v>
      </c>
      <c r="BD134">
        <v>1154</v>
      </c>
      <c r="BE134" t="s">
        <v>2901</v>
      </c>
      <c r="BF134" t="str">
        <f>HYPERLINK("http://dx.doi.org/10.3390/app9061154","http://dx.doi.org/10.3390/app9061154")</f>
        <v>http://dx.doi.org/10.3390/app9061154</v>
      </c>
      <c r="BG134" t="s">
        <v>74</v>
      </c>
      <c r="BH134" t="s">
        <v>74</v>
      </c>
      <c r="BI134">
        <v>21</v>
      </c>
      <c r="BJ134" t="s">
        <v>2902</v>
      </c>
      <c r="BK134" t="s">
        <v>98</v>
      </c>
      <c r="BL134" t="s">
        <v>2903</v>
      </c>
      <c r="BM134" t="s">
        <v>2904</v>
      </c>
      <c r="BN134" t="s">
        <v>74</v>
      </c>
      <c r="BO134" t="s">
        <v>126</v>
      </c>
      <c r="BP134" t="s">
        <v>74</v>
      </c>
      <c r="BQ134" t="s">
        <v>74</v>
      </c>
      <c r="BR134" t="s">
        <v>102</v>
      </c>
      <c r="BS134" t="s">
        <v>2905</v>
      </c>
      <c r="BT134" t="str">
        <f>HYPERLINK("https%3A%2F%2Fwww.webofscience.com%2Fwos%2Fwoscc%2Ffull-record%2FWOS:000465017200112","View Full Record in Web of Science")</f>
        <v>View Full Record in Web of Science</v>
      </c>
    </row>
    <row r="135" spans="1:72" x14ac:dyDescent="0.2">
      <c r="A135" t="s">
        <v>72</v>
      </c>
      <c r="B135" t="s">
        <v>2906</v>
      </c>
      <c r="C135" t="s">
        <v>74</v>
      </c>
      <c r="D135" t="s">
        <v>74</v>
      </c>
      <c r="E135" t="s">
        <v>74</v>
      </c>
      <c r="F135" t="s">
        <v>2907</v>
      </c>
      <c r="G135" t="s">
        <v>74</v>
      </c>
      <c r="H135" t="s">
        <v>74</v>
      </c>
      <c r="I135" t="s">
        <v>2908</v>
      </c>
      <c r="J135" t="s">
        <v>2909</v>
      </c>
      <c r="K135" t="s">
        <v>74</v>
      </c>
      <c r="L135" t="s">
        <v>74</v>
      </c>
      <c r="M135" t="s">
        <v>78</v>
      </c>
      <c r="N135" t="s">
        <v>108</v>
      </c>
      <c r="O135" t="s">
        <v>74</v>
      </c>
      <c r="P135" t="s">
        <v>74</v>
      </c>
      <c r="Q135" t="s">
        <v>74</v>
      </c>
      <c r="R135" t="s">
        <v>74</v>
      </c>
      <c r="S135" t="s">
        <v>74</v>
      </c>
      <c r="T135" t="s">
        <v>74</v>
      </c>
      <c r="U135" t="s">
        <v>2910</v>
      </c>
      <c r="V135" t="s">
        <v>2911</v>
      </c>
      <c r="W135" t="s">
        <v>2912</v>
      </c>
      <c r="X135" t="s">
        <v>2913</v>
      </c>
      <c r="Y135" t="s">
        <v>2914</v>
      </c>
      <c r="Z135" t="s">
        <v>2915</v>
      </c>
      <c r="AA135" t="s">
        <v>74</v>
      </c>
      <c r="AB135" t="s">
        <v>74</v>
      </c>
      <c r="AC135" t="s">
        <v>74</v>
      </c>
      <c r="AD135" t="s">
        <v>74</v>
      </c>
      <c r="AE135" t="s">
        <v>74</v>
      </c>
      <c r="AF135" t="s">
        <v>74</v>
      </c>
      <c r="AG135">
        <v>57</v>
      </c>
      <c r="AH135">
        <v>0</v>
      </c>
      <c r="AI135">
        <v>0</v>
      </c>
      <c r="AJ135">
        <v>0</v>
      </c>
      <c r="AK135">
        <v>6</v>
      </c>
      <c r="AL135" t="s">
        <v>1047</v>
      </c>
      <c r="AM135" t="s">
        <v>1048</v>
      </c>
      <c r="AN135" t="s">
        <v>1049</v>
      </c>
      <c r="AO135" t="s">
        <v>2916</v>
      </c>
      <c r="AP135" t="s">
        <v>2917</v>
      </c>
      <c r="AQ135" t="s">
        <v>74</v>
      </c>
      <c r="AR135" t="s">
        <v>2918</v>
      </c>
      <c r="AS135" t="s">
        <v>2919</v>
      </c>
      <c r="AT135" t="s">
        <v>1213</v>
      </c>
      <c r="AU135">
        <v>2022</v>
      </c>
      <c r="AV135">
        <v>67</v>
      </c>
      <c r="AW135">
        <v>3</v>
      </c>
      <c r="AX135" t="s">
        <v>74</v>
      </c>
      <c r="AY135" t="s">
        <v>74</v>
      </c>
      <c r="AZ135" t="s">
        <v>74</v>
      </c>
      <c r="BA135" t="s">
        <v>74</v>
      </c>
      <c r="BB135">
        <v>195</v>
      </c>
      <c r="BC135">
        <v>217</v>
      </c>
      <c r="BD135" t="s">
        <v>74</v>
      </c>
      <c r="BE135" t="s">
        <v>2920</v>
      </c>
      <c r="BF135" t="str">
        <f>HYPERLINK("http://dx.doi.org/10.1080/0013791X.2022.2077492","http://dx.doi.org/10.1080/0013791X.2022.2077492")</f>
        <v>http://dx.doi.org/10.1080/0013791X.2022.2077492</v>
      </c>
      <c r="BG135" t="s">
        <v>74</v>
      </c>
      <c r="BH135" t="s">
        <v>2921</v>
      </c>
      <c r="BI135">
        <v>23</v>
      </c>
      <c r="BJ135" t="s">
        <v>2922</v>
      </c>
      <c r="BK135" t="s">
        <v>147</v>
      </c>
      <c r="BL135" t="s">
        <v>2923</v>
      </c>
      <c r="BM135" t="s">
        <v>2924</v>
      </c>
      <c r="BN135" t="s">
        <v>74</v>
      </c>
      <c r="BO135" t="s">
        <v>74</v>
      </c>
      <c r="BP135" t="s">
        <v>74</v>
      </c>
      <c r="BQ135" t="s">
        <v>74</v>
      </c>
      <c r="BR135" t="s">
        <v>102</v>
      </c>
      <c r="BS135" t="s">
        <v>2925</v>
      </c>
      <c r="BT135" t="str">
        <f>HYPERLINK("https%3A%2F%2Fwww.webofscience.com%2Fwos%2Fwoscc%2Ffull-record%2FWOS:000799118800001","View Full Record in Web of Science")</f>
        <v>View Full Record in Web of Science</v>
      </c>
    </row>
    <row r="136" spans="1:72" x14ac:dyDescent="0.2">
      <c r="A136" t="s">
        <v>72</v>
      </c>
      <c r="B136" t="s">
        <v>2926</v>
      </c>
      <c r="C136" t="s">
        <v>74</v>
      </c>
      <c r="D136" t="s">
        <v>74</v>
      </c>
      <c r="E136" t="s">
        <v>74</v>
      </c>
      <c r="F136" t="s">
        <v>2927</v>
      </c>
      <c r="G136" t="s">
        <v>74</v>
      </c>
      <c r="H136" t="s">
        <v>74</v>
      </c>
      <c r="I136" t="s">
        <v>2928</v>
      </c>
      <c r="J136" t="s">
        <v>873</v>
      </c>
      <c r="K136" t="s">
        <v>74</v>
      </c>
      <c r="L136" t="s">
        <v>74</v>
      </c>
      <c r="M136" t="s">
        <v>78</v>
      </c>
      <c r="N136" t="s">
        <v>108</v>
      </c>
      <c r="O136" t="s">
        <v>74</v>
      </c>
      <c r="P136" t="s">
        <v>74</v>
      </c>
      <c r="Q136" t="s">
        <v>74</v>
      </c>
      <c r="R136" t="s">
        <v>74</v>
      </c>
      <c r="S136" t="s">
        <v>74</v>
      </c>
      <c r="T136" t="s">
        <v>2929</v>
      </c>
      <c r="U136" t="s">
        <v>2930</v>
      </c>
      <c r="V136" t="s">
        <v>2931</v>
      </c>
      <c r="W136" t="s">
        <v>2932</v>
      </c>
      <c r="X136" t="s">
        <v>2933</v>
      </c>
      <c r="Y136" t="s">
        <v>2934</v>
      </c>
      <c r="Z136" t="s">
        <v>2935</v>
      </c>
      <c r="AA136" t="s">
        <v>74</v>
      </c>
      <c r="AB136" t="s">
        <v>2936</v>
      </c>
      <c r="AC136" t="s">
        <v>2937</v>
      </c>
      <c r="AD136" t="s">
        <v>2937</v>
      </c>
      <c r="AE136" t="s">
        <v>2938</v>
      </c>
      <c r="AF136" t="s">
        <v>74</v>
      </c>
      <c r="AG136">
        <v>46</v>
      </c>
      <c r="AH136">
        <v>80</v>
      </c>
      <c r="AI136">
        <v>80</v>
      </c>
      <c r="AJ136">
        <v>6</v>
      </c>
      <c r="AK136">
        <v>137</v>
      </c>
      <c r="AL136" t="s">
        <v>209</v>
      </c>
      <c r="AM136" t="s">
        <v>210</v>
      </c>
      <c r="AN136" t="s">
        <v>211</v>
      </c>
      <c r="AO136" t="s">
        <v>883</v>
      </c>
      <c r="AP136" t="s">
        <v>884</v>
      </c>
      <c r="AQ136" t="s">
        <v>74</v>
      </c>
      <c r="AR136" t="s">
        <v>885</v>
      </c>
      <c r="AS136" t="s">
        <v>886</v>
      </c>
      <c r="AT136" t="s">
        <v>416</v>
      </c>
      <c r="AU136">
        <v>2014</v>
      </c>
      <c r="AV136">
        <v>152</v>
      </c>
      <c r="AW136" t="s">
        <v>74</v>
      </c>
      <c r="AX136" t="s">
        <v>74</v>
      </c>
      <c r="AY136" t="s">
        <v>74</v>
      </c>
      <c r="AZ136" t="s">
        <v>570</v>
      </c>
      <c r="BA136" t="s">
        <v>74</v>
      </c>
      <c r="BB136">
        <v>200</v>
      </c>
      <c r="BC136">
        <v>209</v>
      </c>
      <c r="BD136" t="s">
        <v>74</v>
      </c>
      <c r="BE136" t="s">
        <v>2939</v>
      </c>
      <c r="BF136" t="str">
        <f>HYPERLINK("http://dx.doi.org/10.1016/j.ijpe.2013.12.010","http://dx.doi.org/10.1016/j.ijpe.2013.12.010")</f>
        <v>http://dx.doi.org/10.1016/j.ijpe.2013.12.010</v>
      </c>
      <c r="BG136" t="s">
        <v>74</v>
      </c>
      <c r="BH136" t="s">
        <v>74</v>
      </c>
      <c r="BI136">
        <v>10</v>
      </c>
      <c r="BJ136" t="s">
        <v>780</v>
      </c>
      <c r="BK136" t="s">
        <v>98</v>
      </c>
      <c r="BL136" t="s">
        <v>781</v>
      </c>
      <c r="BM136" t="s">
        <v>2940</v>
      </c>
      <c r="BN136" t="s">
        <v>74</v>
      </c>
      <c r="BO136" t="s">
        <v>74</v>
      </c>
      <c r="BP136" t="s">
        <v>74</v>
      </c>
      <c r="BQ136" t="s">
        <v>74</v>
      </c>
      <c r="BR136" t="s">
        <v>102</v>
      </c>
      <c r="BS136" t="s">
        <v>2941</v>
      </c>
      <c r="BT136" t="str">
        <f>HYPERLINK("https%3A%2F%2Fwww.webofscience.com%2Fwos%2Fwoscc%2Ffull-record%2FWOS:000336696300016","View Full Record in Web of Science")</f>
        <v>View Full Record in Web of Science</v>
      </c>
    </row>
    <row r="137" spans="1:72" x14ac:dyDescent="0.2">
      <c r="A137" t="s">
        <v>72</v>
      </c>
      <c r="B137" t="s">
        <v>2942</v>
      </c>
      <c r="C137" t="s">
        <v>74</v>
      </c>
      <c r="D137" t="s">
        <v>74</v>
      </c>
      <c r="E137" t="s">
        <v>74</v>
      </c>
      <c r="F137" t="s">
        <v>2943</v>
      </c>
      <c r="G137" t="s">
        <v>74</v>
      </c>
      <c r="H137" t="s">
        <v>74</v>
      </c>
      <c r="I137" t="s">
        <v>2944</v>
      </c>
      <c r="J137" t="s">
        <v>2945</v>
      </c>
      <c r="K137" t="s">
        <v>74</v>
      </c>
      <c r="L137" t="s">
        <v>74</v>
      </c>
      <c r="M137" t="s">
        <v>78</v>
      </c>
      <c r="N137" t="s">
        <v>108</v>
      </c>
      <c r="O137" t="s">
        <v>74</v>
      </c>
      <c r="P137" t="s">
        <v>74</v>
      </c>
      <c r="Q137" t="s">
        <v>74</v>
      </c>
      <c r="R137" t="s">
        <v>74</v>
      </c>
      <c r="S137" t="s">
        <v>74</v>
      </c>
      <c r="T137" t="s">
        <v>74</v>
      </c>
      <c r="U137" t="s">
        <v>74</v>
      </c>
      <c r="V137" t="s">
        <v>2946</v>
      </c>
      <c r="W137" t="s">
        <v>2947</v>
      </c>
      <c r="X137" t="s">
        <v>2948</v>
      </c>
      <c r="Y137" t="s">
        <v>2949</v>
      </c>
      <c r="Z137" t="s">
        <v>2950</v>
      </c>
      <c r="AA137" t="s">
        <v>2951</v>
      </c>
      <c r="AB137" t="s">
        <v>74</v>
      </c>
      <c r="AC137" t="s">
        <v>74</v>
      </c>
      <c r="AD137" t="s">
        <v>74</v>
      </c>
      <c r="AE137" t="s">
        <v>74</v>
      </c>
      <c r="AF137" t="s">
        <v>74</v>
      </c>
      <c r="AG137">
        <v>30</v>
      </c>
      <c r="AH137">
        <v>2</v>
      </c>
      <c r="AI137">
        <v>2</v>
      </c>
      <c r="AJ137">
        <v>8</v>
      </c>
      <c r="AK137">
        <v>36</v>
      </c>
      <c r="AL137" t="s">
        <v>2952</v>
      </c>
      <c r="AM137" t="s">
        <v>90</v>
      </c>
      <c r="AN137" t="s">
        <v>2953</v>
      </c>
      <c r="AO137" t="s">
        <v>2954</v>
      </c>
      <c r="AP137" t="s">
        <v>2955</v>
      </c>
      <c r="AQ137" t="s">
        <v>74</v>
      </c>
      <c r="AR137" t="s">
        <v>2956</v>
      </c>
      <c r="AS137" t="s">
        <v>2957</v>
      </c>
      <c r="AT137" t="s">
        <v>1371</v>
      </c>
      <c r="AU137">
        <v>2021</v>
      </c>
      <c r="AV137">
        <v>2021</v>
      </c>
      <c r="AW137" t="s">
        <v>74</v>
      </c>
      <c r="AX137" t="s">
        <v>74</v>
      </c>
      <c r="AY137" t="s">
        <v>74</v>
      </c>
      <c r="AZ137" t="s">
        <v>74</v>
      </c>
      <c r="BA137" t="s">
        <v>74</v>
      </c>
      <c r="BB137" t="s">
        <v>74</v>
      </c>
      <c r="BC137" t="s">
        <v>74</v>
      </c>
      <c r="BD137">
        <v>9969357</v>
      </c>
      <c r="BE137" t="s">
        <v>2958</v>
      </c>
      <c r="BF137" t="str">
        <f>HYPERLINK("http://dx.doi.org/10.1155/2021/9969357","http://dx.doi.org/10.1155/2021/9969357")</f>
        <v>http://dx.doi.org/10.1155/2021/9969357</v>
      </c>
      <c r="BG137" t="s">
        <v>74</v>
      </c>
      <c r="BH137" t="s">
        <v>74</v>
      </c>
      <c r="BI137">
        <v>14</v>
      </c>
      <c r="BJ137" t="s">
        <v>2959</v>
      </c>
      <c r="BK137" t="s">
        <v>98</v>
      </c>
      <c r="BL137" t="s">
        <v>2960</v>
      </c>
      <c r="BM137" t="s">
        <v>2961</v>
      </c>
      <c r="BN137" t="s">
        <v>74</v>
      </c>
      <c r="BO137" t="s">
        <v>126</v>
      </c>
      <c r="BP137" t="s">
        <v>74</v>
      </c>
      <c r="BQ137" t="s">
        <v>74</v>
      </c>
      <c r="BR137" t="s">
        <v>102</v>
      </c>
      <c r="BS137" t="s">
        <v>2962</v>
      </c>
      <c r="BT137" t="str">
        <f>HYPERLINK("https%3A%2F%2Fwww.webofscience.com%2Fwos%2Fwoscc%2Ffull-record%2FWOS:000730711800006","View Full Record in Web of Science")</f>
        <v>View Full Record in Web of Science</v>
      </c>
    </row>
    <row r="138" spans="1:72" x14ac:dyDescent="0.2">
      <c r="A138" t="s">
        <v>72</v>
      </c>
      <c r="B138" t="s">
        <v>2963</v>
      </c>
      <c r="C138" t="s">
        <v>74</v>
      </c>
      <c r="D138" t="s">
        <v>74</v>
      </c>
      <c r="E138" t="s">
        <v>74</v>
      </c>
      <c r="F138" t="s">
        <v>2964</v>
      </c>
      <c r="G138" t="s">
        <v>74</v>
      </c>
      <c r="H138" t="s">
        <v>74</v>
      </c>
      <c r="I138" t="s">
        <v>2965</v>
      </c>
      <c r="J138" t="s">
        <v>531</v>
      </c>
      <c r="K138" t="s">
        <v>74</v>
      </c>
      <c r="L138" t="s">
        <v>74</v>
      </c>
      <c r="M138" t="s">
        <v>78</v>
      </c>
      <c r="N138" t="s">
        <v>108</v>
      </c>
      <c r="O138" t="s">
        <v>74</v>
      </c>
      <c r="P138" t="s">
        <v>74</v>
      </c>
      <c r="Q138" t="s">
        <v>74</v>
      </c>
      <c r="R138" t="s">
        <v>74</v>
      </c>
      <c r="S138" t="s">
        <v>74</v>
      </c>
      <c r="T138" t="s">
        <v>2966</v>
      </c>
      <c r="U138" t="s">
        <v>2967</v>
      </c>
      <c r="V138" t="s">
        <v>2968</v>
      </c>
      <c r="W138" t="s">
        <v>2969</v>
      </c>
      <c r="X138" t="s">
        <v>2970</v>
      </c>
      <c r="Y138" t="s">
        <v>2971</v>
      </c>
      <c r="Z138" t="s">
        <v>2972</v>
      </c>
      <c r="AA138" t="s">
        <v>2973</v>
      </c>
      <c r="AB138" t="s">
        <v>2974</v>
      </c>
      <c r="AC138" t="s">
        <v>2975</v>
      </c>
      <c r="AD138" t="s">
        <v>2976</v>
      </c>
      <c r="AE138" t="s">
        <v>2977</v>
      </c>
      <c r="AF138" t="s">
        <v>74</v>
      </c>
      <c r="AG138">
        <v>91</v>
      </c>
      <c r="AH138">
        <v>53</v>
      </c>
      <c r="AI138">
        <v>54</v>
      </c>
      <c r="AJ138">
        <v>14</v>
      </c>
      <c r="AK138">
        <v>97</v>
      </c>
      <c r="AL138" t="s">
        <v>543</v>
      </c>
      <c r="AM138" t="s">
        <v>260</v>
      </c>
      <c r="AN138" t="s">
        <v>544</v>
      </c>
      <c r="AO138" t="s">
        <v>545</v>
      </c>
      <c r="AP138" t="s">
        <v>546</v>
      </c>
      <c r="AQ138" t="s">
        <v>74</v>
      </c>
      <c r="AR138" t="s">
        <v>547</v>
      </c>
      <c r="AS138" t="s">
        <v>548</v>
      </c>
      <c r="AT138" t="s">
        <v>372</v>
      </c>
      <c r="AU138">
        <v>2020</v>
      </c>
      <c r="AV138">
        <v>139</v>
      </c>
      <c r="AW138" t="s">
        <v>74</v>
      </c>
      <c r="AX138" t="s">
        <v>74</v>
      </c>
      <c r="AY138" t="s">
        <v>74</v>
      </c>
      <c r="AZ138" t="s">
        <v>74</v>
      </c>
      <c r="BA138" t="s">
        <v>74</v>
      </c>
      <c r="BB138" t="s">
        <v>74</v>
      </c>
      <c r="BC138" t="s">
        <v>74</v>
      </c>
      <c r="BD138">
        <v>105570</v>
      </c>
      <c r="BE138" t="s">
        <v>2978</v>
      </c>
      <c r="BF138" t="str">
        <f>HYPERLINK("http://dx.doi.org/10.1016/j.cie.2018.12.017","http://dx.doi.org/10.1016/j.cie.2018.12.017")</f>
        <v>http://dx.doi.org/10.1016/j.cie.2018.12.017</v>
      </c>
      <c r="BG138" t="s">
        <v>74</v>
      </c>
      <c r="BH138" t="s">
        <v>74</v>
      </c>
      <c r="BI138">
        <v>12</v>
      </c>
      <c r="BJ138" t="s">
        <v>550</v>
      </c>
      <c r="BK138" t="s">
        <v>98</v>
      </c>
      <c r="BL138" t="s">
        <v>269</v>
      </c>
      <c r="BM138" t="s">
        <v>2979</v>
      </c>
      <c r="BN138" t="s">
        <v>74</v>
      </c>
      <c r="BO138" t="s">
        <v>1833</v>
      </c>
      <c r="BP138" t="s">
        <v>74</v>
      </c>
      <c r="BQ138" t="s">
        <v>74</v>
      </c>
      <c r="BR138" t="s">
        <v>102</v>
      </c>
      <c r="BS138" t="s">
        <v>2980</v>
      </c>
      <c r="BT138" t="str">
        <f>HYPERLINK("https%3A%2F%2Fwww.webofscience.com%2Fwos%2Fwoscc%2Ffull-record%2FWOS:000509784000075","View Full Record in Web of Science")</f>
        <v>View Full Record in Web of Science</v>
      </c>
    </row>
    <row r="139" spans="1:72" x14ac:dyDescent="0.2">
      <c r="A139" t="s">
        <v>72</v>
      </c>
      <c r="B139" t="s">
        <v>2981</v>
      </c>
      <c r="C139" t="s">
        <v>74</v>
      </c>
      <c r="D139" t="s">
        <v>74</v>
      </c>
      <c r="E139" t="s">
        <v>74</v>
      </c>
      <c r="F139" t="s">
        <v>2982</v>
      </c>
      <c r="G139" t="s">
        <v>74</v>
      </c>
      <c r="H139" t="s">
        <v>74</v>
      </c>
      <c r="I139" t="s">
        <v>2983</v>
      </c>
      <c r="J139" t="s">
        <v>2984</v>
      </c>
      <c r="K139" t="s">
        <v>74</v>
      </c>
      <c r="L139" t="s">
        <v>74</v>
      </c>
      <c r="M139" t="s">
        <v>78</v>
      </c>
      <c r="N139" t="s">
        <v>108</v>
      </c>
      <c r="O139" t="s">
        <v>74</v>
      </c>
      <c r="P139" t="s">
        <v>74</v>
      </c>
      <c r="Q139" t="s">
        <v>74</v>
      </c>
      <c r="R139" t="s">
        <v>74</v>
      </c>
      <c r="S139" t="s">
        <v>74</v>
      </c>
      <c r="T139" t="s">
        <v>2985</v>
      </c>
      <c r="U139" t="s">
        <v>2986</v>
      </c>
      <c r="V139" t="s">
        <v>2987</v>
      </c>
      <c r="W139" t="s">
        <v>2988</v>
      </c>
      <c r="X139" t="s">
        <v>2989</v>
      </c>
      <c r="Y139" t="s">
        <v>2990</v>
      </c>
      <c r="Z139" t="s">
        <v>2991</v>
      </c>
      <c r="AA139" t="s">
        <v>74</v>
      </c>
      <c r="AB139" t="s">
        <v>2992</v>
      </c>
      <c r="AC139" t="s">
        <v>2993</v>
      </c>
      <c r="AD139" t="s">
        <v>2994</v>
      </c>
      <c r="AE139" t="s">
        <v>2995</v>
      </c>
      <c r="AF139" t="s">
        <v>74</v>
      </c>
      <c r="AG139">
        <v>39</v>
      </c>
      <c r="AH139">
        <v>16</v>
      </c>
      <c r="AI139">
        <v>17</v>
      </c>
      <c r="AJ139">
        <v>2</v>
      </c>
      <c r="AK139">
        <v>29</v>
      </c>
      <c r="AL139" t="s">
        <v>259</v>
      </c>
      <c r="AM139" t="s">
        <v>260</v>
      </c>
      <c r="AN139" t="s">
        <v>261</v>
      </c>
      <c r="AO139" t="s">
        <v>2996</v>
      </c>
      <c r="AP139" t="s">
        <v>2997</v>
      </c>
      <c r="AQ139" t="s">
        <v>74</v>
      </c>
      <c r="AR139" t="s">
        <v>2984</v>
      </c>
      <c r="AS139" t="s">
        <v>2998</v>
      </c>
      <c r="AT139" t="s">
        <v>738</v>
      </c>
      <c r="AU139">
        <v>2019</v>
      </c>
      <c r="AV139">
        <v>83</v>
      </c>
      <c r="AW139" t="s">
        <v>74</v>
      </c>
      <c r="AX139" t="s">
        <v>74</v>
      </c>
      <c r="AY139" t="s">
        <v>74</v>
      </c>
      <c r="AZ139" t="s">
        <v>74</v>
      </c>
      <c r="BA139" t="s">
        <v>74</v>
      </c>
      <c r="BB139">
        <v>310</v>
      </c>
      <c r="BC139">
        <v>326</v>
      </c>
      <c r="BD139" t="s">
        <v>74</v>
      </c>
      <c r="BE139" t="s">
        <v>2999</v>
      </c>
      <c r="BF139" t="str">
        <f>HYPERLINK("http://dx.doi.org/10.1016/j.foodpol.2017.07.009","http://dx.doi.org/10.1016/j.foodpol.2017.07.009")</f>
        <v>http://dx.doi.org/10.1016/j.foodpol.2017.07.009</v>
      </c>
      <c r="BG139" t="s">
        <v>74</v>
      </c>
      <c r="BH139" t="s">
        <v>74</v>
      </c>
      <c r="BI139">
        <v>17</v>
      </c>
      <c r="BJ139" t="s">
        <v>3000</v>
      </c>
      <c r="BK139" t="s">
        <v>147</v>
      </c>
      <c r="BL139" t="s">
        <v>3001</v>
      </c>
      <c r="BM139" t="s">
        <v>3002</v>
      </c>
      <c r="BN139" t="s">
        <v>74</v>
      </c>
      <c r="BO139" t="s">
        <v>74</v>
      </c>
      <c r="BP139" t="s">
        <v>74</v>
      </c>
      <c r="BQ139" t="s">
        <v>74</v>
      </c>
      <c r="BR139" t="s">
        <v>102</v>
      </c>
      <c r="BS139" t="s">
        <v>3003</v>
      </c>
      <c r="BT139" t="str">
        <f>HYPERLINK("https%3A%2F%2Fwww.webofscience.com%2Fwos%2Fwoscc%2Ffull-record%2FWOS:000464090500030","View Full Record in Web of Science")</f>
        <v>View Full Record in Web of Science</v>
      </c>
    </row>
    <row r="140" spans="1:72" x14ac:dyDescent="0.2">
      <c r="A140" t="s">
        <v>72</v>
      </c>
      <c r="B140" t="s">
        <v>3004</v>
      </c>
      <c r="C140" t="s">
        <v>74</v>
      </c>
      <c r="D140" t="s">
        <v>74</v>
      </c>
      <c r="E140" t="s">
        <v>74</v>
      </c>
      <c r="F140" t="s">
        <v>3005</v>
      </c>
      <c r="G140" t="s">
        <v>74</v>
      </c>
      <c r="H140" t="s">
        <v>74</v>
      </c>
      <c r="I140" t="s">
        <v>3006</v>
      </c>
      <c r="J140" t="s">
        <v>3007</v>
      </c>
      <c r="K140" t="s">
        <v>74</v>
      </c>
      <c r="L140" t="s">
        <v>74</v>
      </c>
      <c r="M140" t="s">
        <v>78</v>
      </c>
      <c r="N140" t="s">
        <v>108</v>
      </c>
      <c r="O140" t="s">
        <v>74</v>
      </c>
      <c r="P140" t="s">
        <v>74</v>
      </c>
      <c r="Q140" t="s">
        <v>74</v>
      </c>
      <c r="R140" t="s">
        <v>74</v>
      </c>
      <c r="S140" t="s">
        <v>74</v>
      </c>
      <c r="T140" t="s">
        <v>3008</v>
      </c>
      <c r="U140" t="s">
        <v>3009</v>
      </c>
      <c r="V140" t="s">
        <v>3010</v>
      </c>
      <c r="W140" t="s">
        <v>3011</v>
      </c>
      <c r="X140" t="s">
        <v>3012</v>
      </c>
      <c r="Y140" t="s">
        <v>3013</v>
      </c>
      <c r="Z140" t="s">
        <v>3014</v>
      </c>
      <c r="AA140" t="s">
        <v>74</v>
      </c>
      <c r="AB140" t="s">
        <v>74</v>
      </c>
      <c r="AC140" t="s">
        <v>3015</v>
      </c>
      <c r="AD140" t="s">
        <v>3016</v>
      </c>
      <c r="AE140" t="s">
        <v>3017</v>
      </c>
      <c r="AF140" t="s">
        <v>74</v>
      </c>
      <c r="AG140">
        <v>15</v>
      </c>
      <c r="AH140">
        <v>2</v>
      </c>
      <c r="AI140">
        <v>2</v>
      </c>
      <c r="AJ140">
        <v>9</v>
      </c>
      <c r="AK140">
        <v>21</v>
      </c>
      <c r="AL140" t="s">
        <v>2634</v>
      </c>
      <c r="AM140" t="s">
        <v>2635</v>
      </c>
      <c r="AN140" t="s">
        <v>2636</v>
      </c>
      <c r="AO140" t="s">
        <v>3018</v>
      </c>
      <c r="AP140" t="s">
        <v>3019</v>
      </c>
      <c r="AQ140" t="s">
        <v>74</v>
      </c>
      <c r="AR140" t="s">
        <v>3020</v>
      </c>
      <c r="AS140" t="s">
        <v>3021</v>
      </c>
      <c r="AT140" t="s">
        <v>74</v>
      </c>
      <c r="AU140">
        <v>2022</v>
      </c>
      <c r="AV140">
        <v>44</v>
      </c>
      <c r="AW140">
        <v>1</v>
      </c>
      <c r="AX140" t="s">
        <v>74</v>
      </c>
      <c r="AY140" t="s">
        <v>74</v>
      </c>
      <c r="AZ140" t="s">
        <v>74</v>
      </c>
      <c r="BA140" t="s">
        <v>74</v>
      </c>
      <c r="BB140">
        <v>65</v>
      </c>
      <c r="BC140">
        <v>75</v>
      </c>
      <c r="BD140" t="s">
        <v>74</v>
      </c>
      <c r="BE140" t="s">
        <v>74</v>
      </c>
      <c r="BF140" t="s">
        <v>74</v>
      </c>
      <c r="BG140" t="s">
        <v>74</v>
      </c>
      <c r="BH140" t="s">
        <v>74</v>
      </c>
      <c r="BI140">
        <v>11</v>
      </c>
      <c r="BJ140" t="s">
        <v>3022</v>
      </c>
      <c r="BK140" t="s">
        <v>124</v>
      </c>
      <c r="BL140" t="s">
        <v>675</v>
      </c>
      <c r="BM140" t="s">
        <v>3023</v>
      </c>
      <c r="BN140" t="s">
        <v>74</v>
      </c>
      <c r="BO140" t="s">
        <v>74</v>
      </c>
      <c r="BP140" t="s">
        <v>74</v>
      </c>
      <c r="BQ140" t="s">
        <v>74</v>
      </c>
      <c r="BR140" t="s">
        <v>102</v>
      </c>
      <c r="BS140" t="s">
        <v>3024</v>
      </c>
      <c r="BT140" t="str">
        <f>HYPERLINK("https%3A%2F%2Fwww.webofscience.com%2Fwos%2Fwoscc%2Ffull-record%2FWOS:000753064500004","View Full Record in Web of Science")</f>
        <v>View Full Record in Web of Science</v>
      </c>
    </row>
    <row r="141" spans="1:72" x14ac:dyDescent="0.2">
      <c r="A141" t="s">
        <v>72</v>
      </c>
      <c r="B141" t="s">
        <v>3025</v>
      </c>
      <c r="C141" t="s">
        <v>74</v>
      </c>
      <c r="D141" t="s">
        <v>74</v>
      </c>
      <c r="E141" t="s">
        <v>74</v>
      </c>
      <c r="F141" t="s">
        <v>3026</v>
      </c>
      <c r="G141" t="s">
        <v>74</v>
      </c>
      <c r="H141" t="s">
        <v>74</v>
      </c>
      <c r="I141" t="s">
        <v>3027</v>
      </c>
      <c r="J141" t="s">
        <v>311</v>
      </c>
      <c r="K141" t="s">
        <v>74</v>
      </c>
      <c r="L141" t="s">
        <v>74</v>
      </c>
      <c r="M141" t="s">
        <v>78</v>
      </c>
      <c r="N141" t="s">
        <v>108</v>
      </c>
      <c r="O141" t="s">
        <v>74</v>
      </c>
      <c r="P141" t="s">
        <v>74</v>
      </c>
      <c r="Q141" t="s">
        <v>74</v>
      </c>
      <c r="R141" t="s">
        <v>74</v>
      </c>
      <c r="S141" t="s">
        <v>74</v>
      </c>
      <c r="T141" t="s">
        <v>3028</v>
      </c>
      <c r="U141" t="s">
        <v>3029</v>
      </c>
      <c r="V141" t="s">
        <v>3030</v>
      </c>
      <c r="W141" t="s">
        <v>3031</v>
      </c>
      <c r="X141" t="s">
        <v>3032</v>
      </c>
      <c r="Y141" t="s">
        <v>3033</v>
      </c>
      <c r="Z141" t="s">
        <v>3034</v>
      </c>
      <c r="AA141" t="s">
        <v>3035</v>
      </c>
      <c r="AB141" t="s">
        <v>3036</v>
      </c>
      <c r="AC141" t="s">
        <v>74</v>
      </c>
      <c r="AD141" t="s">
        <v>74</v>
      </c>
      <c r="AE141" t="s">
        <v>74</v>
      </c>
      <c r="AF141" t="s">
        <v>74</v>
      </c>
      <c r="AG141">
        <v>24</v>
      </c>
      <c r="AH141">
        <v>13</v>
      </c>
      <c r="AI141">
        <v>14</v>
      </c>
      <c r="AJ141">
        <v>0</v>
      </c>
      <c r="AK141">
        <v>28</v>
      </c>
      <c r="AL141" t="s">
        <v>321</v>
      </c>
      <c r="AM141" t="s">
        <v>322</v>
      </c>
      <c r="AN141" t="s">
        <v>323</v>
      </c>
      <c r="AO141" t="s">
        <v>324</v>
      </c>
      <c r="AP141" t="s">
        <v>325</v>
      </c>
      <c r="AQ141" t="s">
        <v>74</v>
      </c>
      <c r="AR141" t="s">
        <v>326</v>
      </c>
      <c r="AS141" t="s">
        <v>327</v>
      </c>
      <c r="AT141" t="s">
        <v>846</v>
      </c>
      <c r="AU141">
        <v>2014</v>
      </c>
      <c r="AV141">
        <v>216</v>
      </c>
      <c r="AW141">
        <v>1</v>
      </c>
      <c r="AX141" t="s">
        <v>74</v>
      </c>
      <c r="AY141" t="s">
        <v>74</v>
      </c>
      <c r="AZ141" t="s">
        <v>74</v>
      </c>
      <c r="BA141" t="s">
        <v>74</v>
      </c>
      <c r="BB141">
        <v>3</v>
      </c>
      <c r="BC141">
        <v>22</v>
      </c>
      <c r="BD141" t="s">
        <v>74</v>
      </c>
      <c r="BE141" t="s">
        <v>3037</v>
      </c>
      <c r="BF141" t="str">
        <f>HYPERLINK("http://dx.doi.org/10.1007/s10479-012-1236-9","http://dx.doi.org/10.1007/s10479-012-1236-9")</f>
        <v>http://dx.doi.org/10.1007/s10479-012-1236-9</v>
      </c>
      <c r="BG141" t="s">
        <v>74</v>
      </c>
      <c r="BH141" t="s">
        <v>74</v>
      </c>
      <c r="BI141">
        <v>20</v>
      </c>
      <c r="BJ141" t="s">
        <v>330</v>
      </c>
      <c r="BK141" t="s">
        <v>98</v>
      </c>
      <c r="BL141" t="s">
        <v>330</v>
      </c>
      <c r="BM141" t="s">
        <v>3038</v>
      </c>
      <c r="BN141" t="s">
        <v>74</v>
      </c>
      <c r="BO141" t="s">
        <v>74</v>
      </c>
      <c r="BP141" t="s">
        <v>74</v>
      </c>
      <c r="BQ141" t="s">
        <v>74</v>
      </c>
      <c r="BR141" t="s">
        <v>102</v>
      </c>
      <c r="BS141" t="s">
        <v>3039</v>
      </c>
      <c r="BT141" t="str">
        <f>HYPERLINK("https%3A%2F%2Fwww.webofscience.com%2Fwos%2Fwoscc%2Ffull-record%2FWOS:000337183500002","View Full Record in Web of Science")</f>
        <v>View Full Record in Web of Science</v>
      </c>
    </row>
    <row r="142" spans="1:72" x14ac:dyDescent="0.2">
      <c r="A142" t="s">
        <v>72</v>
      </c>
      <c r="B142" t="s">
        <v>3040</v>
      </c>
      <c r="C142" t="s">
        <v>74</v>
      </c>
      <c r="D142" t="s">
        <v>74</v>
      </c>
      <c r="E142" t="s">
        <v>74</v>
      </c>
      <c r="F142" t="s">
        <v>3041</v>
      </c>
      <c r="G142" t="s">
        <v>74</v>
      </c>
      <c r="H142" t="s">
        <v>74</v>
      </c>
      <c r="I142" t="s">
        <v>3042</v>
      </c>
      <c r="J142" t="s">
        <v>653</v>
      </c>
      <c r="K142" t="s">
        <v>74</v>
      </c>
      <c r="L142" t="s">
        <v>74</v>
      </c>
      <c r="M142" t="s">
        <v>78</v>
      </c>
      <c r="N142" t="s">
        <v>108</v>
      </c>
      <c r="O142" t="s">
        <v>74</v>
      </c>
      <c r="P142" t="s">
        <v>74</v>
      </c>
      <c r="Q142" t="s">
        <v>74</v>
      </c>
      <c r="R142" t="s">
        <v>74</v>
      </c>
      <c r="S142" t="s">
        <v>74</v>
      </c>
      <c r="T142" t="s">
        <v>3043</v>
      </c>
      <c r="U142" t="s">
        <v>3044</v>
      </c>
      <c r="V142" t="s">
        <v>3045</v>
      </c>
      <c r="W142" t="s">
        <v>3046</v>
      </c>
      <c r="X142" t="s">
        <v>3047</v>
      </c>
      <c r="Y142" t="s">
        <v>3048</v>
      </c>
      <c r="Z142" t="s">
        <v>3049</v>
      </c>
      <c r="AA142" t="s">
        <v>3050</v>
      </c>
      <c r="AB142" t="s">
        <v>74</v>
      </c>
      <c r="AC142" t="s">
        <v>3051</v>
      </c>
      <c r="AD142" t="s">
        <v>987</v>
      </c>
      <c r="AE142" t="s">
        <v>3052</v>
      </c>
      <c r="AF142" t="s">
        <v>74</v>
      </c>
      <c r="AG142">
        <v>70</v>
      </c>
      <c r="AH142">
        <v>1</v>
      </c>
      <c r="AI142">
        <v>1</v>
      </c>
      <c r="AJ142">
        <v>20</v>
      </c>
      <c r="AK142">
        <v>27</v>
      </c>
      <c r="AL142" t="s">
        <v>666</v>
      </c>
      <c r="AM142" t="s">
        <v>667</v>
      </c>
      <c r="AN142" t="s">
        <v>668</v>
      </c>
      <c r="AO142" t="s">
        <v>74</v>
      </c>
      <c r="AP142" t="s">
        <v>669</v>
      </c>
      <c r="AQ142" t="s">
        <v>74</v>
      </c>
      <c r="AR142" t="s">
        <v>670</v>
      </c>
      <c r="AS142" t="s">
        <v>671</v>
      </c>
      <c r="AT142" t="s">
        <v>1994</v>
      </c>
      <c r="AU142">
        <v>2023</v>
      </c>
      <c r="AV142">
        <v>11</v>
      </c>
      <c r="AW142" t="s">
        <v>74</v>
      </c>
      <c r="AX142" t="s">
        <v>74</v>
      </c>
      <c r="AY142" t="s">
        <v>74</v>
      </c>
      <c r="AZ142" t="s">
        <v>74</v>
      </c>
      <c r="BA142" t="s">
        <v>74</v>
      </c>
      <c r="BB142" t="s">
        <v>74</v>
      </c>
      <c r="BC142" t="s">
        <v>74</v>
      </c>
      <c r="BD142">
        <v>1107835</v>
      </c>
      <c r="BE142" t="s">
        <v>3053</v>
      </c>
      <c r="BF142" t="str">
        <f>HYPERLINK("http://dx.doi.org/10.3389/fenvs.2023.1107835","http://dx.doi.org/10.3389/fenvs.2023.1107835")</f>
        <v>http://dx.doi.org/10.3389/fenvs.2023.1107835</v>
      </c>
      <c r="BG142" t="s">
        <v>74</v>
      </c>
      <c r="BH142" t="s">
        <v>74</v>
      </c>
      <c r="BI142">
        <v>18</v>
      </c>
      <c r="BJ142" t="s">
        <v>674</v>
      </c>
      <c r="BK142" t="s">
        <v>98</v>
      </c>
      <c r="BL142" t="s">
        <v>675</v>
      </c>
      <c r="BM142" t="s">
        <v>3054</v>
      </c>
      <c r="BN142" t="s">
        <v>74</v>
      </c>
      <c r="BO142" t="s">
        <v>126</v>
      </c>
      <c r="BP142" t="s">
        <v>74</v>
      </c>
      <c r="BQ142" t="s">
        <v>74</v>
      </c>
      <c r="BR142" t="s">
        <v>102</v>
      </c>
      <c r="BS142" t="s">
        <v>3055</v>
      </c>
      <c r="BT142" t="str">
        <f>HYPERLINK("https%3A%2F%2Fwww.webofscience.com%2Fwos%2Fwoscc%2Ffull-record%2FWOS:000937241600001","View Full Record in Web of Science")</f>
        <v>View Full Record in Web of Science</v>
      </c>
    </row>
    <row r="143" spans="1:72" x14ac:dyDescent="0.2">
      <c r="A143" t="s">
        <v>72</v>
      </c>
      <c r="B143" t="s">
        <v>3056</v>
      </c>
      <c r="C143" t="s">
        <v>74</v>
      </c>
      <c r="D143" t="s">
        <v>74</v>
      </c>
      <c r="E143" t="s">
        <v>74</v>
      </c>
      <c r="F143" t="s">
        <v>3057</v>
      </c>
      <c r="G143" t="s">
        <v>74</v>
      </c>
      <c r="H143" t="s">
        <v>74</v>
      </c>
      <c r="I143" t="s">
        <v>3058</v>
      </c>
      <c r="J143" t="s">
        <v>3059</v>
      </c>
      <c r="K143" t="s">
        <v>74</v>
      </c>
      <c r="L143" t="s">
        <v>74</v>
      </c>
      <c r="M143" t="s">
        <v>78</v>
      </c>
      <c r="N143" t="s">
        <v>108</v>
      </c>
      <c r="O143" t="s">
        <v>74</v>
      </c>
      <c r="P143" t="s">
        <v>74</v>
      </c>
      <c r="Q143" t="s">
        <v>74</v>
      </c>
      <c r="R143" t="s">
        <v>74</v>
      </c>
      <c r="S143" t="s">
        <v>74</v>
      </c>
      <c r="T143" t="s">
        <v>3060</v>
      </c>
      <c r="U143" t="s">
        <v>3061</v>
      </c>
      <c r="V143" t="s">
        <v>3062</v>
      </c>
      <c r="W143" t="s">
        <v>3063</v>
      </c>
      <c r="X143" t="s">
        <v>3064</v>
      </c>
      <c r="Y143" t="s">
        <v>3065</v>
      </c>
      <c r="Z143" t="s">
        <v>74</v>
      </c>
      <c r="AA143" t="s">
        <v>74</v>
      </c>
      <c r="AB143" t="s">
        <v>74</v>
      </c>
      <c r="AC143" t="s">
        <v>74</v>
      </c>
      <c r="AD143" t="s">
        <v>74</v>
      </c>
      <c r="AE143" t="s">
        <v>74</v>
      </c>
      <c r="AF143" t="s">
        <v>74</v>
      </c>
      <c r="AG143">
        <v>48</v>
      </c>
      <c r="AH143">
        <v>1</v>
      </c>
      <c r="AI143">
        <v>1</v>
      </c>
      <c r="AJ143">
        <v>3</v>
      </c>
      <c r="AK143">
        <v>3</v>
      </c>
      <c r="AL143" t="s">
        <v>3066</v>
      </c>
      <c r="AM143" t="s">
        <v>3067</v>
      </c>
      <c r="AN143" t="s">
        <v>3068</v>
      </c>
      <c r="AO143" t="s">
        <v>3069</v>
      </c>
      <c r="AP143" t="s">
        <v>3070</v>
      </c>
      <c r="AQ143" t="s">
        <v>74</v>
      </c>
      <c r="AR143" t="s">
        <v>3071</v>
      </c>
      <c r="AS143" t="s">
        <v>3072</v>
      </c>
      <c r="AT143" t="s">
        <v>74</v>
      </c>
      <c r="AU143">
        <v>2023</v>
      </c>
      <c r="AV143">
        <v>19</v>
      </c>
      <c r="AW143">
        <v>1</v>
      </c>
      <c r="AX143" t="s">
        <v>74</v>
      </c>
      <c r="AY143" t="s">
        <v>74</v>
      </c>
      <c r="AZ143" t="s">
        <v>74</v>
      </c>
      <c r="BA143" t="s">
        <v>74</v>
      </c>
      <c r="BB143" t="s">
        <v>74</v>
      </c>
      <c r="BC143" t="s">
        <v>74</v>
      </c>
      <c r="BD143" t="s">
        <v>74</v>
      </c>
      <c r="BE143" t="s">
        <v>3073</v>
      </c>
      <c r="BF143" t="str">
        <f>HYPERLINK("http://dx.doi.org/10.4018/IJeC.315789","http://dx.doi.org/10.4018/IJeC.315789")</f>
        <v>http://dx.doi.org/10.4018/IJeC.315789</v>
      </c>
      <c r="BG143" t="s">
        <v>74</v>
      </c>
      <c r="BH143" t="s">
        <v>74</v>
      </c>
      <c r="BI143">
        <v>1</v>
      </c>
      <c r="BJ143" t="s">
        <v>123</v>
      </c>
      <c r="BK143" t="s">
        <v>124</v>
      </c>
      <c r="BL143" t="s">
        <v>99</v>
      </c>
      <c r="BM143" t="s">
        <v>3074</v>
      </c>
      <c r="BN143" t="s">
        <v>74</v>
      </c>
      <c r="BO143" t="s">
        <v>702</v>
      </c>
      <c r="BP143" t="s">
        <v>74</v>
      </c>
      <c r="BQ143" t="s">
        <v>74</v>
      </c>
      <c r="BR143" t="s">
        <v>102</v>
      </c>
      <c r="BS143" t="s">
        <v>3075</v>
      </c>
      <c r="BT143" t="str">
        <f>HYPERLINK("https%3A%2F%2Fwww.webofscience.com%2Fwos%2Fwoscc%2Ffull-record%2FWOS:000950668800004","View Full Record in Web of Science")</f>
        <v>View Full Record in Web of Science</v>
      </c>
    </row>
    <row r="144" spans="1:72" x14ac:dyDescent="0.2">
      <c r="A144" t="s">
        <v>72</v>
      </c>
      <c r="B144" t="s">
        <v>3076</v>
      </c>
      <c r="C144" t="s">
        <v>74</v>
      </c>
      <c r="D144" t="s">
        <v>74</v>
      </c>
      <c r="E144" t="s">
        <v>74</v>
      </c>
      <c r="F144" t="s">
        <v>3077</v>
      </c>
      <c r="G144" t="s">
        <v>74</v>
      </c>
      <c r="H144" t="s">
        <v>74</v>
      </c>
      <c r="I144" t="s">
        <v>3078</v>
      </c>
      <c r="J144" t="s">
        <v>531</v>
      </c>
      <c r="K144" t="s">
        <v>74</v>
      </c>
      <c r="L144" t="s">
        <v>74</v>
      </c>
      <c r="M144" t="s">
        <v>78</v>
      </c>
      <c r="N144" t="s">
        <v>482</v>
      </c>
      <c r="O144" t="s">
        <v>3079</v>
      </c>
      <c r="P144" t="s">
        <v>3080</v>
      </c>
      <c r="Q144" t="s">
        <v>3081</v>
      </c>
      <c r="R144" t="s">
        <v>74</v>
      </c>
      <c r="S144" t="s">
        <v>74</v>
      </c>
      <c r="T144" t="s">
        <v>3082</v>
      </c>
      <c r="U144" t="s">
        <v>3083</v>
      </c>
      <c r="V144" t="s">
        <v>3084</v>
      </c>
      <c r="W144" t="s">
        <v>3085</v>
      </c>
      <c r="X144" t="s">
        <v>3086</v>
      </c>
      <c r="Y144" t="s">
        <v>3087</v>
      </c>
      <c r="Z144" t="s">
        <v>3088</v>
      </c>
      <c r="AA144" t="s">
        <v>74</v>
      </c>
      <c r="AB144" t="s">
        <v>74</v>
      </c>
      <c r="AC144" t="s">
        <v>3089</v>
      </c>
      <c r="AD144" t="s">
        <v>3090</v>
      </c>
      <c r="AE144" t="s">
        <v>3091</v>
      </c>
      <c r="AF144" t="s">
        <v>74</v>
      </c>
      <c r="AG144">
        <v>28</v>
      </c>
      <c r="AH144">
        <v>3</v>
      </c>
      <c r="AI144">
        <v>3</v>
      </c>
      <c r="AJ144">
        <v>4</v>
      </c>
      <c r="AK144">
        <v>24</v>
      </c>
      <c r="AL144" t="s">
        <v>543</v>
      </c>
      <c r="AM144" t="s">
        <v>260</v>
      </c>
      <c r="AN144" t="s">
        <v>544</v>
      </c>
      <c r="AO144" t="s">
        <v>545</v>
      </c>
      <c r="AP144" t="s">
        <v>546</v>
      </c>
      <c r="AQ144" t="s">
        <v>74</v>
      </c>
      <c r="AR144" t="s">
        <v>547</v>
      </c>
      <c r="AS144" t="s">
        <v>548</v>
      </c>
      <c r="AT144" t="s">
        <v>121</v>
      </c>
      <c r="AU144">
        <v>2021</v>
      </c>
      <c r="AV144">
        <v>157</v>
      </c>
      <c r="AW144" t="s">
        <v>74</v>
      </c>
      <c r="AX144" t="s">
        <v>74</v>
      </c>
      <c r="AY144" t="s">
        <v>74</v>
      </c>
      <c r="AZ144" t="s">
        <v>74</v>
      </c>
      <c r="BA144" t="s">
        <v>74</v>
      </c>
      <c r="BB144" t="s">
        <v>74</v>
      </c>
      <c r="BC144" t="s">
        <v>74</v>
      </c>
      <c r="BD144">
        <v>107312</v>
      </c>
      <c r="BE144" t="s">
        <v>3092</v>
      </c>
      <c r="BF144" t="str">
        <f>HYPERLINK("http://dx.doi.org/10.1016/j.cie.2021.107312","http://dx.doi.org/10.1016/j.cie.2021.107312")</f>
        <v>http://dx.doi.org/10.1016/j.cie.2021.107312</v>
      </c>
      <c r="BG144" t="s">
        <v>74</v>
      </c>
      <c r="BH144" t="s">
        <v>848</v>
      </c>
      <c r="BI144">
        <v>13</v>
      </c>
      <c r="BJ144" t="s">
        <v>550</v>
      </c>
      <c r="BK144" t="s">
        <v>3093</v>
      </c>
      <c r="BL144" t="s">
        <v>269</v>
      </c>
      <c r="BM144" t="s">
        <v>3094</v>
      </c>
      <c r="BN144" t="s">
        <v>74</v>
      </c>
      <c r="BO144" t="s">
        <v>74</v>
      </c>
      <c r="BP144" t="s">
        <v>74</v>
      </c>
      <c r="BQ144" t="s">
        <v>74</v>
      </c>
      <c r="BR144" t="s">
        <v>102</v>
      </c>
      <c r="BS144" t="s">
        <v>3095</v>
      </c>
      <c r="BT144" t="str">
        <f>HYPERLINK("https%3A%2F%2Fwww.webofscience.com%2Fwos%2Fwoscc%2Ffull-record%2FWOS:000659146800003","View Full Record in Web of Science")</f>
        <v>View Full Record in Web of Science</v>
      </c>
    </row>
    <row r="145" spans="1:72" x14ac:dyDescent="0.2">
      <c r="A145" t="s">
        <v>72</v>
      </c>
      <c r="B145" t="s">
        <v>3096</v>
      </c>
      <c r="C145" t="s">
        <v>74</v>
      </c>
      <c r="D145" t="s">
        <v>74</v>
      </c>
      <c r="E145" t="s">
        <v>74</v>
      </c>
      <c r="F145" t="s">
        <v>3097</v>
      </c>
      <c r="G145" t="s">
        <v>74</v>
      </c>
      <c r="H145" t="s">
        <v>74</v>
      </c>
      <c r="I145" t="s">
        <v>3098</v>
      </c>
      <c r="J145" t="s">
        <v>3099</v>
      </c>
      <c r="K145" t="s">
        <v>74</v>
      </c>
      <c r="L145" t="s">
        <v>74</v>
      </c>
      <c r="M145" t="s">
        <v>78</v>
      </c>
      <c r="N145" t="s">
        <v>108</v>
      </c>
      <c r="O145" t="s">
        <v>74</v>
      </c>
      <c r="P145" t="s">
        <v>74</v>
      </c>
      <c r="Q145" t="s">
        <v>74</v>
      </c>
      <c r="R145" t="s">
        <v>74</v>
      </c>
      <c r="S145" t="s">
        <v>74</v>
      </c>
      <c r="T145" t="s">
        <v>3100</v>
      </c>
      <c r="U145" t="s">
        <v>3101</v>
      </c>
      <c r="V145" t="s">
        <v>3102</v>
      </c>
      <c r="W145" t="s">
        <v>3103</v>
      </c>
      <c r="X145" t="s">
        <v>3104</v>
      </c>
      <c r="Y145" t="s">
        <v>3105</v>
      </c>
      <c r="Z145" t="s">
        <v>3106</v>
      </c>
      <c r="AA145" t="s">
        <v>2671</v>
      </c>
      <c r="AB145" t="s">
        <v>2672</v>
      </c>
      <c r="AC145" t="s">
        <v>74</v>
      </c>
      <c r="AD145" t="s">
        <v>74</v>
      </c>
      <c r="AE145" t="s">
        <v>74</v>
      </c>
      <c r="AF145" t="s">
        <v>74</v>
      </c>
      <c r="AG145">
        <v>33</v>
      </c>
      <c r="AH145">
        <v>0</v>
      </c>
      <c r="AI145">
        <v>0</v>
      </c>
      <c r="AJ145">
        <v>0</v>
      </c>
      <c r="AK145">
        <v>11</v>
      </c>
      <c r="AL145" t="s">
        <v>437</v>
      </c>
      <c r="AM145" t="s">
        <v>438</v>
      </c>
      <c r="AN145" t="s">
        <v>439</v>
      </c>
      <c r="AO145" t="s">
        <v>3107</v>
      </c>
      <c r="AP145" t="s">
        <v>3108</v>
      </c>
      <c r="AQ145" t="s">
        <v>74</v>
      </c>
      <c r="AR145" t="s">
        <v>3109</v>
      </c>
      <c r="AS145" t="s">
        <v>3110</v>
      </c>
      <c r="AT145" t="s">
        <v>74</v>
      </c>
      <c r="AU145">
        <v>2018</v>
      </c>
      <c r="AV145">
        <v>13</v>
      </c>
      <c r="AW145">
        <v>3</v>
      </c>
      <c r="AX145" t="s">
        <v>74</v>
      </c>
      <c r="AY145" t="s">
        <v>74</v>
      </c>
      <c r="AZ145" t="s">
        <v>74</v>
      </c>
      <c r="BA145" t="s">
        <v>74</v>
      </c>
      <c r="BB145">
        <v>646</v>
      </c>
      <c r="BC145">
        <v>674</v>
      </c>
      <c r="BD145" t="s">
        <v>74</v>
      </c>
      <c r="BE145" t="s">
        <v>3111</v>
      </c>
      <c r="BF145" t="str">
        <f>HYPERLINK("http://dx.doi.org/10.1108/JM2-12-2016-0137","http://dx.doi.org/10.1108/JM2-12-2016-0137")</f>
        <v>http://dx.doi.org/10.1108/JM2-12-2016-0137</v>
      </c>
      <c r="BG145" t="s">
        <v>74</v>
      </c>
      <c r="BH145" t="s">
        <v>74</v>
      </c>
      <c r="BI145">
        <v>29</v>
      </c>
      <c r="BJ145" t="s">
        <v>418</v>
      </c>
      <c r="BK145" t="s">
        <v>124</v>
      </c>
      <c r="BL145" t="s">
        <v>419</v>
      </c>
      <c r="BM145" t="s">
        <v>3112</v>
      </c>
      <c r="BN145" t="s">
        <v>74</v>
      </c>
      <c r="BO145" t="s">
        <v>74</v>
      </c>
      <c r="BP145" t="s">
        <v>74</v>
      </c>
      <c r="BQ145" t="s">
        <v>74</v>
      </c>
      <c r="BR145" t="s">
        <v>102</v>
      </c>
      <c r="BS145" t="s">
        <v>3113</v>
      </c>
      <c r="BT145" t="str">
        <f>HYPERLINK("https%3A%2F%2Fwww.webofscience.com%2Fwos%2Fwoscc%2Ffull-record%2FWOS:000447320900007","View Full Record in Web of Science")</f>
        <v>View Full Record in Web of Science</v>
      </c>
    </row>
    <row r="146" spans="1:72" x14ac:dyDescent="0.2">
      <c r="A146" t="s">
        <v>72</v>
      </c>
      <c r="B146" t="s">
        <v>3114</v>
      </c>
      <c r="C146" t="s">
        <v>74</v>
      </c>
      <c r="D146" t="s">
        <v>74</v>
      </c>
      <c r="E146" t="s">
        <v>74</v>
      </c>
      <c r="F146" t="s">
        <v>3115</v>
      </c>
      <c r="G146" t="s">
        <v>74</v>
      </c>
      <c r="H146" t="s">
        <v>74</v>
      </c>
      <c r="I146" t="s">
        <v>3116</v>
      </c>
      <c r="J146" t="s">
        <v>3117</v>
      </c>
      <c r="K146" t="s">
        <v>74</v>
      </c>
      <c r="L146" t="s">
        <v>74</v>
      </c>
      <c r="M146" t="s">
        <v>78</v>
      </c>
      <c r="N146" t="s">
        <v>108</v>
      </c>
      <c r="O146" t="s">
        <v>74</v>
      </c>
      <c r="P146" t="s">
        <v>74</v>
      </c>
      <c r="Q146" t="s">
        <v>74</v>
      </c>
      <c r="R146" t="s">
        <v>74</v>
      </c>
      <c r="S146" t="s">
        <v>74</v>
      </c>
      <c r="T146" t="s">
        <v>3118</v>
      </c>
      <c r="U146" t="s">
        <v>3119</v>
      </c>
      <c r="V146" t="s">
        <v>3120</v>
      </c>
      <c r="W146" t="s">
        <v>3121</v>
      </c>
      <c r="X146" t="s">
        <v>3122</v>
      </c>
      <c r="Y146" t="s">
        <v>3123</v>
      </c>
      <c r="Z146" t="s">
        <v>3124</v>
      </c>
      <c r="AA146" t="s">
        <v>2951</v>
      </c>
      <c r="AB146" t="s">
        <v>74</v>
      </c>
      <c r="AC146" t="s">
        <v>3125</v>
      </c>
      <c r="AD146" t="s">
        <v>3126</v>
      </c>
      <c r="AE146" t="s">
        <v>3127</v>
      </c>
      <c r="AF146" t="s">
        <v>74</v>
      </c>
      <c r="AG146">
        <v>25</v>
      </c>
      <c r="AH146">
        <v>12</v>
      </c>
      <c r="AI146">
        <v>14</v>
      </c>
      <c r="AJ146">
        <v>15</v>
      </c>
      <c r="AK146">
        <v>92</v>
      </c>
      <c r="AL146" t="s">
        <v>3128</v>
      </c>
      <c r="AM146" t="s">
        <v>3129</v>
      </c>
      <c r="AN146" t="s">
        <v>3130</v>
      </c>
      <c r="AO146" t="s">
        <v>3131</v>
      </c>
      <c r="AP146" t="s">
        <v>3132</v>
      </c>
      <c r="AQ146" t="s">
        <v>74</v>
      </c>
      <c r="AR146" t="s">
        <v>3133</v>
      </c>
      <c r="AS146" t="s">
        <v>3134</v>
      </c>
      <c r="AT146" t="s">
        <v>74</v>
      </c>
      <c r="AU146">
        <v>2020</v>
      </c>
      <c r="AV146">
        <v>64</v>
      </c>
      <c r="AW146">
        <v>2</v>
      </c>
      <c r="AX146" t="s">
        <v>74</v>
      </c>
      <c r="AY146" t="s">
        <v>74</v>
      </c>
      <c r="AZ146" t="s">
        <v>74</v>
      </c>
      <c r="BA146" t="s">
        <v>74</v>
      </c>
      <c r="BB146">
        <v>1091</v>
      </c>
      <c r="BC146">
        <v>1105</v>
      </c>
      <c r="BD146" t="s">
        <v>74</v>
      </c>
      <c r="BE146" t="s">
        <v>3135</v>
      </c>
      <c r="BF146" t="str">
        <f>HYPERLINK("http://dx.doi.org/10.32604/cmc.2020.09834","http://dx.doi.org/10.32604/cmc.2020.09834")</f>
        <v>http://dx.doi.org/10.32604/cmc.2020.09834</v>
      </c>
      <c r="BG146" t="s">
        <v>74</v>
      </c>
      <c r="BH146" t="s">
        <v>74</v>
      </c>
      <c r="BI146">
        <v>15</v>
      </c>
      <c r="BJ146" t="s">
        <v>3136</v>
      </c>
      <c r="BK146" t="s">
        <v>98</v>
      </c>
      <c r="BL146" t="s">
        <v>3137</v>
      </c>
      <c r="BM146" t="s">
        <v>3138</v>
      </c>
      <c r="BN146" t="s">
        <v>74</v>
      </c>
      <c r="BO146" t="s">
        <v>126</v>
      </c>
      <c r="BP146" t="s">
        <v>74</v>
      </c>
      <c r="BQ146" t="s">
        <v>74</v>
      </c>
      <c r="BR146" t="s">
        <v>102</v>
      </c>
      <c r="BS146" t="s">
        <v>3139</v>
      </c>
      <c r="BT146" t="str">
        <f>HYPERLINK("https%3A%2F%2Fwww.webofscience.com%2Fwos%2Fwoscc%2Ffull-record%2FWOS:000540749400024","View Full Record in Web of Science")</f>
        <v>View Full Record in Web of Science</v>
      </c>
    </row>
    <row r="147" spans="1:72" x14ac:dyDescent="0.2">
      <c r="A147" t="s">
        <v>72</v>
      </c>
      <c r="B147" t="s">
        <v>3140</v>
      </c>
      <c r="C147" t="s">
        <v>74</v>
      </c>
      <c r="D147" t="s">
        <v>74</v>
      </c>
      <c r="E147" t="s">
        <v>74</v>
      </c>
      <c r="F147" t="s">
        <v>3141</v>
      </c>
      <c r="G147" t="s">
        <v>74</v>
      </c>
      <c r="H147" t="s">
        <v>74</v>
      </c>
      <c r="I147" t="s">
        <v>3142</v>
      </c>
      <c r="J147" t="s">
        <v>3143</v>
      </c>
      <c r="K147" t="s">
        <v>74</v>
      </c>
      <c r="L147" t="s">
        <v>74</v>
      </c>
      <c r="M147" t="s">
        <v>78</v>
      </c>
      <c r="N147" t="s">
        <v>108</v>
      </c>
      <c r="O147" t="s">
        <v>74</v>
      </c>
      <c r="P147" t="s">
        <v>74</v>
      </c>
      <c r="Q147" t="s">
        <v>74</v>
      </c>
      <c r="R147" t="s">
        <v>74</v>
      </c>
      <c r="S147" t="s">
        <v>74</v>
      </c>
      <c r="T147" t="s">
        <v>3144</v>
      </c>
      <c r="U147" t="s">
        <v>74</v>
      </c>
      <c r="V147" t="s">
        <v>3145</v>
      </c>
      <c r="W147" t="s">
        <v>3146</v>
      </c>
      <c r="X147" t="s">
        <v>3147</v>
      </c>
      <c r="Y147" t="s">
        <v>3148</v>
      </c>
      <c r="Z147" t="s">
        <v>3149</v>
      </c>
      <c r="AA147" t="s">
        <v>74</v>
      </c>
      <c r="AB147" t="s">
        <v>74</v>
      </c>
      <c r="AC147" t="s">
        <v>74</v>
      </c>
      <c r="AD147" t="s">
        <v>74</v>
      </c>
      <c r="AE147" t="s">
        <v>74</v>
      </c>
      <c r="AF147" t="s">
        <v>74</v>
      </c>
      <c r="AG147">
        <v>36</v>
      </c>
      <c r="AH147">
        <v>5</v>
      </c>
      <c r="AI147">
        <v>5</v>
      </c>
      <c r="AJ147">
        <v>3</v>
      </c>
      <c r="AK147">
        <v>23</v>
      </c>
      <c r="AL147" t="s">
        <v>2752</v>
      </c>
      <c r="AM147" t="s">
        <v>2753</v>
      </c>
      <c r="AN147" t="s">
        <v>2754</v>
      </c>
      <c r="AO147" t="s">
        <v>3150</v>
      </c>
      <c r="AP147" t="s">
        <v>3151</v>
      </c>
      <c r="AQ147" t="s">
        <v>74</v>
      </c>
      <c r="AR147" t="s">
        <v>3152</v>
      </c>
      <c r="AS147" t="s">
        <v>3153</v>
      </c>
      <c r="AT147" t="s">
        <v>394</v>
      </c>
      <c r="AU147">
        <v>2020</v>
      </c>
      <c r="AV147">
        <v>7</v>
      </c>
      <c r="AW147">
        <v>3</v>
      </c>
      <c r="AX147" t="s">
        <v>74</v>
      </c>
      <c r="AY147" t="s">
        <v>74</v>
      </c>
      <c r="AZ147" t="s">
        <v>74</v>
      </c>
      <c r="BA147" t="s">
        <v>74</v>
      </c>
      <c r="BB147" t="s">
        <v>74</v>
      </c>
      <c r="BC147" t="s">
        <v>74</v>
      </c>
      <c r="BD147">
        <v>2050019</v>
      </c>
      <c r="BE147" t="s">
        <v>3154</v>
      </c>
      <c r="BF147" t="str">
        <f>HYPERLINK("http://dx.doi.org/10.1142/S242478632050019X","http://dx.doi.org/10.1142/S242478632050019X")</f>
        <v>http://dx.doi.org/10.1142/S242478632050019X</v>
      </c>
      <c r="BG147" t="s">
        <v>74</v>
      </c>
      <c r="BH147" t="s">
        <v>74</v>
      </c>
      <c r="BI147">
        <v>22</v>
      </c>
      <c r="BJ147" t="s">
        <v>1527</v>
      </c>
      <c r="BK147" t="s">
        <v>124</v>
      </c>
      <c r="BL147" t="s">
        <v>419</v>
      </c>
      <c r="BM147" t="s">
        <v>3155</v>
      </c>
      <c r="BN147" t="s">
        <v>74</v>
      </c>
      <c r="BO147" t="s">
        <v>74</v>
      </c>
      <c r="BP147" t="s">
        <v>74</v>
      </c>
      <c r="BQ147" t="s">
        <v>74</v>
      </c>
      <c r="BR147" t="s">
        <v>102</v>
      </c>
      <c r="BS147" t="s">
        <v>3156</v>
      </c>
      <c r="BT147" t="str">
        <f>HYPERLINK("https%3A%2F%2Fwww.webofscience.com%2Fwos%2Fwoscc%2Ffull-record%2FWOS:000580374200001","View Full Record in Web of Science")</f>
        <v>View Full Record in Web of Science</v>
      </c>
    </row>
    <row r="148" spans="1:72" x14ac:dyDescent="0.2">
      <c r="A148" t="s">
        <v>72</v>
      </c>
      <c r="B148" t="s">
        <v>3157</v>
      </c>
      <c r="C148" t="s">
        <v>74</v>
      </c>
      <c r="D148" t="s">
        <v>74</v>
      </c>
      <c r="E148" t="s">
        <v>74</v>
      </c>
      <c r="F148" t="s">
        <v>3158</v>
      </c>
      <c r="G148" t="s">
        <v>74</v>
      </c>
      <c r="H148" t="s">
        <v>74</v>
      </c>
      <c r="I148" t="s">
        <v>3159</v>
      </c>
      <c r="J148" t="s">
        <v>762</v>
      </c>
      <c r="K148" t="s">
        <v>74</v>
      </c>
      <c r="L148" t="s">
        <v>74</v>
      </c>
      <c r="M148" t="s">
        <v>78</v>
      </c>
      <c r="N148" t="s">
        <v>108</v>
      </c>
      <c r="O148" t="s">
        <v>74</v>
      </c>
      <c r="P148" t="s">
        <v>74</v>
      </c>
      <c r="Q148" t="s">
        <v>74</v>
      </c>
      <c r="R148" t="s">
        <v>74</v>
      </c>
      <c r="S148" t="s">
        <v>74</v>
      </c>
      <c r="T148" t="s">
        <v>3160</v>
      </c>
      <c r="U148" t="s">
        <v>3161</v>
      </c>
      <c r="V148" t="s">
        <v>3162</v>
      </c>
      <c r="W148" t="s">
        <v>3163</v>
      </c>
      <c r="X148" t="s">
        <v>3164</v>
      </c>
      <c r="Y148" t="s">
        <v>3165</v>
      </c>
      <c r="Z148" t="s">
        <v>3166</v>
      </c>
      <c r="AA148" t="s">
        <v>3167</v>
      </c>
      <c r="AB148" t="s">
        <v>3168</v>
      </c>
      <c r="AC148" t="s">
        <v>74</v>
      </c>
      <c r="AD148" t="s">
        <v>74</v>
      </c>
      <c r="AE148" t="s">
        <v>74</v>
      </c>
      <c r="AF148" t="s">
        <v>74</v>
      </c>
      <c r="AG148">
        <v>136</v>
      </c>
      <c r="AH148">
        <v>169</v>
      </c>
      <c r="AI148">
        <v>170</v>
      </c>
      <c r="AJ148">
        <v>25</v>
      </c>
      <c r="AK148">
        <v>181</v>
      </c>
      <c r="AL148" t="s">
        <v>279</v>
      </c>
      <c r="AM148" t="s">
        <v>280</v>
      </c>
      <c r="AN148" t="s">
        <v>281</v>
      </c>
      <c r="AO148" t="s">
        <v>773</v>
      </c>
      <c r="AP148" t="s">
        <v>774</v>
      </c>
      <c r="AQ148" t="s">
        <v>74</v>
      </c>
      <c r="AR148" t="s">
        <v>775</v>
      </c>
      <c r="AS148" t="s">
        <v>776</v>
      </c>
      <c r="AT148" t="s">
        <v>74</v>
      </c>
      <c r="AU148">
        <v>2018</v>
      </c>
      <c r="AV148">
        <v>56</v>
      </c>
      <c r="AW148">
        <v>17</v>
      </c>
      <c r="AX148" t="s">
        <v>74</v>
      </c>
      <c r="AY148" t="s">
        <v>74</v>
      </c>
      <c r="AZ148" t="s">
        <v>74</v>
      </c>
      <c r="BA148" t="s">
        <v>74</v>
      </c>
      <c r="BB148">
        <v>5945</v>
      </c>
      <c r="BC148">
        <v>5968</v>
      </c>
      <c r="BD148" t="s">
        <v>74</v>
      </c>
      <c r="BE148" t="s">
        <v>3169</v>
      </c>
      <c r="BF148" t="str">
        <f>HYPERLINK("http://dx.doi.org/10.1080/00207543.2018.1461950","http://dx.doi.org/10.1080/00207543.2018.1461950")</f>
        <v>http://dx.doi.org/10.1080/00207543.2018.1461950</v>
      </c>
      <c r="BG148" t="s">
        <v>74</v>
      </c>
      <c r="BH148" t="s">
        <v>74</v>
      </c>
      <c r="BI148">
        <v>24</v>
      </c>
      <c r="BJ148" t="s">
        <v>780</v>
      </c>
      <c r="BK148" t="s">
        <v>147</v>
      </c>
      <c r="BL148" t="s">
        <v>781</v>
      </c>
      <c r="BM148" t="s">
        <v>3170</v>
      </c>
      <c r="BN148" t="s">
        <v>74</v>
      </c>
      <c r="BO148" t="s">
        <v>74</v>
      </c>
      <c r="BP148" t="s">
        <v>2105</v>
      </c>
      <c r="BQ148" t="s">
        <v>2106</v>
      </c>
      <c r="BR148" t="s">
        <v>102</v>
      </c>
      <c r="BS148" t="s">
        <v>3171</v>
      </c>
      <c r="BT148" t="str">
        <f>HYPERLINK("https%3A%2F%2Fwww.webofscience.com%2Fwos%2Fwoscc%2Ffull-record%2FWOS:000449509100019","View Full Record in Web of Science")</f>
        <v>View Full Record in Web of Science</v>
      </c>
    </row>
    <row r="149" spans="1:72" x14ac:dyDescent="0.2">
      <c r="A149" t="s">
        <v>72</v>
      </c>
      <c r="B149" t="s">
        <v>3172</v>
      </c>
      <c r="C149" t="s">
        <v>74</v>
      </c>
      <c r="D149" t="s">
        <v>74</v>
      </c>
      <c r="E149" t="s">
        <v>74</v>
      </c>
      <c r="F149" t="s">
        <v>3173</v>
      </c>
      <c r="G149" t="s">
        <v>74</v>
      </c>
      <c r="H149" t="s">
        <v>74</v>
      </c>
      <c r="I149" t="s">
        <v>3174</v>
      </c>
      <c r="J149" t="s">
        <v>225</v>
      </c>
      <c r="K149" t="s">
        <v>74</v>
      </c>
      <c r="L149" t="s">
        <v>74</v>
      </c>
      <c r="M149" t="s">
        <v>78</v>
      </c>
      <c r="N149" t="s">
        <v>108</v>
      </c>
      <c r="O149" t="s">
        <v>74</v>
      </c>
      <c r="P149" t="s">
        <v>74</v>
      </c>
      <c r="Q149" t="s">
        <v>74</v>
      </c>
      <c r="R149" t="s">
        <v>74</v>
      </c>
      <c r="S149" t="s">
        <v>74</v>
      </c>
      <c r="T149" t="s">
        <v>3175</v>
      </c>
      <c r="U149" t="s">
        <v>3176</v>
      </c>
      <c r="V149" t="s">
        <v>3177</v>
      </c>
      <c r="W149" t="s">
        <v>3178</v>
      </c>
      <c r="X149" t="s">
        <v>3179</v>
      </c>
      <c r="Y149" t="s">
        <v>3180</v>
      </c>
      <c r="Z149" t="s">
        <v>3181</v>
      </c>
      <c r="AA149" t="s">
        <v>3182</v>
      </c>
      <c r="AB149" t="s">
        <v>3183</v>
      </c>
      <c r="AC149" t="s">
        <v>74</v>
      </c>
      <c r="AD149" t="s">
        <v>74</v>
      </c>
      <c r="AE149" t="s">
        <v>74</v>
      </c>
      <c r="AF149" t="s">
        <v>74</v>
      </c>
      <c r="AG149">
        <v>143</v>
      </c>
      <c r="AH149">
        <v>0</v>
      </c>
      <c r="AI149">
        <v>0</v>
      </c>
      <c r="AJ149">
        <v>10</v>
      </c>
      <c r="AK149">
        <v>19</v>
      </c>
      <c r="AL149" t="s">
        <v>116</v>
      </c>
      <c r="AM149" t="s">
        <v>117</v>
      </c>
      <c r="AN149" t="s">
        <v>118</v>
      </c>
      <c r="AO149" t="s">
        <v>74</v>
      </c>
      <c r="AP149" t="s">
        <v>236</v>
      </c>
      <c r="AQ149" t="s">
        <v>74</v>
      </c>
      <c r="AR149" t="s">
        <v>237</v>
      </c>
      <c r="AS149" t="s">
        <v>238</v>
      </c>
      <c r="AT149" t="s">
        <v>372</v>
      </c>
      <c r="AU149">
        <v>2023</v>
      </c>
      <c r="AV149">
        <v>11</v>
      </c>
      <c r="AW149">
        <v>1</v>
      </c>
      <c r="AX149" t="s">
        <v>74</v>
      </c>
      <c r="AY149" t="s">
        <v>74</v>
      </c>
      <c r="AZ149" t="s">
        <v>74</v>
      </c>
      <c r="BA149" t="s">
        <v>74</v>
      </c>
      <c r="BB149" t="s">
        <v>74</v>
      </c>
      <c r="BC149" t="s">
        <v>74</v>
      </c>
      <c r="BD149">
        <v>46</v>
      </c>
      <c r="BE149" t="s">
        <v>3184</v>
      </c>
      <c r="BF149" t="str">
        <f>HYPERLINK("http://dx.doi.org/10.3390/systems11010046","http://dx.doi.org/10.3390/systems11010046")</f>
        <v>http://dx.doi.org/10.3390/systems11010046</v>
      </c>
      <c r="BG149" t="s">
        <v>74</v>
      </c>
      <c r="BH149" t="s">
        <v>74</v>
      </c>
      <c r="BI149">
        <v>19</v>
      </c>
      <c r="BJ149" t="s">
        <v>241</v>
      </c>
      <c r="BK149" t="s">
        <v>242</v>
      </c>
      <c r="BL149" t="s">
        <v>243</v>
      </c>
      <c r="BM149" t="s">
        <v>3185</v>
      </c>
      <c r="BN149" t="s">
        <v>74</v>
      </c>
      <c r="BO149" t="s">
        <v>126</v>
      </c>
      <c r="BP149" t="s">
        <v>74</v>
      </c>
      <c r="BQ149" t="s">
        <v>74</v>
      </c>
      <c r="BR149" t="s">
        <v>102</v>
      </c>
      <c r="BS149" t="s">
        <v>3186</v>
      </c>
      <c r="BT149" t="str">
        <f>HYPERLINK("https%3A%2F%2Fwww.webofscience.com%2Fwos%2Fwoscc%2Ffull-record%2FWOS:000916414700001","View Full Record in Web of Science")</f>
        <v>View Full Record in Web of Science</v>
      </c>
    </row>
    <row r="150" spans="1:72" x14ac:dyDescent="0.2">
      <c r="A150" t="s">
        <v>72</v>
      </c>
      <c r="B150" t="s">
        <v>3187</v>
      </c>
      <c r="C150" t="s">
        <v>74</v>
      </c>
      <c r="D150" t="s">
        <v>74</v>
      </c>
      <c r="E150" t="s">
        <v>74</v>
      </c>
      <c r="F150" t="s">
        <v>3187</v>
      </c>
      <c r="G150" t="s">
        <v>74</v>
      </c>
      <c r="H150" t="s">
        <v>74</v>
      </c>
      <c r="I150" t="s">
        <v>3188</v>
      </c>
      <c r="J150" t="s">
        <v>3189</v>
      </c>
      <c r="K150" t="s">
        <v>74</v>
      </c>
      <c r="L150" t="s">
        <v>74</v>
      </c>
      <c r="M150" t="s">
        <v>78</v>
      </c>
      <c r="N150" t="s">
        <v>108</v>
      </c>
      <c r="O150" t="s">
        <v>74</v>
      </c>
      <c r="P150" t="s">
        <v>74</v>
      </c>
      <c r="Q150" t="s">
        <v>74</v>
      </c>
      <c r="R150" t="s">
        <v>74</v>
      </c>
      <c r="S150" t="s">
        <v>74</v>
      </c>
      <c r="T150" t="s">
        <v>3190</v>
      </c>
      <c r="U150" t="s">
        <v>3029</v>
      </c>
      <c r="V150" t="s">
        <v>3191</v>
      </c>
      <c r="W150" t="s">
        <v>3192</v>
      </c>
      <c r="X150" t="s">
        <v>3193</v>
      </c>
      <c r="Y150" t="s">
        <v>3194</v>
      </c>
      <c r="Z150" t="s">
        <v>3195</v>
      </c>
      <c r="AA150" t="s">
        <v>3196</v>
      </c>
      <c r="AB150" t="s">
        <v>74</v>
      </c>
      <c r="AC150" t="s">
        <v>74</v>
      </c>
      <c r="AD150" t="s">
        <v>74</v>
      </c>
      <c r="AE150" t="s">
        <v>74</v>
      </c>
      <c r="AF150" t="s">
        <v>74</v>
      </c>
      <c r="AG150">
        <v>17</v>
      </c>
      <c r="AH150">
        <v>11</v>
      </c>
      <c r="AI150">
        <v>11</v>
      </c>
      <c r="AJ150">
        <v>0</v>
      </c>
      <c r="AK150">
        <v>13</v>
      </c>
      <c r="AL150" t="s">
        <v>1946</v>
      </c>
      <c r="AM150" t="s">
        <v>90</v>
      </c>
      <c r="AN150" t="s">
        <v>1947</v>
      </c>
      <c r="AO150" t="s">
        <v>3197</v>
      </c>
      <c r="AP150" t="s">
        <v>3198</v>
      </c>
      <c r="AQ150" t="s">
        <v>74</v>
      </c>
      <c r="AR150" t="s">
        <v>3199</v>
      </c>
      <c r="AS150" t="s">
        <v>3200</v>
      </c>
      <c r="AT150" t="s">
        <v>216</v>
      </c>
      <c r="AU150">
        <v>2003</v>
      </c>
      <c r="AV150">
        <v>22</v>
      </c>
      <c r="AW150" t="s">
        <v>3201</v>
      </c>
      <c r="AX150" t="s">
        <v>74</v>
      </c>
      <c r="AY150" t="s">
        <v>74</v>
      </c>
      <c r="AZ150" t="s">
        <v>74</v>
      </c>
      <c r="BA150" t="s">
        <v>74</v>
      </c>
      <c r="BB150">
        <v>836</v>
      </c>
      <c r="BC150">
        <v>847</v>
      </c>
      <c r="BD150" t="s">
        <v>74</v>
      </c>
      <c r="BE150" t="s">
        <v>3202</v>
      </c>
      <c r="BF150" t="str">
        <f>HYPERLINK("http://dx.doi.org/10.1007/s00170-003-1605-2","http://dx.doi.org/10.1007/s00170-003-1605-2")</f>
        <v>http://dx.doi.org/10.1007/s00170-003-1605-2</v>
      </c>
      <c r="BG150" t="s">
        <v>74</v>
      </c>
      <c r="BH150" t="s">
        <v>74</v>
      </c>
      <c r="BI150">
        <v>12</v>
      </c>
      <c r="BJ150" t="s">
        <v>3203</v>
      </c>
      <c r="BK150" t="s">
        <v>98</v>
      </c>
      <c r="BL150" t="s">
        <v>3204</v>
      </c>
      <c r="BM150" t="s">
        <v>3205</v>
      </c>
      <c r="BN150" t="s">
        <v>74</v>
      </c>
      <c r="BO150" t="s">
        <v>74</v>
      </c>
      <c r="BP150" t="s">
        <v>74</v>
      </c>
      <c r="BQ150" t="s">
        <v>74</v>
      </c>
      <c r="BR150" t="s">
        <v>102</v>
      </c>
      <c r="BS150" t="s">
        <v>3206</v>
      </c>
      <c r="BT150" t="str">
        <f>HYPERLINK("https%3A%2F%2Fwww.webofscience.com%2Fwos%2Fwoscc%2Ffull-record%2FWOS:000187129000009","View Full Record in Web of Science")</f>
        <v>View Full Record in Web of Science</v>
      </c>
    </row>
    <row r="151" spans="1:72" x14ac:dyDescent="0.2">
      <c r="A151" t="s">
        <v>72</v>
      </c>
      <c r="B151" t="s">
        <v>3207</v>
      </c>
      <c r="C151" t="s">
        <v>74</v>
      </c>
      <c r="D151" t="s">
        <v>74</v>
      </c>
      <c r="E151" t="s">
        <v>74</v>
      </c>
      <c r="F151" t="s">
        <v>3208</v>
      </c>
      <c r="G151" t="s">
        <v>74</v>
      </c>
      <c r="H151" t="s">
        <v>74</v>
      </c>
      <c r="I151" t="s">
        <v>3209</v>
      </c>
      <c r="J151" t="s">
        <v>131</v>
      </c>
      <c r="K151" t="s">
        <v>74</v>
      </c>
      <c r="L151" t="s">
        <v>74</v>
      </c>
      <c r="M151" t="s">
        <v>78</v>
      </c>
      <c r="N151" t="s">
        <v>108</v>
      </c>
      <c r="O151" t="s">
        <v>74</v>
      </c>
      <c r="P151" t="s">
        <v>74</v>
      </c>
      <c r="Q151" t="s">
        <v>74</v>
      </c>
      <c r="R151" t="s">
        <v>74</v>
      </c>
      <c r="S151" t="s">
        <v>74</v>
      </c>
      <c r="T151" t="s">
        <v>3210</v>
      </c>
      <c r="U151" t="s">
        <v>74</v>
      </c>
      <c r="V151" t="s">
        <v>3211</v>
      </c>
      <c r="W151" t="s">
        <v>3212</v>
      </c>
      <c r="X151" t="s">
        <v>3213</v>
      </c>
      <c r="Y151" t="s">
        <v>3214</v>
      </c>
      <c r="Z151" t="s">
        <v>3215</v>
      </c>
      <c r="AA151" t="s">
        <v>74</v>
      </c>
      <c r="AB151" t="s">
        <v>3216</v>
      </c>
      <c r="AC151" t="s">
        <v>3217</v>
      </c>
      <c r="AD151" t="s">
        <v>3218</v>
      </c>
      <c r="AE151" t="s">
        <v>3219</v>
      </c>
      <c r="AF151" t="s">
        <v>74</v>
      </c>
      <c r="AG151">
        <v>23</v>
      </c>
      <c r="AH151">
        <v>1</v>
      </c>
      <c r="AI151">
        <v>1</v>
      </c>
      <c r="AJ151">
        <v>13</v>
      </c>
      <c r="AK151">
        <v>39</v>
      </c>
      <c r="AL151" t="s">
        <v>116</v>
      </c>
      <c r="AM151" t="s">
        <v>117</v>
      </c>
      <c r="AN151" t="s">
        <v>118</v>
      </c>
      <c r="AO151" t="s">
        <v>74</v>
      </c>
      <c r="AP151" t="s">
        <v>142</v>
      </c>
      <c r="AQ151" t="s">
        <v>74</v>
      </c>
      <c r="AR151" t="s">
        <v>143</v>
      </c>
      <c r="AS151" t="s">
        <v>144</v>
      </c>
      <c r="AT151" t="s">
        <v>738</v>
      </c>
      <c r="AU151">
        <v>2022</v>
      </c>
      <c r="AV151">
        <v>14</v>
      </c>
      <c r="AW151">
        <v>4</v>
      </c>
      <c r="AX151" t="s">
        <v>74</v>
      </c>
      <c r="AY151" t="s">
        <v>74</v>
      </c>
      <c r="AZ151" t="s">
        <v>74</v>
      </c>
      <c r="BA151" t="s">
        <v>74</v>
      </c>
      <c r="BB151" t="s">
        <v>74</v>
      </c>
      <c r="BC151" t="s">
        <v>74</v>
      </c>
      <c r="BD151">
        <v>2210</v>
      </c>
      <c r="BE151" t="s">
        <v>3220</v>
      </c>
      <c r="BF151" t="str">
        <f>HYPERLINK("http://dx.doi.org/10.3390/su14042210","http://dx.doi.org/10.3390/su14042210")</f>
        <v>http://dx.doi.org/10.3390/su14042210</v>
      </c>
      <c r="BG151" t="s">
        <v>74</v>
      </c>
      <c r="BH151" t="s">
        <v>74</v>
      </c>
      <c r="BI151">
        <v>17</v>
      </c>
      <c r="BJ151" t="s">
        <v>146</v>
      </c>
      <c r="BK151" t="s">
        <v>147</v>
      </c>
      <c r="BL151" t="s">
        <v>148</v>
      </c>
      <c r="BM151" t="s">
        <v>3221</v>
      </c>
      <c r="BN151" t="s">
        <v>74</v>
      </c>
      <c r="BO151" t="s">
        <v>126</v>
      </c>
      <c r="BP151" t="s">
        <v>74</v>
      </c>
      <c r="BQ151" t="s">
        <v>74</v>
      </c>
      <c r="BR151" t="s">
        <v>102</v>
      </c>
      <c r="BS151" t="s">
        <v>3222</v>
      </c>
      <c r="BT151" t="str">
        <f>HYPERLINK("https%3A%2F%2Fwww.webofscience.com%2Fwos%2Fwoscc%2Ffull-record%2FWOS:000770987700001","View Full Record in Web of Science")</f>
        <v>View Full Record in Web of Science</v>
      </c>
    </row>
    <row r="152" spans="1:72" x14ac:dyDescent="0.2">
      <c r="A152" t="s">
        <v>72</v>
      </c>
      <c r="B152" t="s">
        <v>3223</v>
      </c>
      <c r="C152" t="s">
        <v>74</v>
      </c>
      <c r="D152" t="s">
        <v>74</v>
      </c>
      <c r="E152" t="s">
        <v>74</v>
      </c>
      <c r="F152" t="s">
        <v>3224</v>
      </c>
      <c r="G152" t="s">
        <v>74</v>
      </c>
      <c r="H152" t="s">
        <v>74</v>
      </c>
      <c r="I152" t="s">
        <v>3225</v>
      </c>
      <c r="J152" t="s">
        <v>3226</v>
      </c>
      <c r="K152" t="s">
        <v>74</v>
      </c>
      <c r="L152" t="s">
        <v>74</v>
      </c>
      <c r="M152" t="s">
        <v>78</v>
      </c>
      <c r="N152" t="s">
        <v>108</v>
      </c>
      <c r="O152" t="s">
        <v>74</v>
      </c>
      <c r="P152" t="s">
        <v>74</v>
      </c>
      <c r="Q152" t="s">
        <v>74</v>
      </c>
      <c r="R152" t="s">
        <v>74</v>
      </c>
      <c r="S152" t="s">
        <v>74</v>
      </c>
      <c r="T152" t="s">
        <v>3227</v>
      </c>
      <c r="U152" t="s">
        <v>3228</v>
      </c>
      <c r="V152" t="s">
        <v>3229</v>
      </c>
      <c r="W152" t="s">
        <v>3230</v>
      </c>
      <c r="X152" t="s">
        <v>3086</v>
      </c>
      <c r="Y152" t="s">
        <v>3231</v>
      </c>
      <c r="Z152" t="s">
        <v>3232</v>
      </c>
      <c r="AA152" t="s">
        <v>74</v>
      </c>
      <c r="AB152" t="s">
        <v>74</v>
      </c>
      <c r="AC152" t="s">
        <v>74</v>
      </c>
      <c r="AD152" t="s">
        <v>74</v>
      </c>
      <c r="AE152" t="s">
        <v>74</v>
      </c>
      <c r="AF152" t="s">
        <v>74</v>
      </c>
      <c r="AG152">
        <v>33</v>
      </c>
      <c r="AH152">
        <v>39</v>
      </c>
      <c r="AI152">
        <v>41</v>
      </c>
      <c r="AJ152">
        <v>1</v>
      </c>
      <c r="AK152">
        <v>39</v>
      </c>
      <c r="AL152" t="s">
        <v>279</v>
      </c>
      <c r="AM152" t="s">
        <v>280</v>
      </c>
      <c r="AN152" t="s">
        <v>281</v>
      </c>
      <c r="AO152" t="s">
        <v>3233</v>
      </c>
      <c r="AP152" t="s">
        <v>3234</v>
      </c>
      <c r="AQ152" t="s">
        <v>74</v>
      </c>
      <c r="AR152" t="s">
        <v>3235</v>
      </c>
      <c r="AS152" t="s">
        <v>3236</v>
      </c>
      <c r="AT152" t="s">
        <v>3237</v>
      </c>
      <c r="AU152">
        <v>2007</v>
      </c>
      <c r="AV152">
        <v>20</v>
      </c>
      <c r="AW152" t="s">
        <v>3238</v>
      </c>
      <c r="AX152" t="s">
        <v>74</v>
      </c>
      <c r="AY152" t="s">
        <v>74</v>
      </c>
      <c r="AZ152" t="s">
        <v>74</v>
      </c>
      <c r="BA152" t="s">
        <v>74</v>
      </c>
      <c r="BB152">
        <v>280</v>
      </c>
      <c r="BC152">
        <v>291</v>
      </c>
      <c r="BD152" t="s">
        <v>74</v>
      </c>
      <c r="BE152" t="s">
        <v>3239</v>
      </c>
      <c r="BF152" t="str">
        <f>HYPERLINK("http://dx.doi.org/10.1080/09511920601150651","http://dx.doi.org/10.1080/09511920601150651")</f>
        <v>http://dx.doi.org/10.1080/09511920601150651</v>
      </c>
      <c r="BG152" t="s">
        <v>74</v>
      </c>
      <c r="BH152" t="s">
        <v>74</v>
      </c>
      <c r="BI152">
        <v>12</v>
      </c>
      <c r="BJ152" t="s">
        <v>3240</v>
      </c>
      <c r="BK152" t="s">
        <v>98</v>
      </c>
      <c r="BL152" t="s">
        <v>2060</v>
      </c>
      <c r="BM152" t="s">
        <v>3241</v>
      </c>
      <c r="BN152" t="s">
        <v>74</v>
      </c>
      <c r="BO152" t="s">
        <v>74</v>
      </c>
      <c r="BP152" t="s">
        <v>74</v>
      </c>
      <c r="BQ152" t="s">
        <v>74</v>
      </c>
      <c r="BR152" t="s">
        <v>102</v>
      </c>
      <c r="BS152" t="s">
        <v>3242</v>
      </c>
      <c r="BT152" t="str">
        <f>HYPERLINK("https%3A%2F%2Fwww.webofscience.com%2Fwos%2Fwoscc%2Ffull-record%2FWOS:000246068100016","View Full Record in Web of Science")</f>
        <v>View Full Record in Web of Science</v>
      </c>
    </row>
    <row r="153" spans="1:72" x14ac:dyDescent="0.2">
      <c r="A153" t="s">
        <v>72</v>
      </c>
      <c r="B153" t="s">
        <v>3243</v>
      </c>
      <c r="C153" t="s">
        <v>74</v>
      </c>
      <c r="D153" t="s">
        <v>74</v>
      </c>
      <c r="E153" t="s">
        <v>74</v>
      </c>
      <c r="F153" t="s">
        <v>3244</v>
      </c>
      <c r="G153" t="s">
        <v>74</v>
      </c>
      <c r="H153" t="s">
        <v>74</v>
      </c>
      <c r="I153" t="s">
        <v>3245</v>
      </c>
      <c r="J153" t="s">
        <v>2394</v>
      </c>
      <c r="K153" t="s">
        <v>74</v>
      </c>
      <c r="L153" t="s">
        <v>74</v>
      </c>
      <c r="M153" t="s">
        <v>78</v>
      </c>
      <c r="N153" t="s">
        <v>108</v>
      </c>
      <c r="O153" t="s">
        <v>74</v>
      </c>
      <c r="P153" t="s">
        <v>74</v>
      </c>
      <c r="Q153" t="s">
        <v>74</v>
      </c>
      <c r="R153" t="s">
        <v>74</v>
      </c>
      <c r="S153" t="s">
        <v>74</v>
      </c>
      <c r="T153" t="s">
        <v>3246</v>
      </c>
      <c r="U153" t="s">
        <v>3247</v>
      </c>
      <c r="V153" t="s">
        <v>3248</v>
      </c>
      <c r="W153" t="s">
        <v>3249</v>
      </c>
      <c r="X153" t="s">
        <v>74</v>
      </c>
      <c r="Y153" t="s">
        <v>3250</v>
      </c>
      <c r="Z153" t="s">
        <v>3251</v>
      </c>
      <c r="AA153" t="s">
        <v>3252</v>
      </c>
      <c r="AB153" t="s">
        <v>74</v>
      </c>
      <c r="AC153" t="s">
        <v>3253</v>
      </c>
      <c r="AD153" t="s">
        <v>3254</v>
      </c>
      <c r="AE153" t="s">
        <v>3255</v>
      </c>
      <c r="AF153" t="s">
        <v>74</v>
      </c>
      <c r="AG153">
        <v>21</v>
      </c>
      <c r="AH153">
        <v>4</v>
      </c>
      <c r="AI153">
        <v>4</v>
      </c>
      <c r="AJ153">
        <v>28</v>
      </c>
      <c r="AK153">
        <v>161</v>
      </c>
      <c r="AL153" t="s">
        <v>2406</v>
      </c>
      <c r="AM153" t="s">
        <v>2407</v>
      </c>
      <c r="AN153" t="s">
        <v>2408</v>
      </c>
      <c r="AO153" t="s">
        <v>2409</v>
      </c>
      <c r="AP153" t="s">
        <v>2410</v>
      </c>
      <c r="AQ153" t="s">
        <v>74</v>
      </c>
      <c r="AR153" t="s">
        <v>2411</v>
      </c>
      <c r="AS153" t="s">
        <v>2412</v>
      </c>
      <c r="AT153" t="s">
        <v>2413</v>
      </c>
      <c r="AU153">
        <v>2019</v>
      </c>
      <c r="AV153" t="s">
        <v>74</v>
      </c>
      <c r="AW153" t="s">
        <v>74</v>
      </c>
      <c r="AX153" t="s">
        <v>74</v>
      </c>
      <c r="AY153" t="s">
        <v>74</v>
      </c>
      <c r="AZ153">
        <v>93</v>
      </c>
      <c r="BA153" t="s">
        <v>74</v>
      </c>
      <c r="BB153">
        <v>1053</v>
      </c>
      <c r="BC153">
        <v>1058</v>
      </c>
      <c r="BD153" t="s">
        <v>74</v>
      </c>
      <c r="BE153" t="s">
        <v>3256</v>
      </c>
      <c r="BF153" t="str">
        <f>HYPERLINK("http://dx.doi.org/10.2112/SI93-152.1","http://dx.doi.org/10.2112/SI93-152.1")</f>
        <v>http://dx.doi.org/10.2112/SI93-152.1</v>
      </c>
      <c r="BG153" t="s">
        <v>74</v>
      </c>
      <c r="BH153" t="s">
        <v>74</v>
      </c>
      <c r="BI153">
        <v>6</v>
      </c>
      <c r="BJ153" t="s">
        <v>2415</v>
      </c>
      <c r="BK153" t="s">
        <v>98</v>
      </c>
      <c r="BL153" t="s">
        <v>2416</v>
      </c>
      <c r="BM153" t="s">
        <v>2417</v>
      </c>
      <c r="BN153" t="s">
        <v>74</v>
      </c>
      <c r="BO153" t="s">
        <v>74</v>
      </c>
      <c r="BP153" t="s">
        <v>74</v>
      </c>
      <c r="BQ153" t="s">
        <v>74</v>
      </c>
      <c r="BR153" t="s">
        <v>102</v>
      </c>
      <c r="BS153" t="s">
        <v>3257</v>
      </c>
      <c r="BT153" t="str">
        <f>HYPERLINK("https%3A%2F%2Fwww.webofscience.com%2Fwos%2Fwoscc%2Ffull-record%2FWOS:000487997100153","View Full Record in Web of Science")</f>
        <v>View Full Record in Web of Science</v>
      </c>
    </row>
    <row r="154" spans="1:72" x14ac:dyDescent="0.2">
      <c r="A154" t="s">
        <v>72</v>
      </c>
      <c r="B154" t="s">
        <v>3258</v>
      </c>
      <c r="C154" t="s">
        <v>74</v>
      </c>
      <c r="D154" t="s">
        <v>74</v>
      </c>
      <c r="E154" t="s">
        <v>74</v>
      </c>
      <c r="F154" t="s">
        <v>3259</v>
      </c>
      <c r="G154" t="s">
        <v>74</v>
      </c>
      <c r="H154" t="s">
        <v>74</v>
      </c>
      <c r="I154" t="s">
        <v>3260</v>
      </c>
      <c r="J154" t="s">
        <v>762</v>
      </c>
      <c r="K154" t="s">
        <v>74</v>
      </c>
      <c r="L154" t="s">
        <v>74</v>
      </c>
      <c r="M154" t="s">
        <v>78</v>
      </c>
      <c r="N154" t="s">
        <v>108</v>
      </c>
      <c r="O154" t="s">
        <v>74</v>
      </c>
      <c r="P154" t="s">
        <v>74</v>
      </c>
      <c r="Q154" t="s">
        <v>74</v>
      </c>
      <c r="R154" t="s">
        <v>74</v>
      </c>
      <c r="S154" t="s">
        <v>74</v>
      </c>
      <c r="T154" t="s">
        <v>3261</v>
      </c>
      <c r="U154" t="s">
        <v>3262</v>
      </c>
      <c r="V154" t="s">
        <v>3263</v>
      </c>
      <c r="W154" t="s">
        <v>3264</v>
      </c>
      <c r="X154" t="s">
        <v>3265</v>
      </c>
      <c r="Y154" t="s">
        <v>3266</v>
      </c>
      <c r="Z154" t="s">
        <v>3267</v>
      </c>
      <c r="AA154" t="s">
        <v>3268</v>
      </c>
      <c r="AB154" t="s">
        <v>74</v>
      </c>
      <c r="AC154" t="s">
        <v>74</v>
      </c>
      <c r="AD154" t="s">
        <v>74</v>
      </c>
      <c r="AE154" t="s">
        <v>74</v>
      </c>
      <c r="AF154" t="s">
        <v>74</v>
      </c>
      <c r="AG154">
        <v>61</v>
      </c>
      <c r="AH154">
        <v>5</v>
      </c>
      <c r="AI154">
        <v>5</v>
      </c>
      <c r="AJ154">
        <v>0</v>
      </c>
      <c r="AK154">
        <v>13</v>
      </c>
      <c r="AL154" t="s">
        <v>279</v>
      </c>
      <c r="AM154" t="s">
        <v>280</v>
      </c>
      <c r="AN154" t="s">
        <v>281</v>
      </c>
      <c r="AO154" t="s">
        <v>773</v>
      </c>
      <c r="AP154" t="s">
        <v>774</v>
      </c>
      <c r="AQ154" t="s">
        <v>74</v>
      </c>
      <c r="AR154" t="s">
        <v>775</v>
      </c>
      <c r="AS154" t="s">
        <v>776</v>
      </c>
      <c r="AT154" t="s">
        <v>3269</v>
      </c>
      <c r="AU154">
        <v>2016</v>
      </c>
      <c r="AV154">
        <v>54</v>
      </c>
      <c r="AW154">
        <v>9</v>
      </c>
      <c r="AX154" t="s">
        <v>74</v>
      </c>
      <c r="AY154" t="s">
        <v>74</v>
      </c>
      <c r="AZ154" t="s">
        <v>74</v>
      </c>
      <c r="BA154" t="s">
        <v>74</v>
      </c>
      <c r="BB154">
        <v>2552</v>
      </c>
      <c r="BC154">
        <v>2571</v>
      </c>
      <c r="BD154" t="s">
        <v>74</v>
      </c>
      <c r="BE154" t="s">
        <v>3270</v>
      </c>
      <c r="BF154" t="str">
        <f>HYPERLINK("http://dx.doi.org/10.1080/00207543.2015.1101175","http://dx.doi.org/10.1080/00207543.2015.1101175")</f>
        <v>http://dx.doi.org/10.1080/00207543.2015.1101175</v>
      </c>
      <c r="BG154" t="s">
        <v>74</v>
      </c>
      <c r="BH154" t="s">
        <v>74</v>
      </c>
      <c r="BI154">
        <v>20</v>
      </c>
      <c r="BJ154" t="s">
        <v>780</v>
      </c>
      <c r="BK154" t="s">
        <v>98</v>
      </c>
      <c r="BL154" t="s">
        <v>781</v>
      </c>
      <c r="BM154" t="s">
        <v>3271</v>
      </c>
      <c r="BN154" t="s">
        <v>74</v>
      </c>
      <c r="BO154" t="s">
        <v>74</v>
      </c>
      <c r="BP154" t="s">
        <v>74</v>
      </c>
      <c r="BQ154" t="s">
        <v>74</v>
      </c>
      <c r="BR154" t="s">
        <v>102</v>
      </c>
      <c r="BS154" t="s">
        <v>3272</v>
      </c>
      <c r="BT154" t="str">
        <f>HYPERLINK("https%3A%2F%2Fwww.webofscience.com%2Fwos%2Fwoscc%2Ffull-record%2FWOS:000373632300003","View Full Record in Web of Science")</f>
        <v>View Full Record in Web of Science</v>
      </c>
    </row>
    <row r="155" spans="1:72" x14ac:dyDescent="0.2">
      <c r="A155" t="s">
        <v>72</v>
      </c>
      <c r="B155" t="s">
        <v>3273</v>
      </c>
      <c r="C155" t="s">
        <v>74</v>
      </c>
      <c r="D155" t="s">
        <v>74</v>
      </c>
      <c r="E155" t="s">
        <v>74</v>
      </c>
      <c r="F155" t="s">
        <v>3274</v>
      </c>
      <c r="G155" t="s">
        <v>74</v>
      </c>
      <c r="H155" t="s">
        <v>74</v>
      </c>
      <c r="I155" t="s">
        <v>3275</v>
      </c>
      <c r="J155" t="s">
        <v>3276</v>
      </c>
      <c r="K155" t="s">
        <v>74</v>
      </c>
      <c r="L155" t="s">
        <v>74</v>
      </c>
      <c r="M155" t="s">
        <v>78</v>
      </c>
      <c r="N155" t="s">
        <v>108</v>
      </c>
      <c r="O155" t="s">
        <v>74</v>
      </c>
      <c r="P155" t="s">
        <v>74</v>
      </c>
      <c r="Q155" t="s">
        <v>74</v>
      </c>
      <c r="R155" t="s">
        <v>74</v>
      </c>
      <c r="S155" t="s">
        <v>74</v>
      </c>
      <c r="T155" t="s">
        <v>3277</v>
      </c>
      <c r="U155" t="s">
        <v>3278</v>
      </c>
      <c r="V155" t="s">
        <v>3279</v>
      </c>
      <c r="W155" t="s">
        <v>3280</v>
      </c>
      <c r="X155" t="s">
        <v>3281</v>
      </c>
      <c r="Y155" t="s">
        <v>3282</v>
      </c>
      <c r="Z155" t="s">
        <v>3283</v>
      </c>
      <c r="AA155" t="s">
        <v>3252</v>
      </c>
      <c r="AB155" t="s">
        <v>3284</v>
      </c>
      <c r="AC155" t="s">
        <v>3285</v>
      </c>
      <c r="AD155" t="s">
        <v>3286</v>
      </c>
      <c r="AE155" t="s">
        <v>3287</v>
      </c>
      <c r="AF155" t="s">
        <v>74</v>
      </c>
      <c r="AG155">
        <v>28</v>
      </c>
      <c r="AH155">
        <v>13</v>
      </c>
      <c r="AI155">
        <v>13</v>
      </c>
      <c r="AJ155">
        <v>5</v>
      </c>
      <c r="AK155">
        <v>56</v>
      </c>
      <c r="AL155" t="s">
        <v>209</v>
      </c>
      <c r="AM155" t="s">
        <v>210</v>
      </c>
      <c r="AN155" t="s">
        <v>211</v>
      </c>
      <c r="AO155" t="s">
        <v>3288</v>
      </c>
      <c r="AP155" t="s">
        <v>3289</v>
      </c>
      <c r="AQ155" t="s">
        <v>74</v>
      </c>
      <c r="AR155" t="s">
        <v>3290</v>
      </c>
      <c r="AS155" t="s">
        <v>3291</v>
      </c>
      <c r="AT155" t="s">
        <v>239</v>
      </c>
      <c r="AU155">
        <v>2018</v>
      </c>
      <c r="AV155">
        <v>150</v>
      </c>
      <c r="AW155" t="s">
        <v>74</v>
      </c>
      <c r="AX155" t="s">
        <v>74</v>
      </c>
      <c r="AY155" t="s">
        <v>74</v>
      </c>
      <c r="AZ155" t="s">
        <v>74</v>
      </c>
      <c r="BA155" t="s">
        <v>74</v>
      </c>
      <c r="BB155">
        <v>177</v>
      </c>
      <c r="BC155">
        <v>183</v>
      </c>
      <c r="BD155" t="s">
        <v>74</v>
      </c>
      <c r="BE155" t="s">
        <v>3292</v>
      </c>
      <c r="BF155" t="str">
        <f>HYPERLINK("http://dx.doi.org/10.1016/j.ecolecon.2018.04.017","http://dx.doi.org/10.1016/j.ecolecon.2018.04.017")</f>
        <v>http://dx.doi.org/10.1016/j.ecolecon.2018.04.017</v>
      </c>
      <c r="BG155" t="s">
        <v>74</v>
      </c>
      <c r="BH155" t="s">
        <v>74</v>
      </c>
      <c r="BI155">
        <v>13</v>
      </c>
      <c r="BJ155" t="s">
        <v>3293</v>
      </c>
      <c r="BK155" t="s">
        <v>147</v>
      </c>
      <c r="BL155" t="s">
        <v>3294</v>
      </c>
      <c r="BM155" t="s">
        <v>3295</v>
      </c>
      <c r="BN155" t="s">
        <v>74</v>
      </c>
      <c r="BO155" t="s">
        <v>74</v>
      </c>
      <c r="BP155" t="s">
        <v>74</v>
      </c>
      <c r="BQ155" t="s">
        <v>74</v>
      </c>
      <c r="BR155" t="s">
        <v>102</v>
      </c>
      <c r="BS155" t="s">
        <v>3296</v>
      </c>
      <c r="BT155" t="str">
        <f>HYPERLINK("https%3A%2F%2Fwww.webofscience.com%2Fwos%2Fwoscc%2Ffull-record%2FWOS:000444364000015","View Full Record in Web of Science")</f>
        <v>View Full Record in Web of Science</v>
      </c>
    </row>
    <row r="156" spans="1:72" x14ac:dyDescent="0.2">
      <c r="A156" t="s">
        <v>72</v>
      </c>
      <c r="B156" t="s">
        <v>3297</v>
      </c>
      <c r="C156" t="s">
        <v>74</v>
      </c>
      <c r="D156" t="s">
        <v>74</v>
      </c>
      <c r="E156" t="s">
        <v>74</v>
      </c>
      <c r="F156" t="s">
        <v>3298</v>
      </c>
      <c r="G156" t="s">
        <v>74</v>
      </c>
      <c r="H156" t="s">
        <v>74</v>
      </c>
      <c r="I156" t="s">
        <v>3299</v>
      </c>
      <c r="J156" t="s">
        <v>3300</v>
      </c>
      <c r="K156" t="s">
        <v>74</v>
      </c>
      <c r="L156" t="s">
        <v>74</v>
      </c>
      <c r="M156" t="s">
        <v>78</v>
      </c>
      <c r="N156" t="s">
        <v>108</v>
      </c>
      <c r="O156" t="s">
        <v>74</v>
      </c>
      <c r="P156" t="s">
        <v>74</v>
      </c>
      <c r="Q156" t="s">
        <v>74</v>
      </c>
      <c r="R156" t="s">
        <v>74</v>
      </c>
      <c r="S156" t="s">
        <v>74</v>
      </c>
      <c r="T156" t="s">
        <v>3301</v>
      </c>
      <c r="U156" t="s">
        <v>3302</v>
      </c>
      <c r="V156" t="s">
        <v>3303</v>
      </c>
      <c r="W156" t="s">
        <v>3304</v>
      </c>
      <c r="X156" t="s">
        <v>3305</v>
      </c>
      <c r="Y156" t="s">
        <v>3306</v>
      </c>
      <c r="Z156" t="s">
        <v>3307</v>
      </c>
      <c r="AA156" t="s">
        <v>3308</v>
      </c>
      <c r="AB156" t="s">
        <v>3309</v>
      </c>
      <c r="AC156" t="s">
        <v>74</v>
      </c>
      <c r="AD156" t="s">
        <v>74</v>
      </c>
      <c r="AE156" t="s">
        <v>74</v>
      </c>
      <c r="AF156" t="s">
        <v>74</v>
      </c>
      <c r="AG156">
        <v>70</v>
      </c>
      <c r="AH156">
        <v>44</v>
      </c>
      <c r="AI156">
        <v>45</v>
      </c>
      <c r="AJ156">
        <v>18</v>
      </c>
      <c r="AK156">
        <v>169</v>
      </c>
      <c r="AL156" t="s">
        <v>259</v>
      </c>
      <c r="AM156" t="s">
        <v>260</v>
      </c>
      <c r="AN156" t="s">
        <v>261</v>
      </c>
      <c r="AO156" t="s">
        <v>3310</v>
      </c>
      <c r="AP156" t="s">
        <v>3311</v>
      </c>
      <c r="AQ156" t="s">
        <v>74</v>
      </c>
      <c r="AR156" t="s">
        <v>3312</v>
      </c>
      <c r="AS156" t="s">
        <v>3313</v>
      </c>
      <c r="AT156" t="s">
        <v>372</v>
      </c>
      <c r="AU156">
        <v>2018</v>
      </c>
      <c r="AV156">
        <v>24</v>
      </c>
      <c r="AW156">
        <v>1</v>
      </c>
      <c r="AX156" t="s">
        <v>74</v>
      </c>
      <c r="AY156" t="s">
        <v>74</v>
      </c>
      <c r="AZ156" t="s">
        <v>74</v>
      </c>
      <c r="BA156" t="s">
        <v>74</v>
      </c>
      <c r="BB156">
        <v>21</v>
      </c>
      <c r="BC156">
        <v>30</v>
      </c>
      <c r="BD156" t="s">
        <v>74</v>
      </c>
      <c r="BE156" t="s">
        <v>3314</v>
      </c>
      <c r="BF156" t="str">
        <f>HYPERLINK("http://dx.doi.org/10.1016/j.pursup.2017.10.004","http://dx.doi.org/10.1016/j.pursup.2017.10.004")</f>
        <v>http://dx.doi.org/10.1016/j.pursup.2017.10.004</v>
      </c>
      <c r="BG156" t="s">
        <v>74</v>
      </c>
      <c r="BH156" t="s">
        <v>74</v>
      </c>
      <c r="BI156">
        <v>10</v>
      </c>
      <c r="BJ156" t="s">
        <v>418</v>
      </c>
      <c r="BK156" t="s">
        <v>242</v>
      </c>
      <c r="BL156" t="s">
        <v>419</v>
      </c>
      <c r="BM156" t="s">
        <v>3315</v>
      </c>
      <c r="BN156" t="s">
        <v>74</v>
      </c>
      <c r="BO156" t="s">
        <v>74</v>
      </c>
      <c r="BP156" t="s">
        <v>74</v>
      </c>
      <c r="BQ156" t="s">
        <v>74</v>
      </c>
      <c r="BR156" t="s">
        <v>102</v>
      </c>
      <c r="BS156" t="s">
        <v>3316</v>
      </c>
      <c r="BT156" t="str">
        <f>HYPERLINK("https%3A%2F%2Fwww.webofscience.com%2Fwos%2Fwoscc%2Ffull-record%2FWOS:000423651900002","View Full Record in Web of Science")</f>
        <v>View Full Record in Web of Science</v>
      </c>
    </row>
    <row r="157" spans="1:72" x14ac:dyDescent="0.2">
      <c r="A157" t="s">
        <v>72</v>
      </c>
      <c r="B157" t="s">
        <v>3317</v>
      </c>
      <c r="C157" t="s">
        <v>74</v>
      </c>
      <c r="D157" t="s">
        <v>74</v>
      </c>
      <c r="E157" t="s">
        <v>74</v>
      </c>
      <c r="F157" t="s">
        <v>3318</v>
      </c>
      <c r="G157" t="s">
        <v>74</v>
      </c>
      <c r="H157" t="s">
        <v>74</v>
      </c>
      <c r="I157" t="s">
        <v>3319</v>
      </c>
      <c r="J157" t="s">
        <v>3320</v>
      </c>
      <c r="K157" t="s">
        <v>74</v>
      </c>
      <c r="L157" t="s">
        <v>74</v>
      </c>
      <c r="M157" t="s">
        <v>78</v>
      </c>
      <c r="N157" t="s">
        <v>108</v>
      </c>
      <c r="O157" t="s">
        <v>74</v>
      </c>
      <c r="P157" t="s">
        <v>74</v>
      </c>
      <c r="Q157" t="s">
        <v>74</v>
      </c>
      <c r="R157" t="s">
        <v>74</v>
      </c>
      <c r="S157" t="s">
        <v>74</v>
      </c>
      <c r="T157" t="s">
        <v>3321</v>
      </c>
      <c r="U157" t="s">
        <v>3322</v>
      </c>
      <c r="V157" t="s">
        <v>3323</v>
      </c>
      <c r="W157" t="s">
        <v>3324</v>
      </c>
      <c r="X157" t="s">
        <v>3325</v>
      </c>
      <c r="Y157" t="s">
        <v>3326</v>
      </c>
      <c r="Z157" t="s">
        <v>3327</v>
      </c>
      <c r="AA157" t="s">
        <v>74</v>
      </c>
      <c r="AB157" t="s">
        <v>3328</v>
      </c>
      <c r="AC157" t="s">
        <v>74</v>
      </c>
      <c r="AD157" t="s">
        <v>74</v>
      </c>
      <c r="AE157" t="s">
        <v>74</v>
      </c>
      <c r="AF157" t="s">
        <v>74</v>
      </c>
      <c r="AG157">
        <v>50</v>
      </c>
      <c r="AH157">
        <v>0</v>
      </c>
      <c r="AI157">
        <v>0</v>
      </c>
      <c r="AJ157">
        <v>3</v>
      </c>
      <c r="AK157">
        <v>7</v>
      </c>
      <c r="AL157" t="s">
        <v>3329</v>
      </c>
      <c r="AM157" t="s">
        <v>3330</v>
      </c>
      <c r="AN157" t="s">
        <v>3331</v>
      </c>
      <c r="AO157" t="s">
        <v>3332</v>
      </c>
      <c r="AP157" t="s">
        <v>3333</v>
      </c>
      <c r="AQ157" t="s">
        <v>74</v>
      </c>
      <c r="AR157" t="s">
        <v>3320</v>
      </c>
      <c r="AS157" t="s">
        <v>3334</v>
      </c>
      <c r="AT157" t="s">
        <v>74</v>
      </c>
      <c r="AU157">
        <v>2022</v>
      </c>
      <c r="AV157">
        <v>18</v>
      </c>
      <c r="AW157">
        <v>1</v>
      </c>
      <c r="AX157" t="s">
        <v>74</v>
      </c>
      <c r="AY157" t="s">
        <v>74</v>
      </c>
      <c r="AZ157" t="s">
        <v>74</v>
      </c>
      <c r="BA157" t="s">
        <v>74</v>
      </c>
      <c r="BB157">
        <v>123</v>
      </c>
      <c r="BC157">
        <v>136</v>
      </c>
      <c r="BD157" t="s">
        <v>74</v>
      </c>
      <c r="BE157" t="s">
        <v>3335</v>
      </c>
      <c r="BF157" t="str">
        <f>HYPERLINK("http://dx.doi.org/10.17270/J.LOG.2022.676","http://dx.doi.org/10.17270/J.LOG.2022.676")</f>
        <v>http://dx.doi.org/10.17270/J.LOG.2022.676</v>
      </c>
      <c r="BG157" t="s">
        <v>74</v>
      </c>
      <c r="BH157" t="s">
        <v>74</v>
      </c>
      <c r="BI157">
        <v>14</v>
      </c>
      <c r="BJ157" t="s">
        <v>418</v>
      </c>
      <c r="BK157" t="s">
        <v>124</v>
      </c>
      <c r="BL157" t="s">
        <v>419</v>
      </c>
      <c r="BM157" t="s">
        <v>3336</v>
      </c>
      <c r="BN157" t="s">
        <v>74</v>
      </c>
      <c r="BO157" t="s">
        <v>126</v>
      </c>
      <c r="BP157" t="s">
        <v>74</v>
      </c>
      <c r="BQ157" t="s">
        <v>74</v>
      </c>
      <c r="BR157" t="s">
        <v>102</v>
      </c>
      <c r="BS157" t="s">
        <v>3337</v>
      </c>
      <c r="BT157" t="str">
        <f>HYPERLINK("https%3A%2F%2Fwww.webofscience.com%2Fwos%2Fwoscc%2Ffull-record%2FWOS:000866669200001","View Full Record in Web of Science")</f>
        <v>View Full Record in Web of Science</v>
      </c>
    </row>
    <row r="158" spans="1:72" x14ac:dyDescent="0.2">
      <c r="A158" t="s">
        <v>72</v>
      </c>
      <c r="B158" t="s">
        <v>3338</v>
      </c>
      <c r="C158" t="s">
        <v>74</v>
      </c>
      <c r="D158" t="s">
        <v>74</v>
      </c>
      <c r="E158" t="s">
        <v>74</v>
      </c>
      <c r="F158" t="s">
        <v>3339</v>
      </c>
      <c r="G158" t="s">
        <v>74</v>
      </c>
      <c r="H158" t="s">
        <v>74</v>
      </c>
      <c r="I158" t="s">
        <v>3340</v>
      </c>
      <c r="J158" t="s">
        <v>131</v>
      </c>
      <c r="K158" t="s">
        <v>74</v>
      </c>
      <c r="L158" t="s">
        <v>74</v>
      </c>
      <c r="M158" t="s">
        <v>78</v>
      </c>
      <c r="N158" t="s">
        <v>108</v>
      </c>
      <c r="O158" t="s">
        <v>74</v>
      </c>
      <c r="P158" t="s">
        <v>74</v>
      </c>
      <c r="Q158" t="s">
        <v>74</v>
      </c>
      <c r="R158" t="s">
        <v>74</v>
      </c>
      <c r="S158" t="s">
        <v>74</v>
      </c>
      <c r="T158" t="s">
        <v>3341</v>
      </c>
      <c r="U158" t="s">
        <v>3342</v>
      </c>
      <c r="V158" t="s">
        <v>3343</v>
      </c>
      <c r="W158" t="s">
        <v>3344</v>
      </c>
      <c r="X158" t="s">
        <v>3345</v>
      </c>
      <c r="Y158" t="s">
        <v>3346</v>
      </c>
      <c r="Z158" t="s">
        <v>3347</v>
      </c>
      <c r="AA158" t="s">
        <v>3348</v>
      </c>
      <c r="AB158" t="s">
        <v>3349</v>
      </c>
      <c r="AC158" t="s">
        <v>3350</v>
      </c>
      <c r="AD158" t="s">
        <v>3351</v>
      </c>
      <c r="AE158" t="s">
        <v>3352</v>
      </c>
      <c r="AF158" t="s">
        <v>74</v>
      </c>
      <c r="AG158">
        <v>49</v>
      </c>
      <c r="AH158">
        <v>25</v>
      </c>
      <c r="AI158">
        <v>25</v>
      </c>
      <c r="AJ158">
        <v>13</v>
      </c>
      <c r="AK158">
        <v>106</v>
      </c>
      <c r="AL158" t="s">
        <v>116</v>
      </c>
      <c r="AM158" t="s">
        <v>117</v>
      </c>
      <c r="AN158" t="s">
        <v>118</v>
      </c>
      <c r="AO158" t="s">
        <v>74</v>
      </c>
      <c r="AP158" t="s">
        <v>142</v>
      </c>
      <c r="AQ158" t="s">
        <v>74</v>
      </c>
      <c r="AR158" t="s">
        <v>143</v>
      </c>
      <c r="AS158" t="s">
        <v>144</v>
      </c>
      <c r="AT158" t="s">
        <v>121</v>
      </c>
      <c r="AU158">
        <v>2021</v>
      </c>
      <c r="AV158">
        <v>13</v>
      </c>
      <c r="AW158">
        <v>14</v>
      </c>
      <c r="AX158" t="s">
        <v>74</v>
      </c>
      <c r="AY158" t="s">
        <v>74</v>
      </c>
      <c r="AZ158" t="s">
        <v>74</v>
      </c>
      <c r="BA158" t="s">
        <v>74</v>
      </c>
      <c r="BB158" t="s">
        <v>74</v>
      </c>
      <c r="BC158" t="s">
        <v>74</v>
      </c>
      <c r="BD158">
        <v>7585</v>
      </c>
      <c r="BE158" t="s">
        <v>3353</v>
      </c>
      <c r="BF158" t="str">
        <f>HYPERLINK("http://dx.doi.org/10.3390/su13147585","http://dx.doi.org/10.3390/su13147585")</f>
        <v>http://dx.doi.org/10.3390/su13147585</v>
      </c>
      <c r="BG158" t="s">
        <v>74</v>
      </c>
      <c r="BH158" t="s">
        <v>74</v>
      </c>
      <c r="BI158">
        <v>19</v>
      </c>
      <c r="BJ158" t="s">
        <v>146</v>
      </c>
      <c r="BK158" t="s">
        <v>147</v>
      </c>
      <c r="BL158" t="s">
        <v>148</v>
      </c>
      <c r="BM158" t="s">
        <v>3354</v>
      </c>
      <c r="BN158" t="s">
        <v>74</v>
      </c>
      <c r="BO158" t="s">
        <v>126</v>
      </c>
      <c r="BP158" t="s">
        <v>74</v>
      </c>
      <c r="BQ158" t="s">
        <v>74</v>
      </c>
      <c r="BR158" t="s">
        <v>102</v>
      </c>
      <c r="BS158" t="s">
        <v>3355</v>
      </c>
      <c r="BT158" t="str">
        <f>HYPERLINK("https%3A%2F%2Fwww.webofscience.com%2Fwos%2Fwoscc%2Ffull-record%2FWOS:000676918900001","View Full Record in Web of Science")</f>
        <v>View Full Record in Web of Science</v>
      </c>
    </row>
    <row r="159" spans="1:72" x14ac:dyDescent="0.2">
      <c r="A159" t="s">
        <v>72</v>
      </c>
      <c r="B159" t="s">
        <v>3356</v>
      </c>
      <c r="C159" t="s">
        <v>74</v>
      </c>
      <c r="D159" t="s">
        <v>74</v>
      </c>
      <c r="E159" t="s">
        <v>74</v>
      </c>
      <c r="F159" t="s">
        <v>3357</v>
      </c>
      <c r="G159" t="s">
        <v>74</v>
      </c>
      <c r="H159" t="s">
        <v>74</v>
      </c>
      <c r="I159" t="s">
        <v>3358</v>
      </c>
      <c r="J159" t="s">
        <v>3359</v>
      </c>
      <c r="K159" t="s">
        <v>74</v>
      </c>
      <c r="L159" t="s">
        <v>74</v>
      </c>
      <c r="M159" t="s">
        <v>78</v>
      </c>
      <c r="N159" t="s">
        <v>108</v>
      </c>
      <c r="O159" t="s">
        <v>74</v>
      </c>
      <c r="P159" t="s">
        <v>74</v>
      </c>
      <c r="Q159" t="s">
        <v>74</v>
      </c>
      <c r="R159" t="s">
        <v>74</v>
      </c>
      <c r="S159" t="s">
        <v>74</v>
      </c>
      <c r="T159" t="s">
        <v>3360</v>
      </c>
      <c r="U159" t="s">
        <v>3361</v>
      </c>
      <c r="V159" t="s">
        <v>3362</v>
      </c>
      <c r="W159" t="s">
        <v>3363</v>
      </c>
      <c r="X159" t="s">
        <v>3364</v>
      </c>
      <c r="Y159" t="s">
        <v>3365</v>
      </c>
      <c r="Z159" t="s">
        <v>3366</v>
      </c>
      <c r="AA159" t="s">
        <v>74</v>
      </c>
      <c r="AB159" t="s">
        <v>74</v>
      </c>
      <c r="AC159" t="s">
        <v>3367</v>
      </c>
      <c r="AD159" t="s">
        <v>3368</v>
      </c>
      <c r="AE159" t="s">
        <v>3369</v>
      </c>
      <c r="AF159" t="s">
        <v>74</v>
      </c>
      <c r="AG159">
        <v>43</v>
      </c>
      <c r="AH159">
        <v>9</v>
      </c>
      <c r="AI159">
        <v>9</v>
      </c>
      <c r="AJ159">
        <v>5</v>
      </c>
      <c r="AK159">
        <v>18</v>
      </c>
      <c r="AL159" t="s">
        <v>3370</v>
      </c>
      <c r="AM159" t="s">
        <v>3371</v>
      </c>
      <c r="AN159" t="s">
        <v>3372</v>
      </c>
      <c r="AO159" t="s">
        <v>3373</v>
      </c>
      <c r="AP159" t="s">
        <v>74</v>
      </c>
      <c r="AQ159" t="s">
        <v>74</v>
      </c>
      <c r="AR159" t="s">
        <v>3374</v>
      </c>
      <c r="AS159" t="s">
        <v>3375</v>
      </c>
      <c r="AT159" t="s">
        <v>74</v>
      </c>
      <c r="AU159">
        <v>2021</v>
      </c>
      <c r="AV159">
        <v>22</v>
      </c>
      <c r="AW159" t="s">
        <v>74</v>
      </c>
      <c r="AX159" t="s">
        <v>74</v>
      </c>
      <c r="AY159" t="s">
        <v>74</v>
      </c>
      <c r="AZ159" t="s">
        <v>74</v>
      </c>
      <c r="BA159" t="s">
        <v>74</v>
      </c>
      <c r="BB159">
        <v>1</v>
      </c>
      <c r="BC159">
        <v>35</v>
      </c>
      <c r="BD159" t="s">
        <v>74</v>
      </c>
      <c r="BE159" t="s">
        <v>74</v>
      </c>
      <c r="BF159" t="s">
        <v>74</v>
      </c>
      <c r="BG159" t="s">
        <v>74</v>
      </c>
      <c r="BH159" t="s">
        <v>74</v>
      </c>
      <c r="BI159">
        <v>35</v>
      </c>
      <c r="BJ159" t="s">
        <v>3376</v>
      </c>
      <c r="BK159" t="s">
        <v>147</v>
      </c>
      <c r="BL159" t="s">
        <v>1929</v>
      </c>
      <c r="BM159" t="s">
        <v>3377</v>
      </c>
      <c r="BN159" t="s">
        <v>74</v>
      </c>
      <c r="BO159" t="s">
        <v>74</v>
      </c>
      <c r="BP159" t="s">
        <v>74</v>
      </c>
      <c r="BQ159" t="s">
        <v>74</v>
      </c>
      <c r="BR159" t="s">
        <v>102</v>
      </c>
      <c r="BS159" t="s">
        <v>3378</v>
      </c>
      <c r="BT159" t="str">
        <f>HYPERLINK("https%3A%2F%2Fwww.webofscience.com%2Fwos%2Fwoscc%2Ffull-record%2FWOS:000656365000001","View Full Record in Web of Science")</f>
        <v>View Full Record in Web of Science</v>
      </c>
    </row>
    <row r="160" spans="1:72" x14ac:dyDescent="0.2">
      <c r="A160" t="s">
        <v>72</v>
      </c>
      <c r="B160" t="s">
        <v>3379</v>
      </c>
      <c r="C160" t="s">
        <v>74</v>
      </c>
      <c r="D160" t="s">
        <v>74</v>
      </c>
      <c r="E160" t="s">
        <v>74</v>
      </c>
      <c r="F160" t="s">
        <v>3380</v>
      </c>
      <c r="G160" t="s">
        <v>74</v>
      </c>
      <c r="H160" t="s">
        <v>74</v>
      </c>
      <c r="I160" t="s">
        <v>3381</v>
      </c>
      <c r="J160" t="s">
        <v>3382</v>
      </c>
      <c r="K160" t="s">
        <v>74</v>
      </c>
      <c r="L160" t="s">
        <v>74</v>
      </c>
      <c r="M160" t="s">
        <v>78</v>
      </c>
      <c r="N160" t="s">
        <v>108</v>
      </c>
      <c r="O160" t="s">
        <v>74</v>
      </c>
      <c r="P160" t="s">
        <v>74</v>
      </c>
      <c r="Q160" t="s">
        <v>74</v>
      </c>
      <c r="R160" t="s">
        <v>74</v>
      </c>
      <c r="S160" t="s">
        <v>74</v>
      </c>
      <c r="T160" t="s">
        <v>3383</v>
      </c>
      <c r="U160" t="s">
        <v>3384</v>
      </c>
      <c r="V160" t="s">
        <v>3385</v>
      </c>
      <c r="W160" t="s">
        <v>3386</v>
      </c>
      <c r="X160" t="s">
        <v>3387</v>
      </c>
      <c r="Y160" t="s">
        <v>3388</v>
      </c>
      <c r="Z160" t="s">
        <v>3389</v>
      </c>
      <c r="AA160" t="s">
        <v>74</v>
      </c>
      <c r="AB160" t="s">
        <v>3390</v>
      </c>
      <c r="AC160" t="s">
        <v>3391</v>
      </c>
      <c r="AD160" t="s">
        <v>3392</v>
      </c>
      <c r="AE160" t="s">
        <v>3393</v>
      </c>
      <c r="AF160" t="s">
        <v>74</v>
      </c>
      <c r="AG160">
        <v>56</v>
      </c>
      <c r="AH160">
        <v>6</v>
      </c>
      <c r="AI160">
        <v>6</v>
      </c>
      <c r="AJ160">
        <v>15</v>
      </c>
      <c r="AK160">
        <v>50</v>
      </c>
      <c r="AL160" t="s">
        <v>209</v>
      </c>
      <c r="AM160" t="s">
        <v>210</v>
      </c>
      <c r="AN160" t="s">
        <v>211</v>
      </c>
      <c r="AO160" t="s">
        <v>3394</v>
      </c>
      <c r="AP160" t="s">
        <v>3395</v>
      </c>
      <c r="AQ160" t="s">
        <v>74</v>
      </c>
      <c r="AR160" t="s">
        <v>3396</v>
      </c>
      <c r="AS160" t="s">
        <v>3397</v>
      </c>
      <c r="AT160" t="s">
        <v>216</v>
      </c>
      <c r="AU160">
        <v>2022</v>
      </c>
      <c r="AV160">
        <v>62</v>
      </c>
      <c r="AW160" t="s">
        <v>74</v>
      </c>
      <c r="AX160" t="s">
        <v>74</v>
      </c>
      <c r="AY160" t="s">
        <v>74</v>
      </c>
      <c r="AZ160" t="s">
        <v>74</v>
      </c>
      <c r="BA160" t="s">
        <v>74</v>
      </c>
      <c r="BB160" t="s">
        <v>74</v>
      </c>
      <c r="BC160" t="s">
        <v>74</v>
      </c>
      <c r="BD160">
        <v>101690</v>
      </c>
      <c r="BE160" t="s">
        <v>3398</v>
      </c>
      <c r="BF160" t="str">
        <f>HYPERLINK("http://dx.doi.org/10.1016/j.ribaf.2022.101690","http://dx.doi.org/10.1016/j.ribaf.2022.101690")</f>
        <v>http://dx.doi.org/10.1016/j.ribaf.2022.101690</v>
      </c>
      <c r="BG160" t="s">
        <v>74</v>
      </c>
      <c r="BH160" t="s">
        <v>867</v>
      </c>
      <c r="BI160">
        <v>14</v>
      </c>
      <c r="BJ160" t="s">
        <v>1527</v>
      </c>
      <c r="BK160" t="s">
        <v>242</v>
      </c>
      <c r="BL160" t="s">
        <v>419</v>
      </c>
      <c r="BM160" t="s">
        <v>3399</v>
      </c>
      <c r="BN160" t="s">
        <v>74</v>
      </c>
      <c r="BO160" t="s">
        <v>359</v>
      </c>
      <c r="BP160" t="s">
        <v>74</v>
      </c>
      <c r="BQ160" t="s">
        <v>74</v>
      </c>
      <c r="BR160" t="s">
        <v>102</v>
      </c>
      <c r="BS160" t="s">
        <v>3400</v>
      </c>
      <c r="BT160" t="str">
        <f>HYPERLINK("https%3A%2F%2Fwww.webofscience.com%2Fwos%2Fwoscc%2Ffull-record%2FWOS:000812998100007","View Full Record in Web of Science")</f>
        <v>View Full Record in Web of Science</v>
      </c>
    </row>
    <row r="161" spans="1:72" x14ac:dyDescent="0.2">
      <c r="A161" t="s">
        <v>72</v>
      </c>
      <c r="B161" t="s">
        <v>3401</v>
      </c>
      <c r="C161" t="s">
        <v>74</v>
      </c>
      <c r="D161" t="s">
        <v>74</v>
      </c>
      <c r="E161" t="s">
        <v>74</v>
      </c>
      <c r="F161" t="s">
        <v>3402</v>
      </c>
      <c r="G161" t="s">
        <v>74</v>
      </c>
      <c r="H161" t="s">
        <v>74</v>
      </c>
      <c r="I161" t="s">
        <v>3403</v>
      </c>
      <c r="J161" t="s">
        <v>3404</v>
      </c>
      <c r="K161" t="s">
        <v>74</v>
      </c>
      <c r="L161" t="s">
        <v>74</v>
      </c>
      <c r="M161" t="s">
        <v>78</v>
      </c>
      <c r="N161" t="s">
        <v>108</v>
      </c>
      <c r="O161" t="s">
        <v>74</v>
      </c>
      <c r="P161" t="s">
        <v>74</v>
      </c>
      <c r="Q161" t="s">
        <v>74</v>
      </c>
      <c r="R161" t="s">
        <v>74</v>
      </c>
      <c r="S161" t="s">
        <v>74</v>
      </c>
      <c r="T161" t="s">
        <v>3405</v>
      </c>
      <c r="U161" t="s">
        <v>74</v>
      </c>
      <c r="V161" t="s">
        <v>3406</v>
      </c>
      <c r="W161" t="s">
        <v>3407</v>
      </c>
      <c r="X161" t="s">
        <v>74</v>
      </c>
      <c r="Y161" t="s">
        <v>3408</v>
      </c>
      <c r="Z161" t="s">
        <v>74</v>
      </c>
      <c r="AA161" t="s">
        <v>74</v>
      </c>
      <c r="AB161" t="s">
        <v>74</v>
      </c>
      <c r="AC161" t="s">
        <v>3409</v>
      </c>
      <c r="AD161" t="s">
        <v>3410</v>
      </c>
      <c r="AE161" t="s">
        <v>3411</v>
      </c>
      <c r="AF161" t="s">
        <v>74</v>
      </c>
      <c r="AG161">
        <v>10</v>
      </c>
      <c r="AH161">
        <v>0</v>
      </c>
      <c r="AI161">
        <v>0</v>
      </c>
      <c r="AJ161">
        <v>0</v>
      </c>
      <c r="AK161">
        <v>16</v>
      </c>
      <c r="AL161" t="s">
        <v>3412</v>
      </c>
      <c r="AM161" t="s">
        <v>3413</v>
      </c>
      <c r="AN161" t="s">
        <v>3414</v>
      </c>
      <c r="AO161" t="s">
        <v>3415</v>
      </c>
      <c r="AP161" t="s">
        <v>3416</v>
      </c>
      <c r="AQ161" t="s">
        <v>74</v>
      </c>
      <c r="AR161" t="s">
        <v>3417</v>
      </c>
      <c r="AS161" t="s">
        <v>3418</v>
      </c>
      <c r="AT161" t="s">
        <v>3419</v>
      </c>
      <c r="AU161">
        <v>2017</v>
      </c>
      <c r="AV161">
        <v>28</v>
      </c>
      <c r="AW161">
        <v>1</v>
      </c>
      <c r="AX161" t="s">
        <v>74</v>
      </c>
      <c r="AY161" t="s">
        <v>74</v>
      </c>
      <c r="AZ161" t="s">
        <v>74</v>
      </c>
      <c r="BA161" t="s">
        <v>74</v>
      </c>
      <c r="BB161">
        <v>2023</v>
      </c>
      <c r="BC161">
        <v>2026</v>
      </c>
      <c r="BD161" t="s">
        <v>74</v>
      </c>
      <c r="BE161" t="s">
        <v>74</v>
      </c>
      <c r="BF161" t="s">
        <v>74</v>
      </c>
      <c r="BG161" t="s">
        <v>74</v>
      </c>
      <c r="BH161" t="s">
        <v>74</v>
      </c>
      <c r="BI161">
        <v>4</v>
      </c>
      <c r="BJ161" t="s">
        <v>3420</v>
      </c>
      <c r="BK161" t="s">
        <v>98</v>
      </c>
      <c r="BL161" t="s">
        <v>3420</v>
      </c>
      <c r="BM161" t="s">
        <v>3421</v>
      </c>
      <c r="BN161" t="s">
        <v>74</v>
      </c>
      <c r="BO161" t="s">
        <v>74</v>
      </c>
      <c r="BP161" t="s">
        <v>74</v>
      </c>
      <c r="BQ161" t="s">
        <v>74</v>
      </c>
      <c r="BR161" t="s">
        <v>102</v>
      </c>
      <c r="BS161" t="s">
        <v>3422</v>
      </c>
      <c r="BT161" t="str">
        <f>HYPERLINK("https%3A%2F%2Fwww.webofscience.com%2Fwos%2Fwoscc%2Ffull-record%2FWOS:000405992300039","View Full Record in Web of Science")</f>
        <v>View Full Record in Web of Science</v>
      </c>
    </row>
    <row r="162" spans="1:72" x14ac:dyDescent="0.2">
      <c r="A162" t="s">
        <v>72</v>
      </c>
      <c r="B162" t="s">
        <v>3423</v>
      </c>
      <c r="C162" t="s">
        <v>74</v>
      </c>
      <c r="D162" t="s">
        <v>74</v>
      </c>
      <c r="E162" t="s">
        <v>74</v>
      </c>
      <c r="F162" t="s">
        <v>3424</v>
      </c>
      <c r="G162" t="s">
        <v>74</v>
      </c>
      <c r="H162" t="s">
        <v>74</v>
      </c>
      <c r="I162" t="s">
        <v>3425</v>
      </c>
      <c r="J162" t="s">
        <v>3426</v>
      </c>
      <c r="K162" t="s">
        <v>74</v>
      </c>
      <c r="L162" t="s">
        <v>74</v>
      </c>
      <c r="M162" t="s">
        <v>78</v>
      </c>
      <c r="N162" t="s">
        <v>108</v>
      </c>
      <c r="O162" t="s">
        <v>74</v>
      </c>
      <c r="P162" t="s">
        <v>74</v>
      </c>
      <c r="Q162" t="s">
        <v>74</v>
      </c>
      <c r="R162" t="s">
        <v>74</v>
      </c>
      <c r="S162" t="s">
        <v>74</v>
      </c>
      <c r="T162" t="s">
        <v>3427</v>
      </c>
      <c r="U162" t="s">
        <v>3428</v>
      </c>
      <c r="V162" t="s">
        <v>3429</v>
      </c>
      <c r="W162" t="s">
        <v>3430</v>
      </c>
      <c r="X162" t="s">
        <v>3431</v>
      </c>
      <c r="Y162" t="s">
        <v>3432</v>
      </c>
      <c r="Z162" t="s">
        <v>74</v>
      </c>
      <c r="AA162" t="s">
        <v>74</v>
      </c>
      <c r="AB162" t="s">
        <v>3433</v>
      </c>
      <c r="AC162" t="s">
        <v>74</v>
      </c>
      <c r="AD162" t="s">
        <v>74</v>
      </c>
      <c r="AE162" t="s">
        <v>74</v>
      </c>
      <c r="AF162" t="s">
        <v>74</v>
      </c>
      <c r="AG162">
        <v>21</v>
      </c>
      <c r="AH162">
        <v>0</v>
      </c>
      <c r="AI162">
        <v>0</v>
      </c>
      <c r="AJ162">
        <v>1</v>
      </c>
      <c r="AK162">
        <v>1</v>
      </c>
      <c r="AL162" t="s">
        <v>3066</v>
      </c>
      <c r="AM162" t="s">
        <v>3067</v>
      </c>
      <c r="AN162" t="s">
        <v>3068</v>
      </c>
      <c r="AO162" t="s">
        <v>3434</v>
      </c>
      <c r="AP162" t="s">
        <v>3435</v>
      </c>
      <c r="AQ162" t="s">
        <v>74</v>
      </c>
      <c r="AR162" t="s">
        <v>3436</v>
      </c>
      <c r="AS162" t="s">
        <v>3437</v>
      </c>
      <c r="AT162" t="s">
        <v>74</v>
      </c>
      <c r="AU162">
        <v>2023</v>
      </c>
      <c r="AV162">
        <v>13</v>
      </c>
      <c r="AW162">
        <v>1</v>
      </c>
      <c r="AX162" t="s">
        <v>74</v>
      </c>
      <c r="AY162" t="s">
        <v>74</v>
      </c>
      <c r="AZ162" t="s">
        <v>74</v>
      </c>
      <c r="BA162" t="s">
        <v>74</v>
      </c>
      <c r="BB162" t="s">
        <v>74</v>
      </c>
      <c r="BC162" t="s">
        <v>74</v>
      </c>
      <c r="BD162" t="s">
        <v>74</v>
      </c>
      <c r="BE162" t="s">
        <v>3438</v>
      </c>
      <c r="BF162" t="str">
        <f>HYPERLINK("http://dx.doi.org/10.4018/IJIRR.317087","http://dx.doi.org/10.4018/IJIRR.317087")</f>
        <v>http://dx.doi.org/10.4018/IJIRR.317087</v>
      </c>
      <c r="BG162" t="s">
        <v>74</v>
      </c>
      <c r="BH162" t="s">
        <v>74</v>
      </c>
      <c r="BI162">
        <v>1</v>
      </c>
      <c r="BJ162" t="s">
        <v>123</v>
      </c>
      <c r="BK162" t="s">
        <v>124</v>
      </c>
      <c r="BL162" t="s">
        <v>99</v>
      </c>
      <c r="BM162" t="s">
        <v>3439</v>
      </c>
      <c r="BN162" t="s">
        <v>74</v>
      </c>
      <c r="BO162" t="s">
        <v>126</v>
      </c>
      <c r="BP162" t="s">
        <v>74</v>
      </c>
      <c r="BQ162" t="s">
        <v>74</v>
      </c>
      <c r="BR162" t="s">
        <v>102</v>
      </c>
      <c r="BS162" t="s">
        <v>3440</v>
      </c>
      <c r="BT162" t="str">
        <f>HYPERLINK("https%3A%2F%2Fwww.webofscience.com%2Fwos%2Fwoscc%2Ffull-record%2FWOS:000948412100002","View Full Record in Web of Science")</f>
        <v>View Full Record in Web of Science</v>
      </c>
    </row>
    <row r="163" spans="1:72" x14ac:dyDescent="0.2">
      <c r="A163" t="s">
        <v>72</v>
      </c>
      <c r="B163" t="s">
        <v>3441</v>
      </c>
      <c r="C163" t="s">
        <v>74</v>
      </c>
      <c r="D163" t="s">
        <v>74</v>
      </c>
      <c r="E163" t="s">
        <v>74</v>
      </c>
      <c r="F163" t="s">
        <v>3442</v>
      </c>
      <c r="G163" t="s">
        <v>74</v>
      </c>
      <c r="H163" t="s">
        <v>74</v>
      </c>
      <c r="I163" t="s">
        <v>3443</v>
      </c>
      <c r="J163" t="s">
        <v>3444</v>
      </c>
      <c r="K163" t="s">
        <v>74</v>
      </c>
      <c r="L163" t="s">
        <v>74</v>
      </c>
      <c r="M163" t="s">
        <v>78</v>
      </c>
      <c r="N163" t="s">
        <v>108</v>
      </c>
      <c r="O163" t="s">
        <v>74</v>
      </c>
      <c r="P163" t="s">
        <v>74</v>
      </c>
      <c r="Q163" t="s">
        <v>74</v>
      </c>
      <c r="R163" t="s">
        <v>74</v>
      </c>
      <c r="S163" t="s">
        <v>74</v>
      </c>
      <c r="T163" t="s">
        <v>3445</v>
      </c>
      <c r="U163" t="s">
        <v>3446</v>
      </c>
      <c r="V163" t="s">
        <v>3447</v>
      </c>
      <c r="W163" t="s">
        <v>3448</v>
      </c>
      <c r="X163" t="s">
        <v>74</v>
      </c>
      <c r="Y163" t="s">
        <v>3449</v>
      </c>
      <c r="Z163" t="s">
        <v>3450</v>
      </c>
      <c r="AA163" t="s">
        <v>3451</v>
      </c>
      <c r="AB163" t="s">
        <v>3452</v>
      </c>
      <c r="AC163" t="s">
        <v>3453</v>
      </c>
      <c r="AD163" t="s">
        <v>3454</v>
      </c>
      <c r="AE163" t="s">
        <v>3455</v>
      </c>
      <c r="AF163" t="s">
        <v>74</v>
      </c>
      <c r="AG163">
        <v>30</v>
      </c>
      <c r="AH163">
        <v>19</v>
      </c>
      <c r="AI163">
        <v>19</v>
      </c>
      <c r="AJ163">
        <v>5</v>
      </c>
      <c r="AK163">
        <v>120</v>
      </c>
      <c r="AL163" t="s">
        <v>3456</v>
      </c>
      <c r="AM163" t="s">
        <v>3457</v>
      </c>
      <c r="AN163" t="s">
        <v>3458</v>
      </c>
      <c r="AO163" t="s">
        <v>3459</v>
      </c>
      <c r="AP163" t="s">
        <v>74</v>
      </c>
      <c r="AQ163" t="s">
        <v>74</v>
      </c>
      <c r="AR163" t="s">
        <v>3460</v>
      </c>
      <c r="AS163" t="s">
        <v>3461</v>
      </c>
      <c r="AT163" t="s">
        <v>239</v>
      </c>
      <c r="AU163">
        <v>2015</v>
      </c>
      <c r="AV163">
        <v>12</v>
      </c>
      <c r="AW163">
        <v>3</v>
      </c>
      <c r="AX163" t="s">
        <v>74</v>
      </c>
      <c r="AY163" t="s">
        <v>74</v>
      </c>
      <c r="AZ163" t="s">
        <v>570</v>
      </c>
      <c r="BA163" t="s">
        <v>74</v>
      </c>
      <c r="BB163">
        <v>911</v>
      </c>
      <c r="BC163">
        <v>930</v>
      </c>
      <c r="BD163" t="s">
        <v>74</v>
      </c>
      <c r="BE163" t="s">
        <v>3462</v>
      </c>
      <c r="BF163" t="str">
        <f>HYPERLINK("http://dx.doi.org/10.2298/CSIS141101034S","http://dx.doi.org/10.2298/CSIS141101034S")</f>
        <v>http://dx.doi.org/10.2298/CSIS141101034S</v>
      </c>
      <c r="BG163" t="s">
        <v>74</v>
      </c>
      <c r="BH163" t="s">
        <v>74</v>
      </c>
      <c r="BI163">
        <v>20</v>
      </c>
      <c r="BJ163" t="s">
        <v>3463</v>
      </c>
      <c r="BK163" t="s">
        <v>98</v>
      </c>
      <c r="BL163" t="s">
        <v>99</v>
      </c>
      <c r="BM163" t="s">
        <v>3464</v>
      </c>
      <c r="BN163" t="s">
        <v>74</v>
      </c>
      <c r="BO163" t="s">
        <v>306</v>
      </c>
      <c r="BP163" t="s">
        <v>74</v>
      </c>
      <c r="BQ163" t="s">
        <v>74</v>
      </c>
      <c r="BR163" t="s">
        <v>102</v>
      </c>
      <c r="BS163" t="s">
        <v>3465</v>
      </c>
      <c r="BT163" t="str">
        <f>HYPERLINK("https%3A%2F%2Fwww.webofscience.com%2Fwos%2Fwoscc%2Ffull-record%2FWOS:000360138100002","View Full Record in Web of Science")</f>
        <v>View Full Record in Web of Science</v>
      </c>
    </row>
    <row r="164" spans="1:72" x14ac:dyDescent="0.2">
      <c r="A164" t="s">
        <v>72</v>
      </c>
      <c r="B164" t="s">
        <v>3466</v>
      </c>
      <c r="C164" t="s">
        <v>74</v>
      </c>
      <c r="D164" t="s">
        <v>74</v>
      </c>
      <c r="E164" t="s">
        <v>74</v>
      </c>
      <c r="F164" t="s">
        <v>3467</v>
      </c>
      <c r="G164" t="s">
        <v>74</v>
      </c>
      <c r="H164" t="s">
        <v>74</v>
      </c>
      <c r="I164" t="s">
        <v>3468</v>
      </c>
      <c r="J164" t="s">
        <v>3469</v>
      </c>
      <c r="K164" t="s">
        <v>74</v>
      </c>
      <c r="L164" t="s">
        <v>74</v>
      </c>
      <c r="M164" t="s">
        <v>78</v>
      </c>
      <c r="N164" t="s">
        <v>108</v>
      </c>
      <c r="O164" t="s">
        <v>74</v>
      </c>
      <c r="P164" t="s">
        <v>74</v>
      </c>
      <c r="Q164" t="s">
        <v>74</v>
      </c>
      <c r="R164" t="s">
        <v>74</v>
      </c>
      <c r="S164" t="s">
        <v>74</v>
      </c>
      <c r="T164" t="s">
        <v>3470</v>
      </c>
      <c r="U164" t="s">
        <v>3471</v>
      </c>
      <c r="V164" t="s">
        <v>3472</v>
      </c>
      <c r="W164" t="s">
        <v>3473</v>
      </c>
      <c r="X164" t="s">
        <v>3474</v>
      </c>
      <c r="Y164" t="s">
        <v>3475</v>
      </c>
      <c r="Z164" t="s">
        <v>3476</v>
      </c>
      <c r="AA164" t="s">
        <v>3477</v>
      </c>
      <c r="AB164" t="s">
        <v>3478</v>
      </c>
      <c r="AC164" t="s">
        <v>74</v>
      </c>
      <c r="AD164" t="s">
        <v>74</v>
      </c>
      <c r="AE164" t="s">
        <v>74</v>
      </c>
      <c r="AF164" t="s">
        <v>74</v>
      </c>
      <c r="AG164">
        <v>31</v>
      </c>
      <c r="AH164">
        <v>12</v>
      </c>
      <c r="AI164">
        <v>12</v>
      </c>
      <c r="AJ164">
        <v>2</v>
      </c>
      <c r="AK164">
        <v>11</v>
      </c>
      <c r="AL164" t="s">
        <v>167</v>
      </c>
      <c r="AM164" t="s">
        <v>168</v>
      </c>
      <c r="AN164" t="s">
        <v>169</v>
      </c>
      <c r="AO164" t="s">
        <v>3479</v>
      </c>
      <c r="AP164" t="s">
        <v>74</v>
      </c>
      <c r="AQ164" t="s">
        <v>74</v>
      </c>
      <c r="AR164" t="s">
        <v>3480</v>
      </c>
      <c r="AS164" t="s">
        <v>3481</v>
      </c>
      <c r="AT164" t="s">
        <v>3482</v>
      </c>
      <c r="AU164">
        <v>2020</v>
      </c>
      <c r="AV164">
        <v>5</v>
      </c>
      <c r="AW164">
        <v>4</v>
      </c>
      <c r="AX164" t="s">
        <v>74</v>
      </c>
      <c r="AY164" t="s">
        <v>74</v>
      </c>
      <c r="AZ164" t="s">
        <v>74</v>
      </c>
      <c r="BA164" t="s">
        <v>74</v>
      </c>
      <c r="BB164">
        <v>568</v>
      </c>
      <c r="BC164">
        <v>580</v>
      </c>
      <c r="BD164" t="s">
        <v>74</v>
      </c>
      <c r="BE164" t="s">
        <v>3483</v>
      </c>
      <c r="BF164" t="str">
        <f>HYPERLINK("http://dx.doi.org/10.1109/TSUSC.2019.2929935","http://dx.doi.org/10.1109/TSUSC.2019.2929935")</f>
        <v>http://dx.doi.org/10.1109/TSUSC.2019.2929935</v>
      </c>
      <c r="BG164" t="s">
        <v>74</v>
      </c>
      <c r="BH164" t="s">
        <v>74</v>
      </c>
      <c r="BI164">
        <v>13</v>
      </c>
      <c r="BJ164" t="s">
        <v>3484</v>
      </c>
      <c r="BK164" t="s">
        <v>98</v>
      </c>
      <c r="BL164" t="s">
        <v>505</v>
      </c>
      <c r="BM164" t="s">
        <v>3485</v>
      </c>
      <c r="BN164" t="s">
        <v>74</v>
      </c>
      <c r="BO164" t="s">
        <v>74</v>
      </c>
      <c r="BP164" t="s">
        <v>74</v>
      </c>
      <c r="BQ164" t="s">
        <v>74</v>
      </c>
      <c r="BR164" t="s">
        <v>102</v>
      </c>
      <c r="BS164" t="s">
        <v>3486</v>
      </c>
      <c r="BT164" t="str">
        <f>HYPERLINK("https%3A%2F%2Fwww.webofscience.com%2Fwos%2Fwoscc%2Ffull-record%2FWOS:000694028000009","View Full Record in Web of Science")</f>
        <v>View Full Record in Web of Science</v>
      </c>
    </row>
    <row r="165" spans="1:72" x14ac:dyDescent="0.2">
      <c r="A165" t="s">
        <v>72</v>
      </c>
      <c r="B165" t="s">
        <v>3487</v>
      </c>
      <c r="C165" t="s">
        <v>74</v>
      </c>
      <c r="D165" t="s">
        <v>74</v>
      </c>
      <c r="E165" t="s">
        <v>74</v>
      </c>
      <c r="F165" t="s">
        <v>3488</v>
      </c>
      <c r="G165" t="s">
        <v>74</v>
      </c>
      <c r="H165" t="s">
        <v>74</v>
      </c>
      <c r="I165" t="s">
        <v>3489</v>
      </c>
      <c r="J165" t="s">
        <v>1600</v>
      </c>
      <c r="K165" t="s">
        <v>74</v>
      </c>
      <c r="L165" t="s">
        <v>74</v>
      </c>
      <c r="M165" t="s">
        <v>78</v>
      </c>
      <c r="N165" t="s">
        <v>108</v>
      </c>
      <c r="O165" t="s">
        <v>74</v>
      </c>
      <c r="P165" t="s">
        <v>74</v>
      </c>
      <c r="Q165" t="s">
        <v>74</v>
      </c>
      <c r="R165" t="s">
        <v>74</v>
      </c>
      <c r="S165" t="s">
        <v>74</v>
      </c>
      <c r="T165" t="s">
        <v>3490</v>
      </c>
      <c r="U165" t="s">
        <v>3491</v>
      </c>
      <c r="V165" t="s">
        <v>3492</v>
      </c>
      <c r="W165" t="s">
        <v>3493</v>
      </c>
      <c r="X165" t="s">
        <v>3494</v>
      </c>
      <c r="Y165" t="s">
        <v>3495</v>
      </c>
      <c r="Z165" t="s">
        <v>3496</v>
      </c>
      <c r="AA165" t="s">
        <v>74</v>
      </c>
      <c r="AB165" t="s">
        <v>3497</v>
      </c>
      <c r="AC165" t="s">
        <v>74</v>
      </c>
      <c r="AD165" t="s">
        <v>74</v>
      </c>
      <c r="AE165" t="s">
        <v>74</v>
      </c>
      <c r="AF165" t="s">
        <v>74</v>
      </c>
      <c r="AG165">
        <v>65</v>
      </c>
      <c r="AH165">
        <v>0</v>
      </c>
      <c r="AI165">
        <v>0</v>
      </c>
      <c r="AJ165">
        <v>4</v>
      </c>
      <c r="AK165">
        <v>10</v>
      </c>
      <c r="AL165" t="s">
        <v>116</v>
      </c>
      <c r="AM165" t="s">
        <v>117</v>
      </c>
      <c r="AN165" t="s">
        <v>118</v>
      </c>
      <c r="AO165" t="s">
        <v>74</v>
      </c>
      <c r="AP165" t="s">
        <v>1609</v>
      </c>
      <c r="AQ165" t="s">
        <v>74</v>
      </c>
      <c r="AR165" t="s">
        <v>1610</v>
      </c>
      <c r="AS165" t="s">
        <v>1611</v>
      </c>
      <c r="AT165" t="s">
        <v>216</v>
      </c>
      <c r="AU165">
        <v>2021</v>
      </c>
      <c r="AV165">
        <v>9</v>
      </c>
      <c r="AW165">
        <v>23</v>
      </c>
      <c r="AX165" t="s">
        <v>74</v>
      </c>
      <c r="AY165" t="s">
        <v>74</v>
      </c>
      <c r="AZ165" t="s">
        <v>74</v>
      </c>
      <c r="BA165" t="s">
        <v>74</v>
      </c>
      <c r="BB165" t="s">
        <v>74</v>
      </c>
      <c r="BC165" t="s">
        <v>74</v>
      </c>
      <c r="BD165">
        <v>3114</v>
      </c>
      <c r="BE165" t="s">
        <v>3498</v>
      </c>
      <c r="BF165" t="str">
        <f>HYPERLINK("http://dx.doi.org/10.3390/math9233114","http://dx.doi.org/10.3390/math9233114")</f>
        <v>http://dx.doi.org/10.3390/math9233114</v>
      </c>
      <c r="BG165" t="s">
        <v>74</v>
      </c>
      <c r="BH165" t="s">
        <v>74</v>
      </c>
      <c r="BI165">
        <v>31</v>
      </c>
      <c r="BJ165" t="s">
        <v>1611</v>
      </c>
      <c r="BK165" t="s">
        <v>98</v>
      </c>
      <c r="BL165" t="s">
        <v>1611</v>
      </c>
      <c r="BM165" t="s">
        <v>3499</v>
      </c>
      <c r="BN165" t="s">
        <v>74</v>
      </c>
      <c r="BO165" t="s">
        <v>126</v>
      </c>
      <c r="BP165" t="s">
        <v>74</v>
      </c>
      <c r="BQ165" t="s">
        <v>74</v>
      </c>
      <c r="BR165" t="s">
        <v>102</v>
      </c>
      <c r="BS165" t="s">
        <v>3500</v>
      </c>
      <c r="BT165" t="str">
        <f>HYPERLINK("https%3A%2F%2Fwww.webofscience.com%2Fwos%2Fwoscc%2Ffull-record%2FWOS:000741443400001","View Full Record in Web of Science")</f>
        <v>View Full Record in Web of Science</v>
      </c>
    </row>
    <row r="166" spans="1:72" x14ac:dyDescent="0.2">
      <c r="A166" t="s">
        <v>72</v>
      </c>
      <c r="B166" t="s">
        <v>3501</v>
      </c>
      <c r="C166" t="s">
        <v>74</v>
      </c>
      <c r="D166" t="s">
        <v>74</v>
      </c>
      <c r="E166" t="s">
        <v>74</v>
      </c>
      <c r="F166" t="s">
        <v>3502</v>
      </c>
      <c r="G166" t="s">
        <v>74</v>
      </c>
      <c r="H166" t="s">
        <v>74</v>
      </c>
      <c r="I166" t="s">
        <v>3503</v>
      </c>
      <c r="J166" t="s">
        <v>3504</v>
      </c>
      <c r="K166" t="s">
        <v>74</v>
      </c>
      <c r="L166" t="s">
        <v>74</v>
      </c>
      <c r="M166" t="s">
        <v>78</v>
      </c>
      <c r="N166" t="s">
        <v>108</v>
      </c>
      <c r="O166" t="s">
        <v>74</v>
      </c>
      <c r="P166" t="s">
        <v>74</v>
      </c>
      <c r="Q166" t="s">
        <v>74</v>
      </c>
      <c r="R166" t="s">
        <v>74</v>
      </c>
      <c r="S166" t="s">
        <v>74</v>
      </c>
      <c r="T166" t="s">
        <v>3505</v>
      </c>
      <c r="U166" t="s">
        <v>3506</v>
      </c>
      <c r="V166" t="s">
        <v>3507</v>
      </c>
      <c r="W166" t="s">
        <v>3508</v>
      </c>
      <c r="X166" t="s">
        <v>3509</v>
      </c>
      <c r="Y166" t="s">
        <v>3510</v>
      </c>
      <c r="Z166" t="s">
        <v>3511</v>
      </c>
      <c r="AA166" t="s">
        <v>3512</v>
      </c>
      <c r="AB166" t="s">
        <v>3513</v>
      </c>
      <c r="AC166" t="s">
        <v>74</v>
      </c>
      <c r="AD166" t="s">
        <v>74</v>
      </c>
      <c r="AE166" t="s">
        <v>74</v>
      </c>
      <c r="AF166" t="s">
        <v>74</v>
      </c>
      <c r="AG166">
        <v>34</v>
      </c>
      <c r="AH166">
        <v>10</v>
      </c>
      <c r="AI166">
        <v>11</v>
      </c>
      <c r="AJ166">
        <v>0</v>
      </c>
      <c r="AK166">
        <v>25</v>
      </c>
      <c r="AL166" t="s">
        <v>259</v>
      </c>
      <c r="AM166" t="s">
        <v>260</v>
      </c>
      <c r="AN166" t="s">
        <v>261</v>
      </c>
      <c r="AO166" t="s">
        <v>3514</v>
      </c>
      <c r="AP166" t="s">
        <v>3515</v>
      </c>
      <c r="AQ166" t="s">
        <v>74</v>
      </c>
      <c r="AR166" t="s">
        <v>3516</v>
      </c>
      <c r="AS166" t="s">
        <v>3517</v>
      </c>
      <c r="AT166" t="s">
        <v>372</v>
      </c>
      <c r="AU166">
        <v>2016</v>
      </c>
      <c r="AV166">
        <v>38</v>
      </c>
      <c r="AW166" t="s">
        <v>74</v>
      </c>
      <c r="AX166" t="s">
        <v>74</v>
      </c>
      <c r="AY166" t="s">
        <v>74</v>
      </c>
      <c r="AZ166" t="s">
        <v>74</v>
      </c>
      <c r="BA166" t="s">
        <v>74</v>
      </c>
      <c r="BB166">
        <v>77</v>
      </c>
      <c r="BC166">
        <v>86</v>
      </c>
      <c r="BD166" t="s">
        <v>74</v>
      </c>
      <c r="BE166" t="s">
        <v>3518</v>
      </c>
      <c r="BF166" t="str">
        <f>HYPERLINK("http://dx.doi.org/10.1016/j.jmsy.2015.10.002","http://dx.doi.org/10.1016/j.jmsy.2015.10.002")</f>
        <v>http://dx.doi.org/10.1016/j.jmsy.2015.10.002</v>
      </c>
      <c r="BG166" t="s">
        <v>74</v>
      </c>
      <c r="BH166" t="s">
        <v>74</v>
      </c>
      <c r="BI166">
        <v>10</v>
      </c>
      <c r="BJ166" t="s">
        <v>780</v>
      </c>
      <c r="BK166" t="s">
        <v>147</v>
      </c>
      <c r="BL166" t="s">
        <v>781</v>
      </c>
      <c r="BM166" t="s">
        <v>3519</v>
      </c>
      <c r="BN166" t="s">
        <v>74</v>
      </c>
      <c r="BO166" t="s">
        <v>74</v>
      </c>
      <c r="BP166" t="s">
        <v>74</v>
      </c>
      <c r="BQ166" t="s">
        <v>74</v>
      </c>
      <c r="BR166" t="s">
        <v>102</v>
      </c>
      <c r="BS166" t="s">
        <v>3520</v>
      </c>
      <c r="BT166" t="str">
        <f>HYPERLINK("https%3A%2F%2Fwww.webofscience.com%2Fwos%2Fwoscc%2Ffull-record%2FWOS:000370901700006","View Full Record in Web of Science")</f>
        <v>View Full Record in Web of Science</v>
      </c>
    </row>
    <row r="167" spans="1:72" x14ac:dyDescent="0.2">
      <c r="A167" t="s">
        <v>72</v>
      </c>
      <c r="B167" t="s">
        <v>3521</v>
      </c>
      <c r="C167" t="s">
        <v>74</v>
      </c>
      <c r="D167" t="s">
        <v>74</v>
      </c>
      <c r="E167" t="s">
        <v>74</v>
      </c>
      <c r="F167" t="s">
        <v>3522</v>
      </c>
      <c r="G167" t="s">
        <v>74</v>
      </c>
      <c r="H167" t="s">
        <v>74</v>
      </c>
      <c r="I167" t="s">
        <v>3523</v>
      </c>
      <c r="J167" t="s">
        <v>311</v>
      </c>
      <c r="K167" t="s">
        <v>74</v>
      </c>
      <c r="L167" t="s">
        <v>74</v>
      </c>
      <c r="M167" t="s">
        <v>78</v>
      </c>
      <c r="N167" t="s">
        <v>108</v>
      </c>
      <c r="O167" t="s">
        <v>74</v>
      </c>
      <c r="P167" t="s">
        <v>74</v>
      </c>
      <c r="Q167" t="s">
        <v>74</v>
      </c>
      <c r="R167" t="s">
        <v>74</v>
      </c>
      <c r="S167" t="s">
        <v>74</v>
      </c>
      <c r="T167" t="s">
        <v>3524</v>
      </c>
      <c r="U167" t="s">
        <v>3525</v>
      </c>
      <c r="V167" t="s">
        <v>3526</v>
      </c>
      <c r="W167" t="s">
        <v>3527</v>
      </c>
      <c r="X167" t="s">
        <v>3528</v>
      </c>
      <c r="Y167" t="s">
        <v>3529</v>
      </c>
      <c r="Z167" t="s">
        <v>3530</v>
      </c>
      <c r="AA167" t="s">
        <v>3531</v>
      </c>
      <c r="AB167" t="s">
        <v>3532</v>
      </c>
      <c r="AC167" t="s">
        <v>3533</v>
      </c>
      <c r="AD167" t="s">
        <v>3534</v>
      </c>
      <c r="AE167" t="s">
        <v>3535</v>
      </c>
      <c r="AF167" t="s">
        <v>74</v>
      </c>
      <c r="AG167">
        <v>16</v>
      </c>
      <c r="AH167">
        <v>54</v>
      </c>
      <c r="AI167">
        <v>54</v>
      </c>
      <c r="AJ167">
        <v>0</v>
      </c>
      <c r="AK167">
        <v>33</v>
      </c>
      <c r="AL167" t="s">
        <v>321</v>
      </c>
      <c r="AM167" t="s">
        <v>322</v>
      </c>
      <c r="AN167" t="s">
        <v>323</v>
      </c>
      <c r="AO167" t="s">
        <v>324</v>
      </c>
      <c r="AP167" t="s">
        <v>74</v>
      </c>
      <c r="AQ167" t="s">
        <v>74</v>
      </c>
      <c r="AR167" t="s">
        <v>326</v>
      </c>
      <c r="AS167" t="s">
        <v>327</v>
      </c>
      <c r="AT167" t="s">
        <v>846</v>
      </c>
      <c r="AU167">
        <v>2011</v>
      </c>
      <c r="AV167">
        <v>185</v>
      </c>
      <c r="AW167">
        <v>1</v>
      </c>
      <c r="AX167" t="s">
        <v>74</v>
      </c>
      <c r="AY167" t="s">
        <v>74</v>
      </c>
      <c r="AZ167" t="s">
        <v>74</v>
      </c>
      <c r="BA167" t="s">
        <v>74</v>
      </c>
      <c r="BB167">
        <v>181</v>
      </c>
      <c r="BC167">
        <v>193</v>
      </c>
      <c r="BD167" t="s">
        <v>74</v>
      </c>
      <c r="BE167" t="s">
        <v>3536</v>
      </c>
      <c r="BF167" t="str">
        <f>HYPERLINK("http://dx.doi.org/10.1007/s10479-009-0616-2","http://dx.doi.org/10.1007/s10479-009-0616-2")</f>
        <v>http://dx.doi.org/10.1007/s10479-009-0616-2</v>
      </c>
      <c r="BG167" t="s">
        <v>74</v>
      </c>
      <c r="BH167" t="s">
        <v>74</v>
      </c>
      <c r="BI167">
        <v>13</v>
      </c>
      <c r="BJ167" t="s">
        <v>330</v>
      </c>
      <c r="BK167" t="s">
        <v>147</v>
      </c>
      <c r="BL167" t="s">
        <v>330</v>
      </c>
      <c r="BM167" t="s">
        <v>3537</v>
      </c>
      <c r="BN167" t="s">
        <v>74</v>
      </c>
      <c r="BO167" t="s">
        <v>74</v>
      </c>
      <c r="BP167" t="s">
        <v>74</v>
      </c>
      <c r="BQ167" t="s">
        <v>74</v>
      </c>
      <c r="BR167" t="s">
        <v>102</v>
      </c>
      <c r="BS167" t="s">
        <v>3538</v>
      </c>
      <c r="BT167" t="str">
        <f>HYPERLINK("https%3A%2F%2Fwww.webofscience.com%2Fwos%2Fwoscc%2Ffull-record%2FWOS:000289207100009","View Full Record in Web of Science")</f>
        <v>View Full Record in Web of Science</v>
      </c>
    </row>
    <row r="168" spans="1:72" x14ac:dyDescent="0.2">
      <c r="A168" t="s">
        <v>72</v>
      </c>
      <c r="B168" t="s">
        <v>3539</v>
      </c>
      <c r="C168" t="s">
        <v>74</v>
      </c>
      <c r="D168" t="s">
        <v>74</v>
      </c>
      <c r="E168" t="s">
        <v>74</v>
      </c>
      <c r="F168" t="s">
        <v>3540</v>
      </c>
      <c r="G168" t="s">
        <v>74</v>
      </c>
      <c r="H168" t="s">
        <v>74</v>
      </c>
      <c r="I168" t="s">
        <v>3541</v>
      </c>
      <c r="J168" t="s">
        <v>3542</v>
      </c>
      <c r="K168" t="s">
        <v>74</v>
      </c>
      <c r="L168" t="s">
        <v>74</v>
      </c>
      <c r="M168" t="s">
        <v>78</v>
      </c>
      <c r="N168" t="s">
        <v>108</v>
      </c>
      <c r="O168" t="s">
        <v>74</v>
      </c>
      <c r="P168" t="s">
        <v>74</v>
      </c>
      <c r="Q168" t="s">
        <v>74</v>
      </c>
      <c r="R168" t="s">
        <v>74</v>
      </c>
      <c r="S168" t="s">
        <v>74</v>
      </c>
      <c r="T168" t="s">
        <v>3543</v>
      </c>
      <c r="U168" t="s">
        <v>74</v>
      </c>
      <c r="V168" t="s">
        <v>3544</v>
      </c>
      <c r="W168" t="s">
        <v>3545</v>
      </c>
      <c r="X168" t="s">
        <v>3546</v>
      </c>
      <c r="Y168" t="s">
        <v>3547</v>
      </c>
      <c r="Z168" t="s">
        <v>3548</v>
      </c>
      <c r="AA168" t="s">
        <v>3549</v>
      </c>
      <c r="AB168" t="s">
        <v>74</v>
      </c>
      <c r="AC168" t="s">
        <v>3550</v>
      </c>
      <c r="AD168" t="s">
        <v>987</v>
      </c>
      <c r="AE168" t="s">
        <v>3551</v>
      </c>
      <c r="AF168" t="s">
        <v>74</v>
      </c>
      <c r="AG168">
        <v>20</v>
      </c>
      <c r="AH168">
        <v>0</v>
      </c>
      <c r="AI168">
        <v>0</v>
      </c>
      <c r="AJ168">
        <v>7</v>
      </c>
      <c r="AK168">
        <v>11</v>
      </c>
      <c r="AL168" t="s">
        <v>3552</v>
      </c>
      <c r="AM168" t="s">
        <v>210</v>
      </c>
      <c r="AN168" t="s">
        <v>3553</v>
      </c>
      <c r="AO168" t="s">
        <v>3554</v>
      </c>
      <c r="AP168" t="s">
        <v>3555</v>
      </c>
      <c r="AQ168" t="s">
        <v>74</v>
      </c>
      <c r="AR168" t="s">
        <v>3556</v>
      </c>
      <c r="AS168" t="s">
        <v>3557</v>
      </c>
      <c r="AT168" t="s">
        <v>74</v>
      </c>
      <c r="AU168">
        <v>2022</v>
      </c>
      <c r="AV168">
        <v>43</v>
      </c>
      <c r="AW168">
        <v>1</v>
      </c>
      <c r="AX168" t="s">
        <v>74</v>
      </c>
      <c r="AY168" t="s">
        <v>74</v>
      </c>
      <c r="AZ168" t="s">
        <v>74</v>
      </c>
      <c r="BA168" t="s">
        <v>74</v>
      </c>
      <c r="BB168">
        <v>425</v>
      </c>
      <c r="BC168">
        <v>435</v>
      </c>
      <c r="BD168" t="s">
        <v>74</v>
      </c>
      <c r="BE168" t="s">
        <v>3558</v>
      </c>
      <c r="BF168" t="str">
        <f>HYPERLINK("http://dx.doi.org/10.3233/JIFS-212265","http://dx.doi.org/10.3233/JIFS-212265")</f>
        <v>http://dx.doi.org/10.3233/JIFS-212265</v>
      </c>
      <c r="BG168" t="s">
        <v>74</v>
      </c>
      <c r="BH168" t="s">
        <v>74</v>
      </c>
      <c r="BI168">
        <v>11</v>
      </c>
      <c r="BJ168" t="s">
        <v>2017</v>
      </c>
      <c r="BK168" t="s">
        <v>98</v>
      </c>
      <c r="BL168" t="s">
        <v>99</v>
      </c>
      <c r="BM168" t="s">
        <v>3559</v>
      </c>
      <c r="BN168" t="s">
        <v>74</v>
      </c>
      <c r="BO168" t="s">
        <v>74</v>
      </c>
      <c r="BP168" t="s">
        <v>74</v>
      </c>
      <c r="BQ168" t="s">
        <v>74</v>
      </c>
      <c r="BR168" t="s">
        <v>102</v>
      </c>
      <c r="BS168" t="s">
        <v>3560</v>
      </c>
      <c r="BT168" t="str">
        <f>HYPERLINK("https%3A%2F%2Fwww.webofscience.com%2Fwos%2Fwoscc%2Ffull-record%2FWOS:000807894800029","View Full Record in Web of Science")</f>
        <v>View Full Record in Web of Science</v>
      </c>
    </row>
    <row r="169" spans="1:72" x14ac:dyDescent="0.2">
      <c r="A169" t="s">
        <v>72</v>
      </c>
      <c r="B169" t="s">
        <v>3561</v>
      </c>
      <c r="C169" t="s">
        <v>74</v>
      </c>
      <c r="D169" t="s">
        <v>74</v>
      </c>
      <c r="E169" t="s">
        <v>74</v>
      </c>
      <c r="F169" t="s">
        <v>3562</v>
      </c>
      <c r="G169" t="s">
        <v>74</v>
      </c>
      <c r="H169" t="s">
        <v>74</v>
      </c>
      <c r="I169" t="s">
        <v>3563</v>
      </c>
      <c r="J169" t="s">
        <v>2422</v>
      </c>
      <c r="K169" t="s">
        <v>74</v>
      </c>
      <c r="L169" t="s">
        <v>74</v>
      </c>
      <c r="M169" t="s">
        <v>78</v>
      </c>
      <c r="N169" t="s">
        <v>108</v>
      </c>
      <c r="O169" t="s">
        <v>74</v>
      </c>
      <c r="P169" t="s">
        <v>74</v>
      </c>
      <c r="Q169" t="s">
        <v>74</v>
      </c>
      <c r="R169" t="s">
        <v>74</v>
      </c>
      <c r="S169" t="s">
        <v>74</v>
      </c>
      <c r="T169" t="s">
        <v>3564</v>
      </c>
      <c r="U169" t="s">
        <v>3565</v>
      </c>
      <c r="V169" t="s">
        <v>3566</v>
      </c>
      <c r="W169" t="s">
        <v>3567</v>
      </c>
      <c r="X169" t="s">
        <v>3568</v>
      </c>
      <c r="Y169" t="s">
        <v>3569</v>
      </c>
      <c r="Z169" t="s">
        <v>3570</v>
      </c>
      <c r="AA169" t="s">
        <v>3571</v>
      </c>
      <c r="AB169" t="s">
        <v>3572</v>
      </c>
      <c r="AC169" t="s">
        <v>3573</v>
      </c>
      <c r="AD169" t="s">
        <v>3574</v>
      </c>
      <c r="AE169" t="s">
        <v>3575</v>
      </c>
      <c r="AF169" t="s">
        <v>74</v>
      </c>
      <c r="AG169">
        <v>44</v>
      </c>
      <c r="AH169">
        <v>6</v>
      </c>
      <c r="AI169">
        <v>6</v>
      </c>
      <c r="AJ169">
        <v>15</v>
      </c>
      <c r="AK169">
        <v>39</v>
      </c>
      <c r="AL169" t="s">
        <v>259</v>
      </c>
      <c r="AM169" t="s">
        <v>260</v>
      </c>
      <c r="AN169" t="s">
        <v>261</v>
      </c>
      <c r="AO169" t="s">
        <v>2435</v>
      </c>
      <c r="AP169" t="s">
        <v>2436</v>
      </c>
      <c r="AQ169" t="s">
        <v>74</v>
      </c>
      <c r="AR169" t="s">
        <v>2422</v>
      </c>
      <c r="AS169" t="s">
        <v>2437</v>
      </c>
      <c r="AT169" t="s">
        <v>416</v>
      </c>
      <c r="AU169">
        <v>2022</v>
      </c>
      <c r="AV169">
        <v>136</v>
      </c>
      <c r="AW169" t="s">
        <v>74</v>
      </c>
      <c r="AX169" t="s">
        <v>74</v>
      </c>
      <c r="AY169" t="s">
        <v>74</v>
      </c>
      <c r="AZ169" t="s">
        <v>74</v>
      </c>
      <c r="BA169" t="s">
        <v>74</v>
      </c>
      <c r="BB169" t="s">
        <v>74</v>
      </c>
      <c r="BC169" t="s">
        <v>74</v>
      </c>
      <c r="BD169">
        <v>108872</v>
      </c>
      <c r="BE169" t="s">
        <v>3576</v>
      </c>
      <c r="BF169" t="str">
        <f>HYPERLINK("http://dx.doi.org/10.1016/j.foodcont.2022.108872","http://dx.doi.org/10.1016/j.foodcont.2022.108872")</f>
        <v>http://dx.doi.org/10.1016/j.foodcont.2022.108872</v>
      </c>
      <c r="BG169" t="s">
        <v>74</v>
      </c>
      <c r="BH169" t="s">
        <v>470</v>
      </c>
      <c r="BI169">
        <v>11</v>
      </c>
      <c r="BJ169" t="s">
        <v>1121</v>
      </c>
      <c r="BK169" t="s">
        <v>147</v>
      </c>
      <c r="BL169" t="s">
        <v>1121</v>
      </c>
      <c r="BM169" t="s">
        <v>3577</v>
      </c>
      <c r="BN169" t="s">
        <v>74</v>
      </c>
      <c r="BO169" t="s">
        <v>2104</v>
      </c>
      <c r="BP169" t="s">
        <v>74</v>
      </c>
      <c r="BQ169" t="s">
        <v>74</v>
      </c>
      <c r="BR169" t="s">
        <v>102</v>
      </c>
      <c r="BS169" t="s">
        <v>3578</v>
      </c>
      <c r="BT169" t="str">
        <f>HYPERLINK("https%3A%2F%2Fwww.webofscience.com%2Fwos%2Fwoscc%2Ffull-record%2FWOS:000791124600013","View Full Record in Web of Science")</f>
        <v>View Full Record in Web of Science</v>
      </c>
    </row>
    <row r="170" spans="1:72" x14ac:dyDescent="0.2">
      <c r="A170" t="s">
        <v>72</v>
      </c>
      <c r="B170" t="s">
        <v>3579</v>
      </c>
      <c r="C170" t="s">
        <v>74</v>
      </c>
      <c r="D170" t="s">
        <v>74</v>
      </c>
      <c r="E170" t="s">
        <v>74</v>
      </c>
      <c r="F170" t="s">
        <v>3580</v>
      </c>
      <c r="G170" t="s">
        <v>74</v>
      </c>
      <c r="H170" t="s">
        <v>74</v>
      </c>
      <c r="I170" t="s">
        <v>3581</v>
      </c>
      <c r="J170" t="s">
        <v>3582</v>
      </c>
      <c r="K170" t="s">
        <v>74</v>
      </c>
      <c r="L170" t="s">
        <v>74</v>
      </c>
      <c r="M170" t="s">
        <v>78</v>
      </c>
      <c r="N170" t="s">
        <v>108</v>
      </c>
      <c r="O170" t="s">
        <v>74</v>
      </c>
      <c r="P170" t="s">
        <v>74</v>
      </c>
      <c r="Q170" t="s">
        <v>74</v>
      </c>
      <c r="R170" t="s">
        <v>74</v>
      </c>
      <c r="S170" t="s">
        <v>74</v>
      </c>
      <c r="T170" t="s">
        <v>3583</v>
      </c>
      <c r="U170" t="s">
        <v>3584</v>
      </c>
      <c r="V170" t="s">
        <v>3585</v>
      </c>
      <c r="W170" t="s">
        <v>3586</v>
      </c>
      <c r="X170" t="s">
        <v>3587</v>
      </c>
      <c r="Y170" t="s">
        <v>3588</v>
      </c>
      <c r="Z170" t="s">
        <v>3589</v>
      </c>
      <c r="AA170" t="s">
        <v>74</v>
      </c>
      <c r="AB170" t="s">
        <v>74</v>
      </c>
      <c r="AC170" t="s">
        <v>74</v>
      </c>
      <c r="AD170" t="s">
        <v>74</v>
      </c>
      <c r="AE170" t="s">
        <v>74</v>
      </c>
      <c r="AF170" t="s">
        <v>74</v>
      </c>
      <c r="AG170">
        <v>43</v>
      </c>
      <c r="AH170">
        <v>9</v>
      </c>
      <c r="AI170">
        <v>9</v>
      </c>
      <c r="AJ170">
        <v>2</v>
      </c>
      <c r="AK170">
        <v>12</v>
      </c>
      <c r="AL170" t="s">
        <v>388</v>
      </c>
      <c r="AM170" t="s">
        <v>389</v>
      </c>
      <c r="AN170" t="s">
        <v>390</v>
      </c>
      <c r="AO170" t="s">
        <v>3590</v>
      </c>
      <c r="AP170" t="s">
        <v>3591</v>
      </c>
      <c r="AQ170" t="s">
        <v>74</v>
      </c>
      <c r="AR170" t="s">
        <v>3592</v>
      </c>
      <c r="AS170" t="s">
        <v>3593</v>
      </c>
      <c r="AT170" t="s">
        <v>800</v>
      </c>
      <c r="AU170">
        <v>2020</v>
      </c>
      <c r="AV170">
        <v>11</v>
      </c>
      <c r="AW170">
        <v>2</v>
      </c>
      <c r="AX170" t="s">
        <v>74</v>
      </c>
      <c r="AY170" t="s">
        <v>74</v>
      </c>
      <c r="AZ170" t="s">
        <v>570</v>
      </c>
      <c r="BA170" t="s">
        <v>74</v>
      </c>
      <c r="BB170">
        <v>481</v>
      </c>
      <c r="BC170">
        <v>493</v>
      </c>
      <c r="BD170" t="s">
        <v>74</v>
      </c>
      <c r="BE170" t="s">
        <v>3594</v>
      </c>
      <c r="BF170" t="str">
        <f>HYPERLINK("http://dx.doi.org/10.1007/s13198-019-00879-6","http://dx.doi.org/10.1007/s13198-019-00879-6")</f>
        <v>http://dx.doi.org/10.1007/s13198-019-00879-6</v>
      </c>
      <c r="BG170" t="s">
        <v>74</v>
      </c>
      <c r="BH170" t="s">
        <v>74</v>
      </c>
      <c r="BI170">
        <v>13</v>
      </c>
      <c r="BJ170" t="s">
        <v>2462</v>
      </c>
      <c r="BK170" t="s">
        <v>124</v>
      </c>
      <c r="BL170" t="s">
        <v>1292</v>
      </c>
      <c r="BM170" t="s">
        <v>3595</v>
      </c>
      <c r="BN170" t="s">
        <v>74</v>
      </c>
      <c r="BO170" t="s">
        <v>74</v>
      </c>
      <c r="BP170" t="s">
        <v>74</v>
      </c>
      <c r="BQ170" t="s">
        <v>74</v>
      </c>
      <c r="BR170" t="s">
        <v>102</v>
      </c>
      <c r="BS170" t="s">
        <v>3596</v>
      </c>
      <c r="BT170" t="str">
        <f>HYPERLINK("https%3A%2F%2Fwww.webofscience.com%2Fwos%2Fwoscc%2Ffull-record%2FWOS:000531156000021","View Full Record in Web of Science")</f>
        <v>View Full Record in Web of Science</v>
      </c>
    </row>
    <row r="171" spans="1:72" x14ac:dyDescent="0.2">
      <c r="A171" t="s">
        <v>72</v>
      </c>
      <c r="B171" t="s">
        <v>3597</v>
      </c>
      <c r="C171" t="s">
        <v>74</v>
      </c>
      <c r="D171" t="s">
        <v>74</v>
      </c>
      <c r="E171" t="s">
        <v>74</v>
      </c>
      <c r="F171" t="s">
        <v>3598</v>
      </c>
      <c r="G171" t="s">
        <v>74</v>
      </c>
      <c r="H171" t="s">
        <v>74</v>
      </c>
      <c r="I171" t="s">
        <v>3599</v>
      </c>
      <c r="J171" t="s">
        <v>976</v>
      </c>
      <c r="K171" t="s">
        <v>74</v>
      </c>
      <c r="L171" t="s">
        <v>74</v>
      </c>
      <c r="M171" t="s">
        <v>78</v>
      </c>
      <c r="N171" t="s">
        <v>108</v>
      </c>
      <c r="O171" t="s">
        <v>74</v>
      </c>
      <c r="P171" t="s">
        <v>74</v>
      </c>
      <c r="Q171" t="s">
        <v>74</v>
      </c>
      <c r="R171" t="s">
        <v>74</v>
      </c>
      <c r="S171" t="s">
        <v>74</v>
      </c>
      <c r="T171" t="s">
        <v>3600</v>
      </c>
      <c r="U171" t="s">
        <v>3601</v>
      </c>
      <c r="V171" t="s">
        <v>3602</v>
      </c>
      <c r="W171" t="s">
        <v>3603</v>
      </c>
      <c r="X171" t="s">
        <v>3604</v>
      </c>
      <c r="Y171" t="s">
        <v>3605</v>
      </c>
      <c r="Z171" t="s">
        <v>3606</v>
      </c>
      <c r="AA171" t="s">
        <v>3607</v>
      </c>
      <c r="AB171" t="s">
        <v>3608</v>
      </c>
      <c r="AC171" t="s">
        <v>3609</v>
      </c>
      <c r="AD171" t="s">
        <v>3610</v>
      </c>
      <c r="AE171" t="s">
        <v>3611</v>
      </c>
      <c r="AF171" t="s">
        <v>74</v>
      </c>
      <c r="AG171">
        <v>28</v>
      </c>
      <c r="AH171">
        <v>19</v>
      </c>
      <c r="AI171">
        <v>19</v>
      </c>
      <c r="AJ171">
        <v>1</v>
      </c>
      <c r="AK171">
        <v>15</v>
      </c>
      <c r="AL171" t="s">
        <v>259</v>
      </c>
      <c r="AM171" t="s">
        <v>260</v>
      </c>
      <c r="AN171" t="s">
        <v>261</v>
      </c>
      <c r="AO171" t="s">
        <v>989</v>
      </c>
      <c r="AP171" t="s">
        <v>990</v>
      </c>
      <c r="AQ171" t="s">
        <v>74</v>
      </c>
      <c r="AR171" t="s">
        <v>991</v>
      </c>
      <c r="AS171" t="s">
        <v>992</v>
      </c>
      <c r="AT171" t="s">
        <v>3612</v>
      </c>
      <c r="AU171">
        <v>2014</v>
      </c>
      <c r="AV171">
        <v>71</v>
      </c>
      <c r="AW171" t="s">
        <v>74</v>
      </c>
      <c r="AX171" t="s">
        <v>74</v>
      </c>
      <c r="AY171" t="s">
        <v>74</v>
      </c>
      <c r="AZ171" t="s">
        <v>570</v>
      </c>
      <c r="BA171" t="s">
        <v>74</v>
      </c>
      <c r="BB171">
        <v>87</v>
      </c>
      <c r="BC171">
        <v>97</v>
      </c>
      <c r="BD171" t="s">
        <v>74</v>
      </c>
      <c r="BE171" t="s">
        <v>3613</v>
      </c>
      <c r="BF171" t="str">
        <f>HYPERLINK("http://dx.doi.org/10.1016/j.jclepro.2013.11.052","http://dx.doi.org/10.1016/j.jclepro.2013.11.052")</f>
        <v>http://dx.doi.org/10.1016/j.jclepro.2013.11.052</v>
      </c>
      <c r="BG171" t="s">
        <v>74</v>
      </c>
      <c r="BH171" t="s">
        <v>74</v>
      </c>
      <c r="BI171">
        <v>11</v>
      </c>
      <c r="BJ171" t="s">
        <v>995</v>
      </c>
      <c r="BK171" t="s">
        <v>98</v>
      </c>
      <c r="BL171" t="s">
        <v>996</v>
      </c>
      <c r="BM171" t="s">
        <v>3614</v>
      </c>
      <c r="BN171" t="s">
        <v>74</v>
      </c>
      <c r="BO171" t="s">
        <v>74</v>
      </c>
      <c r="BP171" t="s">
        <v>74</v>
      </c>
      <c r="BQ171" t="s">
        <v>74</v>
      </c>
      <c r="BR171" t="s">
        <v>102</v>
      </c>
      <c r="BS171" t="s">
        <v>3615</v>
      </c>
      <c r="BT171" t="str">
        <f>HYPERLINK("https%3A%2F%2Fwww.webofscience.com%2Fwos%2Fwoscc%2Ffull-record%2FWOS:000336770900009","View Full Record in Web of Science")</f>
        <v>View Full Record in Web of Science</v>
      </c>
    </row>
    <row r="172" spans="1:72" x14ac:dyDescent="0.2">
      <c r="A172" t="s">
        <v>72</v>
      </c>
      <c r="B172" t="s">
        <v>3616</v>
      </c>
      <c r="C172" t="s">
        <v>74</v>
      </c>
      <c r="D172" t="s">
        <v>74</v>
      </c>
      <c r="E172" t="s">
        <v>74</v>
      </c>
      <c r="F172" t="s">
        <v>3617</v>
      </c>
      <c r="G172" t="s">
        <v>74</v>
      </c>
      <c r="H172" t="s">
        <v>74</v>
      </c>
      <c r="I172" t="s">
        <v>3618</v>
      </c>
      <c r="J172" t="s">
        <v>2042</v>
      </c>
      <c r="K172" t="s">
        <v>74</v>
      </c>
      <c r="L172" t="s">
        <v>74</v>
      </c>
      <c r="M172" t="s">
        <v>78</v>
      </c>
      <c r="N172" t="s">
        <v>108</v>
      </c>
      <c r="O172" t="s">
        <v>74</v>
      </c>
      <c r="P172" t="s">
        <v>74</v>
      </c>
      <c r="Q172" t="s">
        <v>74</v>
      </c>
      <c r="R172" t="s">
        <v>74</v>
      </c>
      <c r="S172" t="s">
        <v>74</v>
      </c>
      <c r="T172" t="s">
        <v>3619</v>
      </c>
      <c r="U172" t="s">
        <v>3620</v>
      </c>
      <c r="V172" t="s">
        <v>3621</v>
      </c>
      <c r="W172" t="s">
        <v>3622</v>
      </c>
      <c r="X172" t="s">
        <v>3623</v>
      </c>
      <c r="Y172" t="s">
        <v>3624</v>
      </c>
      <c r="Z172" t="s">
        <v>3625</v>
      </c>
      <c r="AA172" t="s">
        <v>74</v>
      </c>
      <c r="AB172" t="s">
        <v>74</v>
      </c>
      <c r="AC172" t="s">
        <v>74</v>
      </c>
      <c r="AD172" t="s">
        <v>74</v>
      </c>
      <c r="AE172" t="s">
        <v>74</v>
      </c>
      <c r="AF172" t="s">
        <v>74</v>
      </c>
      <c r="AG172">
        <v>29</v>
      </c>
      <c r="AH172">
        <v>210</v>
      </c>
      <c r="AI172">
        <v>218</v>
      </c>
      <c r="AJ172">
        <v>0</v>
      </c>
      <c r="AK172">
        <v>42</v>
      </c>
      <c r="AL172" t="s">
        <v>543</v>
      </c>
      <c r="AM172" t="s">
        <v>260</v>
      </c>
      <c r="AN172" t="s">
        <v>544</v>
      </c>
      <c r="AO172" t="s">
        <v>2054</v>
      </c>
      <c r="AP172" t="s">
        <v>2055</v>
      </c>
      <c r="AQ172" t="s">
        <v>74</v>
      </c>
      <c r="AR172" t="s">
        <v>2056</v>
      </c>
      <c r="AS172" t="s">
        <v>2057</v>
      </c>
      <c r="AT172" t="s">
        <v>738</v>
      </c>
      <c r="AU172">
        <v>2008</v>
      </c>
      <c r="AV172">
        <v>34</v>
      </c>
      <c r="AW172">
        <v>2</v>
      </c>
      <c r="AX172" t="s">
        <v>74</v>
      </c>
      <c r="AY172" t="s">
        <v>74</v>
      </c>
      <c r="AZ172" t="s">
        <v>74</v>
      </c>
      <c r="BA172" t="s">
        <v>74</v>
      </c>
      <c r="BB172">
        <v>1303</v>
      </c>
      <c r="BC172">
        <v>1311</v>
      </c>
      <c r="BD172" t="s">
        <v>74</v>
      </c>
      <c r="BE172" t="s">
        <v>3626</v>
      </c>
      <c r="BF172" t="str">
        <f>HYPERLINK("http://dx.doi.org/10.1016/j.eswa.2006.12.008","http://dx.doi.org/10.1016/j.eswa.2006.12.008")</f>
        <v>http://dx.doi.org/10.1016/j.eswa.2006.12.008</v>
      </c>
      <c r="BG172" t="s">
        <v>74</v>
      </c>
      <c r="BH172" t="s">
        <v>74</v>
      </c>
      <c r="BI172">
        <v>9</v>
      </c>
      <c r="BJ172" t="s">
        <v>2059</v>
      </c>
      <c r="BK172" t="s">
        <v>147</v>
      </c>
      <c r="BL172" t="s">
        <v>2060</v>
      </c>
      <c r="BM172" t="s">
        <v>3627</v>
      </c>
      <c r="BN172" t="s">
        <v>74</v>
      </c>
      <c r="BO172" t="s">
        <v>74</v>
      </c>
      <c r="BP172" t="s">
        <v>74</v>
      </c>
      <c r="BQ172" t="s">
        <v>74</v>
      </c>
      <c r="BR172" t="s">
        <v>102</v>
      </c>
      <c r="BS172" t="s">
        <v>3628</v>
      </c>
      <c r="BT172" t="str">
        <f>HYPERLINK("https%3A%2F%2Fwww.webofscience.com%2Fwos%2Fwoscc%2Ffull-record%2FWOS:000253238900052","View Full Record in Web of Science")</f>
        <v>View Full Record in Web of Science</v>
      </c>
    </row>
    <row r="173" spans="1:72" x14ac:dyDescent="0.2">
      <c r="A173" t="s">
        <v>72</v>
      </c>
      <c r="B173" t="s">
        <v>3629</v>
      </c>
      <c r="C173" t="s">
        <v>74</v>
      </c>
      <c r="D173" t="s">
        <v>74</v>
      </c>
      <c r="E173" t="s">
        <v>74</v>
      </c>
      <c r="F173" t="s">
        <v>3630</v>
      </c>
      <c r="G173" t="s">
        <v>74</v>
      </c>
      <c r="H173" t="s">
        <v>74</v>
      </c>
      <c r="I173" t="s">
        <v>3631</v>
      </c>
      <c r="J173" t="s">
        <v>3542</v>
      </c>
      <c r="K173" t="s">
        <v>74</v>
      </c>
      <c r="L173" t="s">
        <v>74</v>
      </c>
      <c r="M173" t="s">
        <v>78</v>
      </c>
      <c r="N173" t="s">
        <v>108</v>
      </c>
      <c r="O173" t="s">
        <v>74</v>
      </c>
      <c r="P173" t="s">
        <v>74</v>
      </c>
      <c r="Q173" t="s">
        <v>74</v>
      </c>
      <c r="R173" t="s">
        <v>74</v>
      </c>
      <c r="S173" t="s">
        <v>74</v>
      </c>
      <c r="T173" t="s">
        <v>3632</v>
      </c>
      <c r="U173" t="s">
        <v>3633</v>
      </c>
      <c r="V173" t="s">
        <v>3634</v>
      </c>
      <c r="W173" t="s">
        <v>3635</v>
      </c>
      <c r="X173" t="s">
        <v>2427</v>
      </c>
      <c r="Y173" t="s">
        <v>3636</v>
      </c>
      <c r="Z173" t="s">
        <v>3637</v>
      </c>
      <c r="AA173" t="s">
        <v>74</v>
      </c>
      <c r="AB173" t="s">
        <v>74</v>
      </c>
      <c r="AC173" t="s">
        <v>3638</v>
      </c>
      <c r="AD173" t="s">
        <v>3639</v>
      </c>
      <c r="AE173" t="s">
        <v>3640</v>
      </c>
      <c r="AF173" t="s">
        <v>74</v>
      </c>
      <c r="AG173">
        <v>62</v>
      </c>
      <c r="AH173">
        <v>8</v>
      </c>
      <c r="AI173">
        <v>9</v>
      </c>
      <c r="AJ173">
        <v>1</v>
      </c>
      <c r="AK173">
        <v>35</v>
      </c>
      <c r="AL173" t="s">
        <v>3552</v>
      </c>
      <c r="AM173" t="s">
        <v>210</v>
      </c>
      <c r="AN173" t="s">
        <v>3553</v>
      </c>
      <c r="AO173" t="s">
        <v>3554</v>
      </c>
      <c r="AP173" t="s">
        <v>3555</v>
      </c>
      <c r="AQ173" t="s">
        <v>74</v>
      </c>
      <c r="AR173" t="s">
        <v>3556</v>
      </c>
      <c r="AS173" t="s">
        <v>3557</v>
      </c>
      <c r="AT173" t="s">
        <v>74</v>
      </c>
      <c r="AU173">
        <v>2018</v>
      </c>
      <c r="AV173">
        <v>35</v>
      </c>
      <c r="AW173">
        <v>1</v>
      </c>
      <c r="AX173" t="s">
        <v>74</v>
      </c>
      <c r="AY173" t="s">
        <v>74</v>
      </c>
      <c r="AZ173" t="s">
        <v>74</v>
      </c>
      <c r="BA173" t="s">
        <v>74</v>
      </c>
      <c r="BB173">
        <v>393</v>
      </c>
      <c r="BC173">
        <v>403</v>
      </c>
      <c r="BD173" t="s">
        <v>74</v>
      </c>
      <c r="BE173" t="s">
        <v>3641</v>
      </c>
      <c r="BF173" t="str">
        <f>HYPERLINK("http://dx.doi.org/10.3233/JIFS-169597","http://dx.doi.org/10.3233/JIFS-169597")</f>
        <v>http://dx.doi.org/10.3233/JIFS-169597</v>
      </c>
      <c r="BG173" t="s">
        <v>74</v>
      </c>
      <c r="BH173" t="s">
        <v>74</v>
      </c>
      <c r="BI173">
        <v>11</v>
      </c>
      <c r="BJ173" t="s">
        <v>2017</v>
      </c>
      <c r="BK173" t="s">
        <v>98</v>
      </c>
      <c r="BL173" t="s">
        <v>99</v>
      </c>
      <c r="BM173" t="s">
        <v>3642</v>
      </c>
      <c r="BN173" t="s">
        <v>74</v>
      </c>
      <c r="BO173" t="s">
        <v>74</v>
      </c>
      <c r="BP173" t="s">
        <v>74</v>
      </c>
      <c r="BQ173" t="s">
        <v>74</v>
      </c>
      <c r="BR173" t="s">
        <v>102</v>
      </c>
      <c r="BS173" t="s">
        <v>3643</v>
      </c>
      <c r="BT173" t="str">
        <f>HYPERLINK("https%3A%2F%2Fwww.webofscience.com%2Fwos%2Fwoscc%2Ffull-record%2FWOS:000440330300036","View Full Record in Web of Science")</f>
        <v>View Full Record in Web of Science</v>
      </c>
    </row>
    <row r="174" spans="1:72" x14ac:dyDescent="0.2">
      <c r="A174" t="s">
        <v>72</v>
      </c>
      <c r="B174" t="s">
        <v>3644</v>
      </c>
      <c r="C174" t="s">
        <v>74</v>
      </c>
      <c r="D174" t="s">
        <v>74</v>
      </c>
      <c r="E174" t="s">
        <v>74</v>
      </c>
      <c r="F174" t="s">
        <v>3645</v>
      </c>
      <c r="G174" t="s">
        <v>74</v>
      </c>
      <c r="H174" t="s">
        <v>74</v>
      </c>
      <c r="I174" t="s">
        <v>3646</v>
      </c>
      <c r="J174" t="s">
        <v>3647</v>
      </c>
      <c r="K174" t="s">
        <v>74</v>
      </c>
      <c r="L174" t="s">
        <v>74</v>
      </c>
      <c r="M174" t="s">
        <v>78</v>
      </c>
      <c r="N174" t="s">
        <v>108</v>
      </c>
      <c r="O174" t="s">
        <v>74</v>
      </c>
      <c r="P174" t="s">
        <v>74</v>
      </c>
      <c r="Q174" t="s">
        <v>74</v>
      </c>
      <c r="R174" t="s">
        <v>74</v>
      </c>
      <c r="S174" t="s">
        <v>74</v>
      </c>
      <c r="T174" t="s">
        <v>3648</v>
      </c>
      <c r="U174" t="s">
        <v>3649</v>
      </c>
      <c r="V174" t="s">
        <v>3650</v>
      </c>
      <c r="W174" t="s">
        <v>3651</v>
      </c>
      <c r="X174" t="s">
        <v>74</v>
      </c>
      <c r="Y174" t="s">
        <v>3652</v>
      </c>
      <c r="Z174" t="s">
        <v>3653</v>
      </c>
      <c r="AA174" t="s">
        <v>3654</v>
      </c>
      <c r="AB174" t="s">
        <v>3655</v>
      </c>
      <c r="AC174" t="s">
        <v>74</v>
      </c>
      <c r="AD174" t="s">
        <v>74</v>
      </c>
      <c r="AE174" t="s">
        <v>74</v>
      </c>
      <c r="AF174" t="s">
        <v>74</v>
      </c>
      <c r="AG174">
        <v>25</v>
      </c>
      <c r="AH174">
        <v>3</v>
      </c>
      <c r="AI174">
        <v>3</v>
      </c>
      <c r="AJ174">
        <v>0</v>
      </c>
      <c r="AK174">
        <v>8</v>
      </c>
      <c r="AL174" t="s">
        <v>3656</v>
      </c>
      <c r="AM174" t="s">
        <v>3657</v>
      </c>
      <c r="AN174" t="s">
        <v>3658</v>
      </c>
      <c r="AO174" t="s">
        <v>3659</v>
      </c>
      <c r="AP174" t="s">
        <v>74</v>
      </c>
      <c r="AQ174" t="s">
        <v>74</v>
      </c>
      <c r="AR174" t="s">
        <v>3660</v>
      </c>
      <c r="AS174" t="s">
        <v>3661</v>
      </c>
      <c r="AT174" t="s">
        <v>616</v>
      </c>
      <c r="AU174">
        <v>2020</v>
      </c>
      <c r="AV174">
        <v>21</v>
      </c>
      <c r="AW174">
        <v>1</v>
      </c>
      <c r="AX174" t="s">
        <v>74</v>
      </c>
      <c r="AY174" t="s">
        <v>74</v>
      </c>
      <c r="AZ174" t="s">
        <v>570</v>
      </c>
      <c r="BA174" t="s">
        <v>74</v>
      </c>
      <c r="BB174">
        <v>107</v>
      </c>
      <c r="BC174">
        <v>114</v>
      </c>
      <c r="BD174" t="s">
        <v>74</v>
      </c>
      <c r="BE174" t="s">
        <v>3662</v>
      </c>
      <c r="BF174" t="str">
        <f>HYPERLINK("http://dx.doi.org/10.12694/scpe.v21i1.1628","http://dx.doi.org/10.12694/scpe.v21i1.1628")</f>
        <v>http://dx.doi.org/10.12694/scpe.v21i1.1628</v>
      </c>
      <c r="BG174" t="s">
        <v>74</v>
      </c>
      <c r="BH174" t="s">
        <v>74</v>
      </c>
      <c r="BI174">
        <v>8</v>
      </c>
      <c r="BJ174" t="s">
        <v>1953</v>
      </c>
      <c r="BK174" t="s">
        <v>124</v>
      </c>
      <c r="BL174" t="s">
        <v>99</v>
      </c>
      <c r="BM174" t="s">
        <v>3663</v>
      </c>
      <c r="BN174" t="s">
        <v>74</v>
      </c>
      <c r="BO174" t="s">
        <v>126</v>
      </c>
      <c r="BP174" t="s">
        <v>74</v>
      </c>
      <c r="BQ174" t="s">
        <v>74</v>
      </c>
      <c r="BR174" t="s">
        <v>102</v>
      </c>
      <c r="BS174" t="s">
        <v>3664</v>
      </c>
      <c r="BT174" t="str">
        <f>HYPERLINK("https%3A%2F%2Fwww.webofscience.com%2Fwos%2Fwoscc%2Ffull-record%2FWOS:000521075600014","View Full Record in Web of Science")</f>
        <v>View Full Record in Web of Science</v>
      </c>
    </row>
    <row r="175" spans="1:72" x14ac:dyDescent="0.2">
      <c r="A175" t="s">
        <v>72</v>
      </c>
      <c r="B175" t="s">
        <v>3665</v>
      </c>
      <c r="C175" t="s">
        <v>74</v>
      </c>
      <c r="D175" t="s">
        <v>74</v>
      </c>
      <c r="E175" t="s">
        <v>74</v>
      </c>
      <c r="F175" t="s">
        <v>3666</v>
      </c>
      <c r="G175" t="s">
        <v>74</v>
      </c>
      <c r="H175" t="s">
        <v>74</v>
      </c>
      <c r="I175" t="s">
        <v>3667</v>
      </c>
      <c r="J175" t="s">
        <v>1081</v>
      </c>
      <c r="K175" t="s">
        <v>74</v>
      </c>
      <c r="L175" t="s">
        <v>74</v>
      </c>
      <c r="M175" t="s">
        <v>78</v>
      </c>
      <c r="N175" t="s">
        <v>108</v>
      </c>
      <c r="O175" t="s">
        <v>74</v>
      </c>
      <c r="P175" t="s">
        <v>74</v>
      </c>
      <c r="Q175" t="s">
        <v>74</v>
      </c>
      <c r="R175" t="s">
        <v>74</v>
      </c>
      <c r="S175" t="s">
        <v>74</v>
      </c>
      <c r="T175" t="s">
        <v>3668</v>
      </c>
      <c r="U175" t="s">
        <v>3669</v>
      </c>
      <c r="V175" t="s">
        <v>3670</v>
      </c>
      <c r="W175" t="s">
        <v>3671</v>
      </c>
      <c r="X175" t="s">
        <v>3672</v>
      </c>
      <c r="Y175" t="s">
        <v>3673</v>
      </c>
      <c r="Z175" t="s">
        <v>3674</v>
      </c>
      <c r="AA175" t="s">
        <v>3675</v>
      </c>
      <c r="AB175" t="s">
        <v>3676</v>
      </c>
      <c r="AC175" t="s">
        <v>74</v>
      </c>
      <c r="AD175" t="s">
        <v>74</v>
      </c>
      <c r="AE175" t="s">
        <v>74</v>
      </c>
      <c r="AF175" t="s">
        <v>74</v>
      </c>
      <c r="AG175">
        <v>107</v>
      </c>
      <c r="AH175">
        <v>5</v>
      </c>
      <c r="AI175">
        <v>5</v>
      </c>
      <c r="AJ175">
        <v>0</v>
      </c>
      <c r="AK175">
        <v>54</v>
      </c>
      <c r="AL175" t="s">
        <v>279</v>
      </c>
      <c r="AM175" t="s">
        <v>280</v>
      </c>
      <c r="AN175" t="s">
        <v>281</v>
      </c>
      <c r="AO175" t="s">
        <v>1093</v>
      </c>
      <c r="AP175" t="s">
        <v>1094</v>
      </c>
      <c r="AQ175" t="s">
        <v>74</v>
      </c>
      <c r="AR175" t="s">
        <v>1095</v>
      </c>
      <c r="AS175" t="s">
        <v>1096</v>
      </c>
      <c r="AT175" t="s">
        <v>3677</v>
      </c>
      <c r="AU175">
        <v>2020</v>
      </c>
      <c r="AV175">
        <v>31</v>
      </c>
      <c r="AW175">
        <v>16</v>
      </c>
      <c r="AX175" t="s">
        <v>74</v>
      </c>
      <c r="AY175" t="s">
        <v>74</v>
      </c>
      <c r="AZ175" t="s">
        <v>74</v>
      </c>
      <c r="BA175" t="s">
        <v>74</v>
      </c>
      <c r="BB175">
        <v>1349</v>
      </c>
      <c r="BC175">
        <v>1362</v>
      </c>
      <c r="BD175" t="s">
        <v>74</v>
      </c>
      <c r="BE175" t="s">
        <v>3678</v>
      </c>
      <c r="BF175" t="str">
        <f>HYPERLINK("http://dx.doi.org/10.1080/09537287.2019.1707896","http://dx.doi.org/10.1080/09537287.2019.1707896")</f>
        <v>http://dx.doi.org/10.1080/09537287.2019.1707896</v>
      </c>
      <c r="BG175" t="s">
        <v>74</v>
      </c>
      <c r="BH175" t="s">
        <v>74</v>
      </c>
      <c r="BI175">
        <v>14</v>
      </c>
      <c r="BJ175" t="s">
        <v>780</v>
      </c>
      <c r="BK175" t="s">
        <v>147</v>
      </c>
      <c r="BL175" t="s">
        <v>781</v>
      </c>
      <c r="BM175" t="s">
        <v>3679</v>
      </c>
      <c r="BN175" t="s">
        <v>74</v>
      </c>
      <c r="BO175" t="s">
        <v>594</v>
      </c>
      <c r="BP175" t="s">
        <v>74</v>
      </c>
      <c r="BQ175" t="s">
        <v>74</v>
      </c>
      <c r="BR175" t="s">
        <v>102</v>
      </c>
      <c r="BS175" t="s">
        <v>3680</v>
      </c>
      <c r="BT175" t="str">
        <f>HYPERLINK("https%3A%2F%2Fwww.webofscience.com%2Fwos%2Fwoscc%2Ffull-record%2FWOS:000584610600004","View Full Record in Web of Science")</f>
        <v>View Full Record in Web of Science</v>
      </c>
    </row>
    <row r="176" spans="1:72" x14ac:dyDescent="0.2">
      <c r="A176" t="s">
        <v>72</v>
      </c>
      <c r="B176" t="s">
        <v>3681</v>
      </c>
      <c r="C176" t="s">
        <v>74</v>
      </c>
      <c r="D176" t="s">
        <v>74</v>
      </c>
      <c r="E176" t="s">
        <v>74</v>
      </c>
      <c r="F176" t="s">
        <v>3682</v>
      </c>
      <c r="G176" t="s">
        <v>74</v>
      </c>
      <c r="H176" t="s">
        <v>74</v>
      </c>
      <c r="I176" t="s">
        <v>3683</v>
      </c>
      <c r="J176" t="s">
        <v>3684</v>
      </c>
      <c r="K176" t="s">
        <v>74</v>
      </c>
      <c r="L176" t="s">
        <v>74</v>
      </c>
      <c r="M176" t="s">
        <v>78</v>
      </c>
      <c r="N176" t="s">
        <v>108</v>
      </c>
      <c r="O176" t="s">
        <v>74</v>
      </c>
      <c r="P176" t="s">
        <v>74</v>
      </c>
      <c r="Q176" t="s">
        <v>74</v>
      </c>
      <c r="R176" t="s">
        <v>74</v>
      </c>
      <c r="S176" t="s">
        <v>74</v>
      </c>
      <c r="T176" t="s">
        <v>3685</v>
      </c>
      <c r="U176" t="s">
        <v>3686</v>
      </c>
      <c r="V176" t="s">
        <v>3687</v>
      </c>
      <c r="W176" t="s">
        <v>3688</v>
      </c>
      <c r="X176" t="s">
        <v>3689</v>
      </c>
      <c r="Y176" t="s">
        <v>3690</v>
      </c>
      <c r="Z176" t="s">
        <v>3691</v>
      </c>
      <c r="AA176" t="s">
        <v>3692</v>
      </c>
      <c r="AB176" t="s">
        <v>3693</v>
      </c>
      <c r="AC176" t="s">
        <v>3694</v>
      </c>
      <c r="AD176" t="s">
        <v>3695</v>
      </c>
      <c r="AE176" t="s">
        <v>74</v>
      </c>
      <c r="AF176" t="s">
        <v>74</v>
      </c>
      <c r="AG176">
        <v>56</v>
      </c>
      <c r="AH176">
        <v>23</v>
      </c>
      <c r="AI176">
        <v>23</v>
      </c>
      <c r="AJ176">
        <v>6</v>
      </c>
      <c r="AK176">
        <v>70</v>
      </c>
      <c r="AL176" t="s">
        <v>462</v>
      </c>
      <c r="AM176" t="s">
        <v>280</v>
      </c>
      <c r="AN176" t="s">
        <v>463</v>
      </c>
      <c r="AO176" t="s">
        <v>3696</v>
      </c>
      <c r="AP176" t="s">
        <v>3697</v>
      </c>
      <c r="AQ176" t="s">
        <v>74</v>
      </c>
      <c r="AR176" t="s">
        <v>3698</v>
      </c>
      <c r="AS176" t="s">
        <v>3699</v>
      </c>
      <c r="AT176" t="s">
        <v>3700</v>
      </c>
      <c r="AU176">
        <v>2013</v>
      </c>
      <c r="AV176">
        <v>25</v>
      </c>
      <c r="AW176">
        <v>3</v>
      </c>
      <c r="AX176" t="s">
        <v>74</v>
      </c>
      <c r="AY176" t="s">
        <v>74</v>
      </c>
      <c r="AZ176" t="s">
        <v>74</v>
      </c>
      <c r="BA176" t="s">
        <v>74</v>
      </c>
      <c r="BB176">
        <v>265</v>
      </c>
      <c r="BC176">
        <v>286</v>
      </c>
      <c r="BD176" t="s">
        <v>74</v>
      </c>
      <c r="BE176" t="s">
        <v>3701</v>
      </c>
      <c r="BF176" t="str">
        <f>HYPERLINK("http://dx.doi.org/10.1080/09535314.2012.730992","http://dx.doi.org/10.1080/09535314.2012.730992")</f>
        <v>http://dx.doi.org/10.1080/09535314.2012.730992</v>
      </c>
      <c r="BG176" t="s">
        <v>74</v>
      </c>
      <c r="BH176" t="s">
        <v>74</v>
      </c>
      <c r="BI176">
        <v>22</v>
      </c>
      <c r="BJ176" t="s">
        <v>1661</v>
      </c>
      <c r="BK176" t="s">
        <v>242</v>
      </c>
      <c r="BL176" t="s">
        <v>419</v>
      </c>
      <c r="BM176" t="s">
        <v>3702</v>
      </c>
      <c r="BN176" t="s">
        <v>74</v>
      </c>
      <c r="BO176" t="s">
        <v>74</v>
      </c>
      <c r="BP176" t="s">
        <v>74</v>
      </c>
      <c r="BQ176" t="s">
        <v>74</v>
      </c>
      <c r="BR176" t="s">
        <v>102</v>
      </c>
      <c r="BS176" t="s">
        <v>3703</v>
      </c>
      <c r="BT176" t="str">
        <f>HYPERLINK("https%3A%2F%2Fwww.webofscience.com%2Fwos%2Fwoscc%2Ffull-record%2FWOS:000321887000001","View Full Record in Web of Science")</f>
        <v>View Full Record in Web of Science</v>
      </c>
    </row>
    <row r="177" spans="1:72" x14ac:dyDescent="0.2">
      <c r="A177" t="s">
        <v>72</v>
      </c>
      <c r="B177" t="s">
        <v>3704</v>
      </c>
      <c r="C177" t="s">
        <v>74</v>
      </c>
      <c r="D177" t="s">
        <v>74</v>
      </c>
      <c r="E177" t="s">
        <v>74</v>
      </c>
      <c r="F177" t="s">
        <v>3705</v>
      </c>
      <c r="G177" t="s">
        <v>74</v>
      </c>
      <c r="H177" t="s">
        <v>74</v>
      </c>
      <c r="I177" t="s">
        <v>3706</v>
      </c>
      <c r="J177" t="s">
        <v>3707</v>
      </c>
      <c r="K177" t="s">
        <v>74</v>
      </c>
      <c r="L177" t="s">
        <v>74</v>
      </c>
      <c r="M177" t="s">
        <v>78</v>
      </c>
      <c r="N177" t="s">
        <v>108</v>
      </c>
      <c r="O177" t="s">
        <v>74</v>
      </c>
      <c r="P177" t="s">
        <v>74</v>
      </c>
      <c r="Q177" t="s">
        <v>74</v>
      </c>
      <c r="R177" t="s">
        <v>74</v>
      </c>
      <c r="S177" t="s">
        <v>74</v>
      </c>
      <c r="T177" t="s">
        <v>3708</v>
      </c>
      <c r="U177" t="s">
        <v>74</v>
      </c>
      <c r="V177" t="s">
        <v>3709</v>
      </c>
      <c r="W177" t="s">
        <v>3710</v>
      </c>
      <c r="X177" t="s">
        <v>3711</v>
      </c>
      <c r="Y177" t="s">
        <v>3712</v>
      </c>
      <c r="Z177" t="s">
        <v>3713</v>
      </c>
      <c r="AA177" t="s">
        <v>74</v>
      </c>
      <c r="AB177" t="s">
        <v>74</v>
      </c>
      <c r="AC177" t="s">
        <v>3714</v>
      </c>
      <c r="AD177" t="s">
        <v>987</v>
      </c>
      <c r="AE177" t="s">
        <v>3715</v>
      </c>
      <c r="AF177" t="s">
        <v>74</v>
      </c>
      <c r="AG177">
        <v>21</v>
      </c>
      <c r="AH177">
        <v>1</v>
      </c>
      <c r="AI177">
        <v>1</v>
      </c>
      <c r="AJ177">
        <v>1</v>
      </c>
      <c r="AK177">
        <v>6</v>
      </c>
      <c r="AL177" t="s">
        <v>3716</v>
      </c>
      <c r="AM177" t="s">
        <v>3717</v>
      </c>
      <c r="AN177" t="s">
        <v>3718</v>
      </c>
      <c r="AO177" t="s">
        <v>3719</v>
      </c>
      <c r="AP177" t="s">
        <v>3720</v>
      </c>
      <c r="AQ177" t="s">
        <v>74</v>
      </c>
      <c r="AR177" t="s">
        <v>3721</v>
      </c>
      <c r="AS177" t="s">
        <v>3722</v>
      </c>
      <c r="AT177" t="s">
        <v>800</v>
      </c>
      <c r="AU177">
        <v>2017</v>
      </c>
      <c r="AV177">
        <v>22</v>
      </c>
      <c r="AW177">
        <v>2</v>
      </c>
      <c r="AX177" t="s">
        <v>74</v>
      </c>
      <c r="AY177" t="s">
        <v>74</v>
      </c>
      <c r="AZ177" t="s">
        <v>74</v>
      </c>
      <c r="BA177" t="s">
        <v>74</v>
      </c>
      <c r="BB177">
        <v>174</v>
      </c>
      <c r="BC177">
        <v>184</v>
      </c>
      <c r="BD177" t="s">
        <v>74</v>
      </c>
      <c r="BE177" t="s">
        <v>74</v>
      </c>
      <c r="BF177" t="s">
        <v>74</v>
      </c>
      <c r="BG177" t="s">
        <v>74</v>
      </c>
      <c r="BH177" t="s">
        <v>74</v>
      </c>
      <c r="BI177">
        <v>11</v>
      </c>
      <c r="BJ177" t="s">
        <v>3723</v>
      </c>
      <c r="BK177" t="s">
        <v>98</v>
      </c>
      <c r="BL177" t="s">
        <v>269</v>
      </c>
      <c r="BM177" t="s">
        <v>3724</v>
      </c>
      <c r="BN177" t="s">
        <v>74</v>
      </c>
      <c r="BO177" t="s">
        <v>74</v>
      </c>
      <c r="BP177" t="s">
        <v>74</v>
      </c>
      <c r="BQ177" t="s">
        <v>74</v>
      </c>
      <c r="BR177" t="s">
        <v>102</v>
      </c>
      <c r="BS177" t="s">
        <v>3725</v>
      </c>
      <c r="BT177" t="str">
        <f>HYPERLINK("https%3A%2F%2Fwww.webofscience.com%2Fwos%2Fwoscc%2Ffull-record%2FWOS:000399280900005","View Full Record in Web of Science")</f>
        <v>View Full Record in Web of Science</v>
      </c>
    </row>
    <row r="178" spans="1:72" x14ac:dyDescent="0.2">
      <c r="A178" t="s">
        <v>72</v>
      </c>
      <c r="B178" t="s">
        <v>3726</v>
      </c>
      <c r="C178" t="s">
        <v>74</v>
      </c>
      <c r="D178" t="s">
        <v>74</v>
      </c>
      <c r="E178" t="s">
        <v>74</v>
      </c>
      <c r="F178" t="s">
        <v>3727</v>
      </c>
      <c r="G178" t="s">
        <v>74</v>
      </c>
      <c r="H178" t="s">
        <v>74</v>
      </c>
      <c r="I178" t="s">
        <v>3728</v>
      </c>
      <c r="J178" t="s">
        <v>3729</v>
      </c>
      <c r="K178" t="s">
        <v>74</v>
      </c>
      <c r="L178" t="s">
        <v>74</v>
      </c>
      <c r="M178" t="s">
        <v>78</v>
      </c>
      <c r="N178" t="s">
        <v>108</v>
      </c>
      <c r="O178" t="s">
        <v>74</v>
      </c>
      <c r="P178" t="s">
        <v>74</v>
      </c>
      <c r="Q178" t="s">
        <v>74</v>
      </c>
      <c r="R178" t="s">
        <v>74</v>
      </c>
      <c r="S178" t="s">
        <v>74</v>
      </c>
      <c r="T178" t="s">
        <v>3730</v>
      </c>
      <c r="U178" t="s">
        <v>3731</v>
      </c>
      <c r="V178" t="s">
        <v>3732</v>
      </c>
      <c r="W178" t="s">
        <v>3733</v>
      </c>
      <c r="X178" t="s">
        <v>74</v>
      </c>
      <c r="Y178" t="s">
        <v>3734</v>
      </c>
      <c r="Z178" t="s">
        <v>3735</v>
      </c>
      <c r="AA178" t="s">
        <v>74</v>
      </c>
      <c r="AB178" t="s">
        <v>74</v>
      </c>
      <c r="AC178" t="s">
        <v>74</v>
      </c>
      <c r="AD178" t="s">
        <v>74</v>
      </c>
      <c r="AE178" t="s">
        <v>74</v>
      </c>
      <c r="AF178" t="s">
        <v>74</v>
      </c>
      <c r="AG178">
        <v>29</v>
      </c>
      <c r="AH178">
        <v>0</v>
      </c>
      <c r="AI178">
        <v>0</v>
      </c>
      <c r="AJ178">
        <v>13</v>
      </c>
      <c r="AK178">
        <v>14</v>
      </c>
      <c r="AL178" t="s">
        <v>2634</v>
      </c>
      <c r="AM178" t="s">
        <v>2635</v>
      </c>
      <c r="AN178" t="s">
        <v>2636</v>
      </c>
      <c r="AO178" t="s">
        <v>3736</v>
      </c>
      <c r="AP178" t="s">
        <v>3737</v>
      </c>
      <c r="AQ178" t="s">
        <v>74</v>
      </c>
      <c r="AR178" t="s">
        <v>3738</v>
      </c>
      <c r="AS178" t="s">
        <v>3739</v>
      </c>
      <c r="AT178" t="s">
        <v>74</v>
      </c>
      <c r="AU178">
        <v>2022</v>
      </c>
      <c r="AV178">
        <v>12</v>
      </c>
      <c r="AW178" t="s">
        <v>3740</v>
      </c>
      <c r="AX178" t="s">
        <v>74</v>
      </c>
      <c r="AY178" t="s">
        <v>74</v>
      </c>
      <c r="AZ178" t="s">
        <v>74</v>
      </c>
      <c r="BA178" t="s">
        <v>74</v>
      </c>
      <c r="BB178">
        <v>444</v>
      </c>
      <c r="BC178">
        <v>459</v>
      </c>
      <c r="BD178" t="s">
        <v>74</v>
      </c>
      <c r="BE178" t="s">
        <v>3741</v>
      </c>
      <c r="BF178" t="str">
        <f>HYPERLINK("http://dx.doi.org/10.1504/IJKBD.2022.128909","http://dx.doi.org/10.1504/IJKBD.2022.128909")</f>
        <v>http://dx.doi.org/10.1504/IJKBD.2022.128909</v>
      </c>
      <c r="BG178" t="s">
        <v>74</v>
      </c>
      <c r="BH178" t="s">
        <v>74</v>
      </c>
      <c r="BI178">
        <v>16</v>
      </c>
      <c r="BJ178" t="s">
        <v>3742</v>
      </c>
      <c r="BK178" t="s">
        <v>124</v>
      </c>
      <c r="BL178" t="s">
        <v>3742</v>
      </c>
      <c r="BM178" t="s">
        <v>3743</v>
      </c>
      <c r="BN178" t="s">
        <v>74</v>
      </c>
      <c r="BO178" t="s">
        <v>74</v>
      </c>
      <c r="BP178" t="s">
        <v>74</v>
      </c>
      <c r="BQ178" t="s">
        <v>74</v>
      </c>
      <c r="BR178" t="s">
        <v>102</v>
      </c>
      <c r="BS178" t="s">
        <v>3744</v>
      </c>
      <c r="BT178" t="str">
        <f>HYPERLINK("https%3A%2F%2Fwww.webofscience.com%2Fwos%2Fwoscc%2Ffull-record%2FWOS:000932430100015","View Full Record in Web of Science")</f>
        <v>View Full Record in Web of Science</v>
      </c>
    </row>
    <row r="179" spans="1:72" x14ac:dyDescent="0.2">
      <c r="A179" t="s">
        <v>72</v>
      </c>
      <c r="B179" t="s">
        <v>3745</v>
      </c>
      <c r="C179" t="s">
        <v>74</v>
      </c>
      <c r="D179" t="s">
        <v>74</v>
      </c>
      <c r="E179" t="s">
        <v>74</v>
      </c>
      <c r="F179" t="s">
        <v>3745</v>
      </c>
      <c r="G179" t="s">
        <v>74</v>
      </c>
      <c r="H179" t="s">
        <v>74</v>
      </c>
      <c r="I179" t="s">
        <v>3746</v>
      </c>
      <c r="J179" t="s">
        <v>531</v>
      </c>
      <c r="K179" t="s">
        <v>74</v>
      </c>
      <c r="L179" t="s">
        <v>74</v>
      </c>
      <c r="M179" t="s">
        <v>78</v>
      </c>
      <c r="N179" t="s">
        <v>108</v>
      </c>
      <c r="O179" t="s">
        <v>74</v>
      </c>
      <c r="P179" t="s">
        <v>74</v>
      </c>
      <c r="Q179" t="s">
        <v>74</v>
      </c>
      <c r="R179" t="s">
        <v>74</v>
      </c>
      <c r="S179" t="s">
        <v>74</v>
      </c>
      <c r="T179" t="s">
        <v>3747</v>
      </c>
      <c r="U179" t="s">
        <v>3029</v>
      </c>
      <c r="V179" t="s">
        <v>3748</v>
      </c>
      <c r="W179" t="s">
        <v>3749</v>
      </c>
      <c r="X179" t="s">
        <v>3750</v>
      </c>
      <c r="Y179" t="s">
        <v>3751</v>
      </c>
      <c r="Z179" t="s">
        <v>74</v>
      </c>
      <c r="AA179" t="s">
        <v>74</v>
      </c>
      <c r="AB179" t="s">
        <v>3752</v>
      </c>
      <c r="AC179" t="s">
        <v>74</v>
      </c>
      <c r="AD179" t="s">
        <v>74</v>
      </c>
      <c r="AE179" t="s">
        <v>74</v>
      </c>
      <c r="AF179" t="s">
        <v>74</v>
      </c>
      <c r="AG179">
        <v>23</v>
      </c>
      <c r="AH179">
        <v>16</v>
      </c>
      <c r="AI179">
        <v>17</v>
      </c>
      <c r="AJ179">
        <v>0</v>
      </c>
      <c r="AK179">
        <v>5</v>
      </c>
      <c r="AL179" t="s">
        <v>543</v>
      </c>
      <c r="AM179" t="s">
        <v>260</v>
      </c>
      <c r="AN179" t="s">
        <v>544</v>
      </c>
      <c r="AO179" t="s">
        <v>545</v>
      </c>
      <c r="AP179" t="s">
        <v>74</v>
      </c>
      <c r="AQ179" t="s">
        <v>74</v>
      </c>
      <c r="AR179" t="s">
        <v>547</v>
      </c>
      <c r="AS179" t="s">
        <v>548</v>
      </c>
      <c r="AT179" t="s">
        <v>121</v>
      </c>
      <c r="AU179">
        <v>1999</v>
      </c>
      <c r="AV179">
        <v>36</v>
      </c>
      <c r="AW179">
        <v>3</v>
      </c>
      <c r="AX179" t="s">
        <v>74</v>
      </c>
      <c r="AY179" t="s">
        <v>74</v>
      </c>
      <c r="AZ179" t="s">
        <v>74</v>
      </c>
      <c r="BA179" t="s">
        <v>74</v>
      </c>
      <c r="BB179">
        <v>615</v>
      </c>
      <c r="BC179">
        <v>633</v>
      </c>
      <c r="BD179" t="s">
        <v>74</v>
      </c>
      <c r="BE179" t="s">
        <v>3753</v>
      </c>
      <c r="BF179" t="str">
        <f>HYPERLINK("http://dx.doi.org/10.1016/S0360-8352(99)00155-2","http://dx.doi.org/10.1016/S0360-8352(99)00155-2")</f>
        <v>http://dx.doi.org/10.1016/S0360-8352(99)00155-2</v>
      </c>
      <c r="BG179" t="s">
        <v>74</v>
      </c>
      <c r="BH179" t="s">
        <v>74</v>
      </c>
      <c r="BI179">
        <v>19</v>
      </c>
      <c r="BJ179" t="s">
        <v>550</v>
      </c>
      <c r="BK179" t="s">
        <v>147</v>
      </c>
      <c r="BL179" t="s">
        <v>269</v>
      </c>
      <c r="BM179" t="s">
        <v>3754</v>
      </c>
      <c r="BN179" t="s">
        <v>74</v>
      </c>
      <c r="BO179" t="s">
        <v>702</v>
      </c>
      <c r="BP179" t="s">
        <v>74</v>
      </c>
      <c r="BQ179" t="s">
        <v>74</v>
      </c>
      <c r="BR179" t="s">
        <v>102</v>
      </c>
      <c r="BS179" t="s">
        <v>3755</v>
      </c>
      <c r="BT179" t="str">
        <f>HYPERLINK("https%3A%2F%2Fwww.webofscience.com%2Fwos%2Fwoscc%2Ffull-record%2FWOS:000083979300007","View Full Record in Web of Science")</f>
        <v>View Full Record in Web of Science</v>
      </c>
    </row>
    <row r="180" spans="1:72" x14ac:dyDescent="0.2">
      <c r="A180" t="s">
        <v>72</v>
      </c>
      <c r="B180" t="s">
        <v>3756</v>
      </c>
      <c r="C180" t="s">
        <v>74</v>
      </c>
      <c r="D180" t="s">
        <v>74</v>
      </c>
      <c r="E180" t="s">
        <v>74</v>
      </c>
      <c r="F180" t="s">
        <v>3757</v>
      </c>
      <c r="G180" t="s">
        <v>74</v>
      </c>
      <c r="H180" t="s">
        <v>74</v>
      </c>
      <c r="I180" t="s">
        <v>3758</v>
      </c>
      <c r="J180" t="s">
        <v>3404</v>
      </c>
      <c r="K180" t="s">
        <v>74</v>
      </c>
      <c r="L180" t="s">
        <v>74</v>
      </c>
      <c r="M180" t="s">
        <v>78</v>
      </c>
      <c r="N180" t="s">
        <v>108</v>
      </c>
      <c r="O180" t="s">
        <v>74</v>
      </c>
      <c r="P180" t="s">
        <v>74</v>
      </c>
      <c r="Q180" t="s">
        <v>74</v>
      </c>
      <c r="R180" t="s">
        <v>74</v>
      </c>
      <c r="S180" t="s">
        <v>74</v>
      </c>
      <c r="T180" t="s">
        <v>3759</v>
      </c>
      <c r="U180" t="s">
        <v>74</v>
      </c>
      <c r="V180" t="s">
        <v>3760</v>
      </c>
      <c r="W180" t="s">
        <v>3761</v>
      </c>
      <c r="X180" t="s">
        <v>74</v>
      </c>
      <c r="Y180" t="s">
        <v>3762</v>
      </c>
      <c r="Z180" t="s">
        <v>74</v>
      </c>
      <c r="AA180" t="s">
        <v>74</v>
      </c>
      <c r="AB180" t="s">
        <v>74</v>
      </c>
      <c r="AC180" t="s">
        <v>74</v>
      </c>
      <c r="AD180" t="s">
        <v>74</v>
      </c>
      <c r="AE180" t="s">
        <v>74</v>
      </c>
      <c r="AF180" t="s">
        <v>74</v>
      </c>
      <c r="AG180">
        <v>10</v>
      </c>
      <c r="AH180">
        <v>0</v>
      </c>
      <c r="AI180">
        <v>0</v>
      </c>
      <c r="AJ180">
        <v>3</v>
      </c>
      <c r="AK180">
        <v>21</v>
      </c>
      <c r="AL180" t="s">
        <v>3412</v>
      </c>
      <c r="AM180" t="s">
        <v>3413</v>
      </c>
      <c r="AN180" t="s">
        <v>3414</v>
      </c>
      <c r="AO180" t="s">
        <v>3415</v>
      </c>
      <c r="AP180" t="s">
        <v>3416</v>
      </c>
      <c r="AQ180" t="s">
        <v>74</v>
      </c>
      <c r="AR180" t="s">
        <v>3417</v>
      </c>
      <c r="AS180" t="s">
        <v>3418</v>
      </c>
      <c r="AT180" t="s">
        <v>3419</v>
      </c>
      <c r="AU180">
        <v>2017</v>
      </c>
      <c r="AV180">
        <v>28</v>
      </c>
      <c r="AW180">
        <v>1</v>
      </c>
      <c r="AX180" t="s">
        <v>74</v>
      </c>
      <c r="AY180" t="s">
        <v>74</v>
      </c>
      <c r="AZ180" t="s">
        <v>74</v>
      </c>
      <c r="BA180" t="s">
        <v>74</v>
      </c>
      <c r="BB180">
        <v>2135</v>
      </c>
      <c r="BC180">
        <v>2139</v>
      </c>
      <c r="BD180" t="s">
        <v>74</v>
      </c>
      <c r="BE180" t="s">
        <v>74</v>
      </c>
      <c r="BF180" t="s">
        <v>74</v>
      </c>
      <c r="BG180" t="s">
        <v>74</v>
      </c>
      <c r="BH180" t="s">
        <v>74</v>
      </c>
      <c r="BI180">
        <v>5</v>
      </c>
      <c r="BJ180" t="s">
        <v>3420</v>
      </c>
      <c r="BK180" t="s">
        <v>98</v>
      </c>
      <c r="BL180" t="s">
        <v>3420</v>
      </c>
      <c r="BM180" t="s">
        <v>3421</v>
      </c>
      <c r="BN180" t="s">
        <v>74</v>
      </c>
      <c r="BO180" t="s">
        <v>74</v>
      </c>
      <c r="BP180" t="s">
        <v>74</v>
      </c>
      <c r="BQ180" t="s">
        <v>74</v>
      </c>
      <c r="BR180" t="s">
        <v>102</v>
      </c>
      <c r="BS180" t="s">
        <v>3763</v>
      </c>
      <c r="BT180" t="str">
        <f>HYPERLINK("https%3A%2F%2Fwww.webofscience.com%2Fwos%2Fwoscc%2Ffull-record%2FWOS:000405992300062","View Full Record in Web of Science")</f>
        <v>View Full Record in Web of Science</v>
      </c>
    </row>
    <row r="181" spans="1:72" x14ac:dyDescent="0.2">
      <c r="A181" t="s">
        <v>72</v>
      </c>
      <c r="B181" t="s">
        <v>3764</v>
      </c>
      <c r="C181" t="s">
        <v>74</v>
      </c>
      <c r="D181" t="s">
        <v>74</v>
      </c>
      <c r="E181" t="s">
        <v>74</v>
      </c>
      <c r="F181" t="s">
        <v>3765</v>
      </c>
      <c r="G181" t="s">
        <v>74</v>
      </c>
      <c r="H181" t="s">
        <v>74</v>
      </c>
      <c r="I181" t="s">
        <v>3766</v>
      </c>
      <c r="J181" t="s">
        <v>3767</v>
      </c>
      <c r="K181" t="s">
        <v>74</v>
      </c>
      <c r="L181" t="s">
        <v>74</v>
      </c>
      <c r="M181" t="s">
        <v>78</v>
      </c>
      <c r="N181" t="s">
        <v>108</v>
      </c>
      <c r="O181" t="s">
        <v>74</v>
      </c>
      <c r="P181" t="s">
        <v>74</v>
      </c>
      <c r="Q181" t="s">
        <v>74</v>
      </c>
      <c r="R181" t="s">
        <v>74</v>
      </c>
      <c r="S181" t="s">
        <v>74</v>
      </c>
      <c r="T181" t="s">
        <v>3768</v>
      </c>
      <c r="U181" t="s">
        <v>3769</v>
      </c>
      <c r="V181" t="s">
        <v>3770</v>
      </c>
      <c r="W181" t="s">
        <v>3771</v>
      </c>
      <c r="X181" t="s">
        <v>3772</v>
      </c>
      <c r="Y181" t="s">
        <v>3773</v>
      </c>
      <c r="Z181" t="s">
        <v>3774</v>
      </c>
      <c r="AA181" t="s">
        <v>3775</v>
      </c>
      <c r="AB181" t="s">
        <v>74</v>
      </c>
      <c r="AC181" t="s">
        <v>74</v>
      </c>
      <c r="AD181" t="s">
        <v>74</v>
      </c>
      <c r="AE181" t="s">
        <v>74</v>
      </c>
      <c r="AF181" t="s">
        <v>74</v>
      </c>
      <c r="AG181">
        <v>27</v>
      </c>
      <c r="AH181">
        <v>0</v>
      </c>
      <c r="AI181">
        <v>0</v>
      </c>
      <c r="AJ181">
        <v>0</v>
      </c>
      <c r="AK181">
        <v>4</v>
      </c>
      <c r="AL181" t="s">
        <v>3776</v>
      </c>
      <c r="AM181" t="s">
        <v>3777</v>
      </c>
      <c r="AN181" t="s">
        <v>3778</v>
      </c>
      <c r="AO181" t="s">
        <v>3779</v>
      </c>
      <c r="AP181" t="s">
        <v>3780</v>
      </c>
      <c r="AQ181" t="s">
        <v>74</v>
      </c>
      <c r="AR181" t="s">
        <v>3781</v>
      </c>
      <c r="AS181" t="s">
        <v>3782</v>
      </c>
      <c r="AT181" t="s">
        <v>74</v>
      </c>
      <c r="AU181">
        <v>2018</v>
      </c>
      <c r="AV181" t="s">
        <v>74</v>
      </c>
      <c r="AW181">
        <v>8</v>
      </c>
      <c r="AX181" t="s">
        <v>74</v>
      </c>
      <c r="AY181" t="s">
        <v>74</v>
      </c>
      <c r="AZ181" t="s">
        <v>74</v>
      </c>
      <c r="BA181" t="s">
        <v>74</v>
      </c>
      <c r="BB181">
        <v>54</v>
      </c>
      <c r="BC181">
        <v>61</v>
      </c>
      <c r="BD181" t="s">
        <v>74</v>
      </c>
      <c r="BE181" t="s">
        <v>74</v>
      </c>
      <c r="BF181" t="s">
        <v>74</v>
      </c>
      <c r="BG181" t="s">
        <v>74</v>
      </c>
      <c r="BH181" t="s">
        <v>74</v>
      </c>
      <c r="BI181">
        <v>8</v>
      </c>
      <c r="BJ181" t="s">
        <v>3783</v>
      </c>
      <c r="BK181" t="s">
        <v>124</v>
      </c>
      <c r="BL181" t="s">
        <v>3783</v>
      </c>
      <c r="BM181" t="s">
        <v>3784</v>
      </c>
      <c r="BN181" t="s">
        <v>74</v>
      </c>
      <c r="BO181" t="s">
        <v>74</v>
      </c>
      <c r="BP181" t="s">
        <v>74</v>
      </c>
      <c r="BQ181" t="s">
        <v>74</v>
      </c>
      <c r="BR181" t="s">
        <v>102</v>
      </c>
      <c r="BS181" t="s">
        <v>3785</v>
      </c>
      <c r="BT181" t="str">
        <f>HYPERLINK("https%3A%2F%2Fwww.webofscience.com%2Fwos%2Fwoscc%2Ffull-record%2FWOS:000442293200009","View Full Record in Web of Science")</f>
        <v>View Full Record in Web of Science</v>
      </c>
    </row>
    <row r="182" spans="1:72" x14ac:dyDescent="0.2">
      <c r="A182" t="s">
        <v>72</v>
      </c>
      <c r="B182" t="s">
        <v>3786</v>
      </c>
      <c r="C182" t="s">
        <v>74</v>
      </c>
      <c r="D182" t="s">
        <v>74</v>
      </c>
      <c r="E182" t="s">
        <v>74</v>
      </c>
      <c r="F182" t="s">
        <v>3787</v>
      </c>
      <c r="G182" t="s">
        <v>74</v>
      </c>
      <c r="H182" t="s">
        <v>74</v>
      </c>
      <c r="I182" t="s">
        <v>3788</v>
      </c>
      <c r="J182" t="s">
        <v>3789</v>
      </c>
      <c r="K182" t="s">
        <v>74</v>
      </c>
      <c r="L182" t="s">
        <v>74</v>
      </c>
      <c r="M182" t="s">
        <v>78</v>
      </c>
      <c r="N182" t="s">
        <v>108</v>
      </c>
      <c r="O182" t="s">
        <v>74</v>
      </c>
      <c r="P182" t="s">
        <v>74</v>
      </c>
      <c r="Q182" t="s">
        <v>74</v>
      </c>
      <c r="R182" t="s">
        <v>74</v>
      </c>
      <c r="S182" t="s">
        <v>74</v>
      </c>
      <c r="T182" t="s">
        <v>3790</v>
      </c>
      <c r="U182" t="s">
        <v>74</v>
      </c>
      <c r="V182" t="s">
        <v>3791</v>
      </c>
      <c r="W182" t="s">
        <v>3792</v>
      </c>
      <c r="X182" t="s">
        <v>3793</v>
      </c>
      <c r="Y182" t="s">
        <v>3794</v>
      </c>
      <c r="Z182" t="s">
        <v>3795</v>
      </c>
      <c r="AA182" t="s">
        <v>74</v>
      </c>
      <c r="AB182" t="s">
        <v>74</v>
      </c>
      <c r="AC182" t="s">
        <v>3796</v>
      </c>
      <c r="AD182" t="s">
        <v>3797</v>
      </c>
      <c r="AE182" t="s">
        <v>3798</v>
      </c>
      <c r="AF182" t="s">
        <v>74</v>
      </c>
      <c r="AG182">
        <v>18</v>
      </c>
      <c r="AH182">
        <v>0</v>
      </c>
      <c r="AI182">
        <v>0</v>
      </c>
      <c r="AJ182">
        <v>7</v>
      </c>
      <c r="AK182">
        <v>7</v>
      </c>
      <c r="AL182" t="s">
        <v>2634</v>
      </c>
      <c r="AM182" t="s">
        <v>2635</v>
      </c>
      <c r="AN182" t="s">
        <v>2636</v>
      </c>
      <c r="AO182" t="s">
        <v>3799</v>
      </c>
      <c r="AP182" t="s">
        <v>3800</v>
      </c>
      <c r="AQ182" t="s">
        <v>74</v>
      </c>
      <c r="AR182" t="s">
        <v>3801</v>
      </c>
      <c r="AS182" t="s">
        <v>3802</v>
      </c>
      <c r="AT182" t="s">
        <v>74</v>
      </c>
      <c r="AU182">
        <v>2022</v>
      </c>
      <c r="AV182">
        <v>27</v>
      </c>
      <c r="AW182" t="s">
        <v>3803</v>
      </c>
      <c r="AX182" t="s">
        <v>74</v>
      </c>
      <c r="AY182" t="s">
        <v>74</v>
      </c>
      <c r="AZ182" t="s">
        <v>74</v>
      </c>
      <c r="BA182" t="s">
        <v>74</v>
      </c>
      <c r="BB182">
        <v>27</v>
      </c>
      <c r="BC182">
        <v>44</v>
      </c>
      <c r="BD182" t="s">
        <v>74</v>
      </c>
      <c r="BE182" t="s">
        <v>3804</v>
      </c>
      <c r="BF182" t="str">
        <f>HYPERLINK("http://dx.doi.org/10.1504/IJDMB.2022.130339","http://dx.doi.org/10.1504/IJDMB.2022.130339")</f>
        <v>http://dx.doi.org/10.1504/IJDMB.2022.130339</v>
      </c>
      <c r="BG182" t="s">
        <v>74</v>
      </c>
      <c r="BH182" t="s">
        <v>74</v>
      </c>
      <c r="BI182">
        <v>19</v>
      </c>
      <c r="BJ182" t="s">
        <v>3805</v>
      </c>
      <c r="BK182" t="s">
        <v>98</v>
      </c>
      <c r="BL182" t="s">
        <v>3805</v>
      </c>
      <c r="BM182" t="s">
        <v>3806</v>
      </c>
      <c r="BN182" t="s">
        <v>74</v>
      </c>
      <c r="BO182" t="s">
        <v>74</v>
      </c>
      <c r="BP182" t="s">
        <v>74</v>
      </c>
      <c r="BQ182" t="s">
        <v>74</v>
      </c>
      <c r="BR182" t="s">
        <v>102</v>
      </c>
      <c r="BS182" t="s">
        <v>3807</v>
      </c>
      <c r="BT182" t="str">
        <f>HYPERLINK("https%3A%2F%2Fwww.webofscience.com%2Fwos%2Fwoscc%2Ffull-record%2FWOS:000974904100003","View Full Record in Web of Science")</f>
        <v>View Full Record in Web of Science</v>
      </c>
    </row>
    <row r="183" spans="1:72" x14ac:dyDescent="0.2">
      <c r="A183" t="s">
        <v>72</v>
      </c>
      <c r="B183" t="s">
        <v>3808</v>
      </c>
      <c r="C183" t="s">
        <v>74</v>
      </c>
      <c r="D183" t="s">
        <v>74</v>
      </c>
      <c r="E183" t="s">
        <v>74</v>
      </c>
      <c r="F183" t="s">
        <v>3809</v>
      </c>
      <c r="G183" t="s">
        <v>74</v>
      </c>
      <c r="H183" t="s">
        <v>74</v>
      </c>
      <c r="I183" t="s">
        <v>3810</v>
      </c>
      <c r="J183" t="s">
        <v>3811</v>
      </c>
      <c r="K183" t="s">
        <v>74</v>
      </c>
      <c r="L183" t="s">
        <v>74</v>
      </c>
      <c r="M183" t="s">
        <v>78</v>
      </c>
      <c r="N183" t="s">
        <v>108</v>
      </c>
      <c r="O183" t="s">
        <v>74</v>
      </c>
      <c r="P183" t="s">
        <v>74</v>
      </c>
      <c r="Q183" t="s">
        <v>74</v>
      </c>
      <c r="R183" t="s">
        <v>74</v>
      </c>
      <c r="S183" t="s">
        <v>74</v>
      </c>
      <c r="T183" t="s">
        <v>3812</v>
      </c>
      <c r="U183" t="s">
        <v>2570</v>
      </c>
      <c r="V183" t="s">
        <v>3813</v>
      </c>
      <c r="W183" t="s">
        <v>3814</v>
      </c>
      <c r="X183" t="s">
        <v>2609</v>
      </c>
      <c r="Y183" t="s">
        <v>2610</v>
      </c>
      <c r="Z183" t="s">
        <v>3815</v>
      </c>
      <c r="AA183" t="s">
        <v>74</v>
      </c>
      <c r="AB183" t="s">
        <v>74</v>
      </c>
      <c r="AC183" t="s">
        <v>2612</v>
      </c>
      <c r="AD183" t="s">
        <v>2612</v>
      </c>
      <c r="AE183" t="s">
        <v>3816</v>
      </c>
      <c r="AF183" t="s">
        <v>74</v>
      </c>
      <c r="AG183">
        <v>32</v>
      </c>
      <c r="AH183">
        <v>3</v>
      </c>
      <c r="AI183">
        <v>3</v>
      </c>
      <c r="AJ183">
        <v>1</v>
      </c>
      <c r="AK183">
        <v>18</v>
      </c>
      <c r="AL183" t="s">
        <v>462</v>
      </c>
      <c r="AM183" t="s">
        <v>280</v>
      </c>
      <c r="AN183" t="s">
        <v>463</v>
      </c>
      <c r="AO183" t="s">
        <v>3817</v>
      </c>
      <c r="AP183" t="s">
        <v>3818</v>
      </c>
      <c r="AQ183" t="s">
        <v>74</v>
      </c>
      <c r="AR183" t="s">
        <v>3819</v>
      </c>
      <c r="AS183" t="s">
        <v>3820</v>
      </c>
      <c r="AT183" t="s">
        <v>3821</v>
      </c>
      <c r="AU183">
        <v>2022</v>
      </c>
      <c r="AV183">
        <v>14</v>
      </c>
      <c r="AW183">
        <v>2</v>
      </c>
      <c r="AX183" t="s">
        <v>74</v>
      </c>
      <c r="AY183" t="s">
        <v>74</v>
      </c>
      <c r="AZ183" t="s">
        <v>74</v>
      </c>
      <c r="BA183" t="s">
        <v>74</v>
      </c>
      <c r="BB183">
        <v>193</v>
      </c>
      <c r="BC183">
        <v>209</v>
      </c>
      <c r="BD183" t="s">
        <v>74</v>
      </c>
      <c r="BE183" t="s">
        <v>3822</v>
      </c>
      <c r="BF183" t="str">
        <f>HYPERLINK("http://dx.doi.org/10.1080/19186444.2021.2024740","http://dx.doi.org/10.1080/19186444.2021.2024740")</f>
        <v>http://dx.doi.org/10.1080/19186444.2021.2024740</v>
      </c>
      <c r="BG183" t="s">
        <v>74</v>
      </c>
      <c r="BH183" t="s">
        <v>3823</v>
      </c>
      <c r="BI183">
        <v>17</v>
      </c>
      <c r="BJ183" t="s">
        <v>931</v>
      </c>
      <c r="BK183" t="s">
        <v>124</v>
      </c>
      <c r="BL183" t="s">
        <v>419</v>
      </c>
      <c r="BM183" t="s">
        <v>3824</v>
      </c>
      <c r="BN183" t="s">
        <v>74</v>
      </c>
      <c r="BO183" t="s">
        <v>74</v>
      </c>
      <c r="BP183" t="s">
        <v>74</v>
      </c>
      <c r="BQ183" t="s">
        <v>74</v>
      </c>
      <c r="BR183" t="s">
        <v>102</v>
      </c>
      <c r="BS183" t="s">
        <v>3825</v>
      </c>
      <c r="BT183" t="str">
        <f>HYPERLINK("https%3A%2F%2Fwww.webofscience.com%2Fwos%2Fwoscc%2Ffull-record%2FWOS:000743825800001","View Full Record in Web of Science")</f>
        <v>View Full Record in Web of Science</v>
      </c>
    </row>
    <row r="184" spans="1:72" x14ac:dyDescent="0.2">
      <c r="A184" t="s">
        <v>72</v>
      </c>
      <c r="B184" t="s">
        <v>3826</v>
      </c>
      <c r="C184" t="s">
        <v>74</v>
      </c>
      <c r="D184" t="s">
        <v>74</v>
      </c>
      <c r="E184" t="s">
        <v>74</v>
      </c>
      <c r="F184" t="s">
        <v>3827</v>
      </c>
      <c r="G184" t="s">
        <v>74</v>
      </c>
      <c r="H184" t="s">
        <v>74</v>
      </c>
      <c r="I184" t="s">
        <v>3828</v>
      </c>
      <c r="J184" t="s">
        <v>3829</v>
      </c>
      <c r="K184" t="s">
        <v>74</v>
      </c>
      <c r="L184" t="s">
        <v>74</v>
      </c>
      <c r="M184" t="s">
        <v>78</v>
      </c>
      <c r="N184" t="s">
        <v>108</v>
      </c>
      <c r="O184" t="s">
        <v>74</v>
      </c>
      <c r="P184" t="s">
        <v>74</v>
      </c>
      <c r="Q184" t="s">
        <v>74</v>
      </c>
      <c r="R184" t="s">
        <v>74</v>
      </c>
      <c r="S184" t="s">
        <v>74</v>
      </c>
      <c r="T184" t="s">
        <v>3830</v>
      </c>
      <c r="U184" t="s">
        <v>3831</v>
      </c>
      <c r="V184" t="s">
        <v>3832</v>
      </c>
      <c r="W184" t="s">
        <v>3833</v>
      </c>
      <c r="X184" t="s">
        <v>3834</v>
      </c>
      <c r="Y184" t="s">
        <v>3835</v>
      </c>
      <c r="Z184" t="s">
        <v>3836</v>
      </c>
      <c r="AA184" t="s">
        <v>3837</v>
      </c>
      <c r="AB184" t="s">
        <v>3838</v>
      </c>
      <c r="AC184" t="s">
        <v>74</v>
      </c>
      <c r="AD184" t="s">
        <v>74</v>
      </c>
      <c r="AE184" t="s">
        <v>74</v>
      </c>
      <c r="AF184" t="s">
        <v>74</v>
      </c>
      <c r="AG184">
        <v>19</v>
      </c>
      <c r="AH184">
        <v>12</v>
      </c>
      <c r="AI184">
        <v>12</v>
      </c>
      <c r="AJ184">
        <v>11</v>
      </c>
      <c r="AK184">
        <v>131</v>
      </c>
      <c r="AL184" t="s">
        <v>3839</v>
      </c>
      <c r="AM184" t="s">
        <v>3840</v>
      </c>
      <c r="AN184" t="s">
        <v>3841</v>
      </c>
      <c r="AO184" t="s">
        <v>3842</v>
      </c>
      <c r="AP184" t="s">
        <v>3843</v>
      </c>
      <c r="AQ184" t="s">
        <v>74</v>
      </c>
      <c r="AR184" t="s">
        <v>3844</v>
      </c>
      <c r="AS184" t="s">
        <v>3845</v>
      </c>
      <c r="AT184" t="s">
        <v>616</v>
      </c>
      <c r="AU184">
        <v>2019</v>
      </c>
      <c r="AV184">
        <v>10</v>
      </c>
      <c r="AW184">
        <v>1</v>
      </c>
      <c r="AX184" t="s">
        <v>74</v>
      </c>
      <c r="AY184" t="s">
        <v>74</v>
      </c>
      <c r="AZ184" t="s">
        <v>74</v>
      </c>
      <c r="BA184" t="s">
        <v>74</v>
      </c>
      <c r="BB184">
        <v>29</v>
      </c>
      <c r="BC184">
        <v>36</v>
      </c>
      <c r="BD184" t="s">
        <v>74</v>
      </c>
      <c r="BE184" t="s">
        <v>3846</v>
      </c>
      <c r="BF184" t="str">
        <f>HYPERLINK("http://dx.doi.org/10.24425/mper.2019.128241","http://dx.doi.org/10.24425/mper.2019.128241")</f>
        <v>http://dx.doi.org/10.24425/mper.2019.128241</v>
      </c>
      <c r="BG184" t="s">
        <v>74</v>
      </c>
      <c r="BH184" t="s">
        <v>74</v>
      </c>
      <c r="BI184">
        <v>8</v>
      </c>
      <c r="BJ184" t="s">
        <v>3847</v>
      </c>
      <c r="BK184" t="s">
        <v>124</v>
      </c>
      <c r="BL184" t="s">
        <v>1292</v>
      </c>
      <c r="BM184" t="s">
        <v>3848</v>
      </c>
      <c r="BN184" t="s">
        <v>74</v>
      </c>
      <c r="BO184" t="s">
        <v>74</v>
      </c>
      <c r="BP184" t="s">
        <v>74</v>
      </c>
      <c r="BQ184" t="s">
        <v>74</v>
      </c>
      <c r="BR184" t="s">
        <v>102</v>
      </c>
      <c r="BS184" t="s">
        <v>3849</v>
      </c>
      <c r="BT184" t="str">
        <f>HYPERLINK("https%3A%2F%2Fwww.webofscience.com%2Fwos%2Fwoscc%2Ffull-record%2FWOS:000462837100003","View Full Record in Web of Science")</f>
        <v>View Full Record in Web of Science</v>
      </c>
    </row>
    <row r="185" spans="1:72" x14ac:dyDescent="0.2">
      <c r="A185" t="s">
        <v>72</v>
      </c>
      <c r="B185" t="s">
        <v>3850</v>
      </c>
      <c r="C185" t="s">
        <v>74</v>
      </c>
      <c r="D185" t="s">
        <v>74</v>
      </c>
      <c r="E185" t="s">
        <v>74</v>
      </c>
      <c r="F185" t="s">
        <v>3851</v>
      </c>
      <c r="G185" t="s">
        <v>74</v>
      </c>
      <c r="H185" t="s">
        <v>74</v>
      </c>
      <c r="I185" t="s">
        <v>3852</v>
      </c>
      <c r="J185" t="s">
        <v>3853</v>
      </c>
      <c r="K185" t="s">
        <v>74</v>
      </c>
      <c r="L185" t="s">
        <v>74</v>
      </c>
      <c r="M185" t="s">
        <v>78</v>
      </c>
      <c r="N185" t="s">
        <v>108</v>
      </c>
      <c r="O185" t="s">
        <v>74</v>
      </c>
      <c r="P185" t="s">
        <v>74</v>
      </c>
      <c r="Q185" t="s">
        <v>74</v>
      </c>
      <c r="R185" t="s">
        <v>74</v>
      </c>
      <c r="S185" t="s">
        <v>74</v>
      </c>
      <c r="T185" t="s">
        <v>3854</v>
      </c>
      <c r="U185" t="s">
        <v>3855</v>
      </c>
      <c r="V185" t="s">
        <v>3856</v>
      </c>
      <c r="W185" t="s">
        <v>3857</v>
      </c>
      <c r="X185" t="s">
        <v>3858</v>
      </c>
      <c r="Y185" t="s">
        <v>3859</v>
      </c>
      <c r="Z185" t="s">
        <v>3860</v>
      </c>
      <c r="AA185" t="s">
        <v>74</v>
      </c>
      <c r="AB185" t="s">
        <v>74</v>
      </c>
      <c r="AC185" t="s">
        <v>3861</v>
      </c>
      <c r="AD185" t="s">
        <v>3862</v>
      </c>
      <c r="AE185" t="s">
        <v>3863</v>
      </c>
      <c r="AF185" t="s">
        <v>74</v>
      </c>
      <c r="AG185">
        <v>21</v>
      </c>
      <c r="AH185">
        <v>0</v>
      </c>
      <c r="AI185">
        <v>0</v>
      </c>
      <c r="AJ185">
        <v>1</v>
      </c>
      <c r="AK185">
        <v>19</v>
      </c>
      <c r="AL185" t="s">
        <v>3864</v>
      </c>
      <c r="AM185" t="s">
        <v>3865</v>
      </c>
      <c r="AN185" t="s">
        <v>3866</v>
      </c>
      <c r="AO185" t="s">
        <v>3867</v>
      </c>
      <c r="AP185" t="s">
        <v>3868</v>
      </c>
      <c r="AQ185" t="s">
        <v>74</v>
      </c>
      <c r="AR185" t="s">
        <v>3869</v>
      </c>
      <c r="AS185" t="s">
        <v>3870</v>
      </c>
      <c r="AT185" t="s">
        <v>194</v>
      </c>
      <c r="AU185">
        <v>2021</v>
      </c>
      <c r="AV185">
        <v>239</v>
      </c>
      <c r="AW185" t="s">
        <v>74</v>
      </c>
      <c r="AX185" t="s">
        <v>74</v>
      </c>
      <c r="AY185" t="s">
        <v>74</v>
      </c>
      <c r="AZ185" t="s">
        <v>74</v>
      </c>
      <c r="BA185" t="s">
        <v>74</v>
      </c>
      <c r="BB185">
        <v>172</v>
      </c>
      <c r="BC185">
        <v>180</v>
      </c>
      <c r="BD185" t="s">
        <v>74</v>
      </c>
      <c r="BE185" t="s">
        <v>3871</v>
      </c>
      <c r="BF185" t="str">
        <f>HYPERLINK("http://dx.doi.org/10.5004/dwt.2021.27806","http://dx.doi.org/10.5004/dwt.2021.27806")</f>
        <v>http://dx.doi.org/10.5004/dwt.2021.27806</v>
      </c>
      <c r="BG185" t="s">
        <v>74</v>
      </c>
      <c r="BH185" t="s">
        <v>74</v>
      </c>
      <c r="BI185">
        <v>9</v>
      </c>
      <c r="BJ185" t="s">
        <v>3872</v>
      </c>
      <c r="BK185" t="s">
        <v>98</v>
      </c>
      <c r="BL185" t="s">
        <v>3873</v>
      </c>
      <c r="BM185" t="s">
        <v>3874</v>
      </c>
      <c r="BN185" t="s">
        <v>74</v>
      </c>
      <c r="BO185" t="s">
        <v>74</v>
      </c>
      <c r="BP185" t="s">
        <v>74</v>
      </c>
      <c r="BQ185" t="s">
        <v>74</v>
      </c>
      <c r="BR185" t="s">
        <v>102</v>
      </c>
      <c r="BS185" t="s">
        <v>3875</v>
      </c>
      <c r="BT185" t="str">
        <f>HYPERLINK("https%3A%2F%2Fwww.webofscience.com%2Fwos%2Fwoscc%2Ffull-record%2FWOS:000738808400016","View Full Record in Web of Science")</f>
        <v>View Full Record in Web of Science</v>
      </c>
    </row>
    <row r="186" spans="1:72" x14ac:dyDescent="0.2">
      <c r="A186" t="s">
        <v>72</v>
      </c>
      <c r="B186" t="s">
        <v>3876</v>
      </c>
      <c r="C186" t="s">
        <v>74</v>
      </c>
      <c r="D186" t="s">
        <v>74</v>
      </c>
      <c r="E186" t="s">
        <v>74</v>
      </c>
      <c r="F186" t="s">
        <v>3877</v>
      </c>
      <c r="G186" t="s">
        <v>74</v>
      </c>
      <c r="H186" t="s">
        <v>74</v>
      </c>
      <c r="I186" t="s">
        <v>3878</v>
      </c>
      <c r="J186" t="s">
        <v>531</v>
      </c>
      <c r="K186" t="s">
        <v>74</v>
      </c>
      <c r="L186" t="s">
        <v>74</v>
      </c>
      <c r="M186" t="s">
        <v>78</v>
      </c>
      <c r="N186" t="s">
        <v>108</v>
      </c>
      <c r="O186" t="s">
        <v>74</v>
      </c>
      <c r="P186" t="s">
        <v>74</v>
      </c>
      <c r="Q186" t="s">
        <v>74</v>
      </c>
      <c r="R186" t="s">
        <v>74</v>
      </c>
      <c r="S186" t="s">
        <v>74</v>
      </c>
      <c r="T186" t="s">
        <v>3879</v>
      </c>
      <c r="U186" t="s">
        <v>3880</v>
      </c>
      <c r="V186" t="s">
        <v>3881</v>
      </c>
      <c r="W186" t="s">
        <v>3882</v>
      </c>
      <c r="X186" t="s">
        <v>3883</v>
      </c>
      <c r="Y186" t="s">
        <v>3884</v>
      </c>
      <c r="Z186" t="s">
        <v>3885</v>
      </c>
      <c r="AA186" t="s">
        <v>3196</v>
      </c>
      <c r="AB186" t="s">
        <v>74</v>
      </c>
      <c r="AC186" t="s">
        <v>74</v>
      </c>
      <c r="AD186" t="s">
        <v>74</v>
      </c>
      <c r="AE186" t="s">
        <v>74</v>
      </c>
      <c r="AF186" t="s">
        <v>74</v>
      </c>
      <c r="AG186">
        <v>48</v>
      </c>
      <c r="AH186">
        <v>14</v>
      </c>
      <c r="AI186">
        <v>15</v>
      </c>
      <c r="AJ186">
        <v>0</v>
      </c>
      <c r="AK186">
        <v>22</v>
      </c>
      <c r="AL186" t="s">
        <v>543</v>
      </c>
      <c r="AM186" t="s">
        <v>260</v>
      </c>
      <c r="AN186" t="s">
        <v>544</v>
      </c>
      <c r="AO186" t="s">
        <v>545</v>
      </c>
      <c r="AP186" t="s">
        <v>546</v>
      </c>
      <c r="AQ186" t="s">
        <v>74</v>
      </c>
      <c r="AR186" t="s">
        <v>547</v>
      </c>
      <c r="AS186" t="s">
        <v>548</v>
      </c>
      <c r="AT186" t="s">
        <v>216</v>
      </c>
      <c r="AU186">
        <v>2013</v>
      </c>
      <c r="AV186">
        <v>66</v>
      </c>
      <c r="AW186">
        <v>4</v>
      </c>
      <c r="AX186" t="s">
        <v>74</v>
      </c>
      <c r="AY186" t="s">
        <v>74</v>
      </c>
      <c r="AZ186" t="s">
        <v>74</v>
      </c>
      <c r="BA186" t="s">
        <v>74</v>
      </c>
      <c r="BB186">
        <v>768</v>
      </c>
      <c r="BC186">
        <v>780</v>
      </c>
      <c r="BD186" t="s">
        <v>74</v>
      </c>
      <c r="BE186" t="s">
        <v>3886</v>
      </c>
      <c r="BF186" t="str">
        <f>HYPERLINK("http://dx.doi.org/10.1016/j.cie.2013.09.025","http://dx.doi.org/10.1016/j.cie.2013.09.025")</f>
        <v>http://dx.doi.org/10.1016/j.cie.2013.09.025</v>
      </c>
      <c r="BG186" t="s">
        <v>74</v>
      </c>
      <c r="BH186" t="s">
        <v>74</v>
      </c>
      <c r="BI186">
        <v>13</v>
      </c>
      <c r="BJ186" t="s">
        <v>550</v>
      </c>
      <c r="BK186" t="s">
        <v>98</v>
      </c>
      <c r="BL186" t="s">
        <v>269</v>
      </c>
      <c r="BM186" t="s">
        <v>3887</v>
      </c>
      <c r="BN186" t="s">
        <v>74</v>
      </c>
      <c r="BO186" t="s">
        <v>74</v>
      </c>
      <c r="BP186" t="s">
        <v>74</v>
      </c>
      <c r="BQ186" t="s">
        <v>74</v>
      </c>
      <c r="BR186" t="s">
        <v>102</v>
      </c>
      <c r="BS186" t="s">
        <v>3888</v>
      </c>
      <c r="BT186" t="str">
        <f>HYPERLINK("https%3A%2F%2Fwww.webofscience.com%2Fwos%2Fwoscc%2Ffull-record%2FWOS:000328234000014","View Full Record in Web of Science")</f>
        <v>View Full Record in Web of Science</v>
      </c>
    </row>
    <row r="187" spans="1:72" x14ac:dyDescent="0.2">
      <c r="A187" t="s">
        <v>72</v>
      </c>
      <c r="B187" t="s">
        <v>3889</v>
      </c>
      <c r="C187" t="s">
        <v>74</v>
      </c>
      <c r="D187" t="s">
        <v>74</v>
      </c>
      <c r="E187" t="s">
        <v>74</v>
      </c>
      <c r="F187" t="s">
        <v>3890</v>
      </c>
      <c r="G187" t="s">
        <v>74</v>
      </c>
      <c r="H187" t="s">
        <v>74</v>
      </c>
      <c r="I187" t="s">
        <v>3891</v>
      </c>
      <c r="J187" t="s">
        <v>3892</v>
      </c>
      <c r="K187" t="s">
        <v>74</v>
      </c>
      <c r="L187" t="s">
        <v>74</v>
      </c>
      <c r="M187" t="s">
        <v>78</v>
      </c>
      <c r="N187" t="s">
        <v>108</v>
      </c>
      <c r="O187" t="s">
        <v>74</v>
      </c>
      <c r="P187" t="s">
        <v>74</v>
      </c>
      <c r="Q187" t="s">
        <v>74</v>
      </c>
      <c r="R187" t="s">
        <v>74</v>
      </c>
      <c r="S187" t="s">
        <v>74</v>
      </c>
      <c r="T187" t="s">
        <v>3893</v>
      </c>
      <c r="U187" t="s">
        <v>3894</v>
      </c>
      <c r="V187" t="s">
        <v>3895</v>
      </c>
      <c r="W187" t="s">
        <v>3896</v>
      </c>
      <c r="X187" t="s">
        <v>3897</v>
      </c>
      <c r="Y187" t="s">
        <v>3898</v>
      </c>
      <c r="Z187" t="s">
        <v>3899</v>
      </c>
      <c r="AA187" t="s">
        <v>3900</v>
      </c>
      <c r="AB187" t="s">
        <v>3901</v>
      </c>
      <c r="AC187" t="s">
        <v>74</v>
      </c>
      <c r="AD187" t="s">
        <v>74</v>
      </c>
      <c r="AE187" t="s">
        <v>74</v>
      </c>
      <c r="AF187" t="s">
        <v>74</v>
      </c>
      <c r="AG187">
        <v>33</v>
      </c>
      <c r="AH187">
        <v>319</v>
      </c>
      <c r="AI187">
        <v>322</v>
      </c>
      <c r="AJ187">
        <v>10</v>
      </c>
      <c r="AK187">
        <v>158</v>
      </c>
      <c r="AL187" t="s">
        <v>209</v>
      </c>
      <c r="AM187" t="s">
        <v>210</v>
      </c>
      <c r="AN187" t="s">
        <v>211</v>
      </c>
      <c r="AO187" t="s">
        <v>3902</v>
      </c>
      <c r="AP187" t="s">
        <v>74</v>
      </c>
      <c r="AQ187" t="s">
        <v>74</v>
      </c>
      <c r="AR187" t="s">
        <v>3903</v>
      </c>
      <c r="AS187" t="s">
        <v>3904</v>
      </c>
      <c r="AT187" t="s">
        <v>416</v>
      </c>
      <c r="AU187">
        <v>2016</v>
      </c>
      <c r="AV187">
        <v>6</v>
      </c>
      <c r="AW187" t="s">
        <v>74</v>
      </c>
      <c r="AX187" t="s">
        <v>74</v>
      </c>
      <c r="AY187" t="s">
        <v>74</v>
      </c>
      <c r="AZ187" t="s">
        <v>74</v>
      </c>
      <c r="BA187" t="s">
        <v>74</v>
      </c>
      <c r="BB187">
        <v>91</v>
      </c>
      <c r="BC187">
        <v>99</v>
      </c>
      <c r="BD187" t="s">
        <v>74</v>
      </c>
      <c r="BE187" t="s">
        <v>3905</v>
      </c>
      <c r="BF187" t="str">
        <f>HYPERLINK("http://dx.doi.org/10.1016/j.segan.2016.02.005","http://dx.doi.org/10.1016/j.segan.2016.02.005")</f>
        <v>http://dx.doi.org/10.1016/j.segan.2016.02.005</v>
      </c>
      <c r="BG187" t="s">
        <v>74</v>
      </c>
      <c r="BH187" t="s">
        <v>74</v>
      </c>
      <c r="BI187">
        <v>9</v>
      </c>
      <c r="BJ187" t="s">
        <v>3906</v>
      </c>
      <c r="BK187" t="s">
        <v>98</v>
      </c>
      <c r="BL187" t="s">
        <v>3907</v>
      </c>
      <c r="BM187" t="s">
        <v>3908</v>
      </c>
      <c r="BN187" t="s">
        <v>74</v>
      </c>
      <c r="BO187" t="s">
        <v>74</v>
      </c>
      <c r="BP187" t="s">
        <v>2105</v>
      </c>
      <c r="BQ187" t="s">
        <v>2106</v>
      </c>
      <c r="BR187" t="s">
        <v>102</v>
      </c>
      <c r="BS187" t="s">
        <v>3909</v>
      </c>
      <c r="BT187" t="str">
        <f>HYPERLINK("https%3A%2F%2Fwww.webofscience.com%2Fwos%2Fwoscc%2Ffull-record%2FWOS:000377407500010","View Full Record in Web of Science")</f>
        <v>View Full Record in Web of Science</v>
      </c>
    </row>
    <row r="188" spans="1:72" x14ac:dyDescent="0.2">
      <c r="A188" t="s">
        <v>72</v>
      </c>
      <c r="B188" t="s">
        <v>3910</v>
      </c>
      <c r="C188" t="s">
        <v>74</v>
      </c>
      <c r="D188" t="s">
        <v>74</v>
      </c>
      <c r="E188" t="s">
        <v>74</v>
      </c>
      <c r="F188" t="s">
        <v>3911</v>
      </c>
      <c r="G188" t="s">
        <v>74</v>
      </c>
      <c r="H188" t="s">
        <v>74</v>
      </c>
      <c r="I188" t="s">
        <v>3912</v>
      </c>
      <c r="J188" t="s">
        <v>3913</v>
      </c>
      <c r="K188" t="s">
        <v>74</v>
      </c>
      <c r="L188" t="s">
        <v>74</v>
      </c>
      <c r="M188" t="s">
        <v>78</v>
      </c>
      <c r="N188" t="s">
        <v>108</v>
      </c>
      <c r="O188" t="s">
        <v>74</v>
      </c>
      <c r="P188" t="s">
        <v>74</v>
      </c>
      <c r="Q188" t="s">
        <v>74</v>
      </c>
      <c r="R188" t="s">
        <v>74</v>
      </c>
      <c r="S188" t="s">
        <v>74</v>
      </c>
      <c r="T188" t="s">
        <v>3914</v>
      </c>
      <c r="U188" t="s">
        <v>74</v>
      </c>
      <c r="V188" t="s">
        <v>3915</v>
      </c>
      <c r="W188" t="s">
        <v>3916</v>
      </c>
      <c r="X188" t="s">
        <v>3917</v>
      </c>
      <c r="Y188" t="s">
        <v>3918</v>
      </c>
      <c r="Z188" t="s">
        <v>3919</v>
      </c>
      <c r="AA188" t="s">
        <v>74</v>
      </c>
      <c r="AB188" t="s">
        <v>74</v>
      </c>
      <c r="AC188" t="s">
        <v>74</v>
      </c>
      <c r="AD188" t="s">
        <v>74</v>
      </c>
      <c r="AE188" t="s">
        <v>74</v>
      </c>
      <c r="AF188" t="s">
        <v>74</v>
      </c>
      <c r="AG188">
        <v>33</v>
      </c>
      <c r="AH188">
        <v>0</v>
      </c>
      <c r="AI188">
        <v>0</v>
      </c>
      <c r="AJ188">
        <v>5</v>
      </c>
      <c r="AK188">
        <v>5</v>
      </c>
      <c r="AL188" t="s">
        <v>3920</v>
      </c>
      <c r="AM188" t="s">
        <v>3921</v>
      </c>
      <c r="AN188" t="s">
        <v>3922</v>
      </c>
      <c r="AO188" t="s">
        <v>3923</v>
      </c>
      <c r="AP188" t="s">
        <v>74</v>
      </c>
      <c r="AQ188" t="s">
        <v>74</v>
      </c>
      <c r="AR188" t="s">
        <v>3924</v>
      </c>
      <c r="AS188" t="s">
        <v>3925</v>
      </c>
      <c r="AT188" t="s">
        <v>416</v>
      </c>
      <c r="AU188">
        <v>2023</v>
      </c>
      <c r="AV188">
        <v>8</v>
      </c>
      <c r="AW188">
        <v>3</v>
      </c>
      <c r="AX188" t="s">
        <v>74</v>
      </c>
      <c r="AY188" t="s">
        <v>74</v>
      </c>
      <c r="AZ188" t="s">
        <v>74</v>
      </c>
      <c r="BA188" t="s">
        <v>74</v>
      </c>
      <c r="BB188">
        <v>353</v>
      </c>
      <c r="BC188">
        <v>373</v>
      </c>
      <c r="BD188" t="s">
        <v>74</v>
      </c>
      <c r="BE188" t="s">
        <v>3926</v>
      </c>
      <c r="BF188" t="str">
        <f>HYPERLINK("http://dx.doi.org/10.33889/IJMEMS.2023.8.3.021","http://dx.doi.org/10.33889/IJMEMS.2023.8.3.021")</f>
        <v>http://dx.doi.org/10.33889/IJMEMS.2023.8.3.021</v>
      </c>
      <c r="BG188" t="s">
        <v>74</v>
      </c>
      <c r="BH188" t="s">
        <v>74</v>
      </c>
      <c r="BI188">
        <v>21</v>
      </c>
      <c r="BJ188" t="s">
        <v>3927</v>
      </c>
      <c r="BK188" t="s">
        <v>124</v>
      </c>
      <c r="BL188" t="s">
        <v>1764</v>
      </c>
      <c r="BM188" t="s">
        <v>3928</v>
      </c>
      <c r="BN188" t="s">
        <v>74</v>
      </c>
      <c r="BO188" t="s">
        <v>126</v>
      </c>
      <c r="BP188" t="s">
        <v>74</v>
      </c>
      <c r="BQ188" t="s">
        <v>74</v>
      </c>
      <c r="BR188" t="s">
        <v>102</v>
      </c>
      <c r="BS188" t="s">
        <v>3929</v>
      </c>
      <c r="BT188" t="str">
        <f>HYPERLINK("https%3A%2F%2Fwww.webofscience.com%2Fwos%2Fwoscc%2Ffull-record%2FWOS:000974298600001","View Full Record in Web of Science")</f>
        <v>View Full Record in Web of Science</v>
      </c>
    </row>
    <row r="189" spans="1:72" x14ac:dyDescent="0.2">
      <c r="A189" t="s">
        <v>72</v>
      </c>
      <c r="B189" t="s">
        <v>3930</v>
      </c>
      <c r="C189" t="s">
        <v>74</v>
      </c>
      <c r="D189" t="s">
        <v>74</v>
      </c>
      <c r="E189" t="s">
        <v>74</v>
      </c>
      <c r="F189" t="s">
        <v>3931</v>
      </c>
      <c r="G189" t="s">
        <v>74</v>
      </c>
      <c r="H189" t="s">
        <v>74</v>
      </c>
      <c r="I189" t="s">
        <v>3932</v>
      </c>
      <c r="J189" t="s">
        <v>131</v>
      </c>
      <c r="K189" t="s">
        <v>74</v>
      </c>
      <c r="L189" t="s">
        <v>74</v>
      </c>
      <c r="M189" t="s">
        <v>78</v>
      </c>
      <c r="N189" t="s">
        <v>108</v>
      </c>
      <c r="O189" t="s">
        <v>74</v>
      </c>
      <c r="P189" t="s">
        <v>74</v>
      </c>
      <c r="Q189" t="s">
        <v>74</v>
      </c>
      <c r="R189" t="s">
        <v>74</v>
      </c>
      <c r="S189" t="s">
        <v>74</v>
      </c>
      <c r="T189" t="s">
        <v>3933</v>
      </c>
      <c r="U189" t="s">
        <v>74</v>
      </c>
      <c r="V189" t="s">
        <v>3934</v>
      </c>
      <c r="W189" t="s">
        <v>3935</v>
      </c>
      <c r="X189" t="s">
        <v>3936</v>
      </c>
      <c r="Y189" t="s">
        <v>3937</v>
      </c>
      <c r="Z189" t="s">
        <v>3938</v>
      </c>
      <c r="AA189" t="s">
        <v>3939</v>
      </c>
      <c r="AB189" t="s">
        <v>3940</v>
      </c>
      <c r="AC189" t="s">
        <v>3941</v>
      </c>
      <c r="AD189" t="s">
        <v>3942</v>
      </c>
      <c r="AE189" t="s">
        <v>3943</v>
      </c>
      <c r="AF189" t="s">
        <v>74</v>
      </c>
      <c r="AG189">
        <v>30</v>
      </c>
      <c r="AH189">
        <v>0</v>
      </c>
      <c r="AI189">
        <v>0</v>
      </c>
      <c r="AJ189">
        <v>18</v>
      </c>
      <c r="AK189">
        <v>18</v>
      </c>
      <c r="AL189" t="s">
        <v>116</v>
      </c>
      <c r="AM189" t="s">
        <v>117</v>
      </c>
      <c r="AN189" t="s">
        <v>118</v>
      </c>
      <c r="AO189" t="s">
        <v>74</v>
      </c>
      <c r="AP189" t="s">
        <v>142</v>
      </c>
      <c r="AQ189" t="s">
        <v>74</v>
      </c>
      <c r="AR189" t="s">
        <v>143</v>
      </c>
      <c r="AS189" t="s">
        <v>144</v>
      </c>
      <c r="AT189" t="s">
        <v>3944</v>
      </c>
      <c r="AU189">
        <v>2023</v>
      </c>
      <c r="AV189">
        <v>15</v>
      </c>
      <c r="AW189">
        <v>10</v>
      </c>
      <c r="AX189" t="s">
        <v>74</v>
      </c>
      <c r="AY189" t="s">
        <v>74</v>
      </c>
      <c r="AZ189" t="s">
        <v>74</v>
      </c>
      <c r="BA189" t="s">
        <v>74</v>
      </c>
      <c r="BB189" t="s">
        <v>74</v>
      </c>
      <c r="BC189" t="s">
        <v>74</v>
      </c>
      <c r="BD189">
        <v>8074</v>
      </c>
      <c r="BE189" t="s">
        <v>3945</v>
      </c>
      <c r="BF189" t="str">
        <f>HYPERLINK("http://dx.doi.org/10.3390/su15108074","http://dx.doi.org/10.3390/su15108074")</f>
        <v>http://dx.doi.org/10.3390/su15108074</v>
      </c>
      <c r="BG189" t="s">
        <v>74</v>
      </c>
      <c r="BH189" t="s">
        <v>74</v>
      </c>
      <c r="BI189">
        <v>17</v>
      </c>
      <c r="BJ189" t="s">
        <v>146</v>
      </c>
      <c r="BK189" t="s">
        <v>147</v>
      </c>
      <c r="BL189" t="s">
        <v>148</v>
      </c>
      <c r="BM189" t="s">
        <v>3946</v>
      </c>
      <c r="BN189" t="s">
        <v>74</v>
      </c>
      <c r="BO189" t="s">
        <v>126</v>
      </c>
      <c r="BP189" t="s">
        <v>74</v>
      </c>
      <c r="BQ189" t="s">
        <v>74</v>
      </c>
      <c r="BR189" t="s">
        <v>102</v>
      </c>
      <c r="BS189" t="s">
        <v>3947</v>
      </c>
      <c r="BT189" t="str">
        <f>HYPERLINK("https%3A%2F%2Fwww.webofscience.com%2Fwos%2Fwoscc%2Ffull-record%2FWOS:000997334200001","View Full Record in Web of Science")</f>
        <v>View Full Record in Web of Science</v>
      </c>
    </row>
    <row r="190" spans="1:72" x14ac:dyDescent="0.2">
      <c r="A190" t="s">
        <v>72</v>
      </c>
      <c r="B190" t="s">
        <v>3948</v>
      </c>
      <c r="C190" t="s">
        <v>74</v>
      </c>
      <c r="D190" t="s">
        <v>74</v>
      </c>
      <c r="E190" t="s">
        <v>74</v>
      </c>
      <c r="F190" t="s">
        <v>3949</v>
      </c>
      <c r="G190" t="s">
        <v>74</v>
      </c>
      <c r="H190" t="s">
        <v>74</v>
      </c>
      <c r="I190" t="s">
        <v>3950</v>
      </c>
      <c r="J190" t="s">
        <v>3951</v>
      </c>
      <c r="K190" t="s">
        <v>74</v>
      </c>
      <c r="L190" t="s">
        <v>74</v>
      </c>
      <c r="M190" t="s">
        <v>78</v>
      </c>
      <c r="N190" t="s">
        <v>108</v>
      </c>
      <c r="O190" t="s">
        <v>74</v>
      </c>
      <c r="P190" t="s">
        <v>74</v>
      </c>
      <c r="Q190" t="s">
        <v>74</v>
      </c>
      <c r="R190" t="s">
        <v>74</v>
      </c>
      <c r="S190" t="s">
        <v>74</v>
      </c>
      <c r="T190" t="s">
        <v>74</v>
      </c>
      <c r="U190" t="s">
        <v>3952</v>
      </c>
      <c r="V190" t="s">
        <v>3953</v>
      </c>
      <c r="W190" t="s">
        <v>3954</v>
      </c>
      <c r="X190" t="s">
        <v>3955</v>
      </c>
      <c r="Y190" t="s">
        <v>3956</v>
      </c>
      <c r="Z190" t="s">
        <v>3957</v>
      </c>
      <c r="AA190" t="s">
        <v>3958</v>
      </c>
      <c r="AB190" t="s">
        <v>3959</v>
      </c>
      <c r="AC190" t="s">
        <v>3960</v>
      </c>
      <c r="AD190" t="s">
        <v>3961</v>
      </c>
      <c r="AE190" t="s">
        <v>3962</v>
      </c>
      <c r="AF190" t="s">
        <v>74</v>
      </c>
      <c r="AG190">
        <v>23</v>
      </c>
      <c r="AH190">
        <v>3</v>
      </c>
      <c r="AI190">
        <v>3</v>
      </c>
      <c r="AJ190">
        <v>4</v>
      </c>
      <c r="AK190">
        <v>42</v>
      </c>
      <c r="AL190" t="s">
        <v>3963</v>
      </c>
      <c r="AM190" t="s">
        <v>90</v>
      </c>
      <c r="AN190" t="s">
        <v>3964</v>
      </c>
      <c r="AO190" t="s">
        <v>3965</v>
      </c>
      <c r="AP190" t="s">
        <v>3966</v>
      </c>
      <c r="AQ190" t="s">
        <v>74</v>
      </c>
      <c r="AR190" t="s">
        <v>3967</v>
      </c>
      <c r="AS190" t="s">
        <v>3968</v>
      </c>
      <c r="AT190" t="s">
        <v>74</v>
      </c>
      <c r="AU190">
        <v>2015</v>
      </c>
      <c r="AV190">
        <v>2015</v>
      </c>
      <c r="AW190" t="s">
        <v>74</v>
      </c>
      <c r="AX190" t="s">
        <v>74</v>
      </c>
      <c r="AY190" t="s">
        <v>74</v>
      </c>
      <c r="AZ190" t="s">
        <v>74</v>
      </c>
      <c r="BA190" t="s">
        <v>74</v>
      </c>
      <c r="BB190" t="s">
        <v>74</v>
      </c>
      <c r="BC190" t="s">
        <v>74</v>
      </c>
      <c r="BD190">
        <v>707459</v>
      </c>
      <c r="BE190" t="s">
        <v>3969</v>
      </c>
      <c r="BF190" t="str">
        <f>HYPERLINK("http://dx.doi.org/10.1155/2015/707459","http://dx.doi.org/10.1155/2015/707459")</f>
        <v>http://dx.doi.org/10.1155/2015/707459</v>
      </c>
      <c r="BG190" t="s">
        <v>74</v>
      </c>
      <c r="BH190" t="s">
        <v>74</v>
      </c>
      <c r="BI190">
        <v>10</v>
      </c>
      <c r="BJ190" t="s">
        <v>3970</v>
      </c>
      <c r="BK190" t="s">
        <v>98</v>
      </c>
      <c r="BL190" t="s">
        <v>3971</v>
      </c>
      <c r="BM190" t="s">
        <v>3972</v>
      </c>
      <c r="BN190" t="s">
        <v>74</v>
      </c>
      <c r="BO190" t="s">
        <v>306</v>
      </c>
      <c r="BP190" t="s">
        <v>74</v>
      </c>
      <c r="BQ190" t="s">
        <v>74</v>
      </c>
      <c r="BR190" t="s">
        <v>102</v>
      </c>
      <c r="BS190" t="s">
        <v>3973</v>
      </c>
      <c r="BT190" t="str">
        <f>HYPERLINK("https%3A%2F%2Fwww.webofscience.com%2Fwos%2Fwoscc%2Ffull-record%2FWOS:000364054300001","View Full Record in Web of Science")</f>
        <v>View Full Record in Web of Science</v>
      </c>
    </row>
    <row r="191" spans="1:72" x14ac:dyDescent="0.2">
      <c r="A191" t="s">
        <v>72</v>
      </c>
      <c r="B191" t="s">
        <v>3974</v>
      </c>
      <c r="C191" t="s">
        <v>74</v>
      </c>
      <c r="D191" t="s">
        <v>74</v>
      </c>
      <c r="E191" t="s">
        <v>74</v>
      </c>
      <c r="F191" t="s">
        <v>3975</v>
      </c>
      <c r="G191" t="s">
        <v>74</v>
      </c>
      <c r="H191" t="s">
        <v>74</v>
      </c>
      <c r="I191" t="s">
        <v>3976</v>
      </c>
      <c r="J191" t="s">
        <v>873</v>
      </c>
      <c r="K191" t="s">
        <v>74</v>
      </c>
      <c r="L191" t="s">
        <v>74</v>
      </c>
      <c r="M191" t="s">
        <v>78</v>
      </c>
      <c r="N191" t="s">
        <v>108</v>
      </c>
      <c r="O191" t="s">
        <v>74</v>
      </c>
      <c r="P191" t="s">
        <v>74</v>
      </c>
      <c r="Q191" t="s">
        <v>74</v>
      </c>
      <c r="R191" t="s">
        <v>74</v>
      </c>
      <c r="S191" t="s">
        <v>74</v>
      </c>
      <c r="T191" t="s">
        <v>3977</v>
      </c>
      <c r="U191" t="s">
        <v>3978</v>
      </c>
      <c r="V191" t="s">
        <v>3979</v>
      </c>
      <c r="W191" t="s">
        <v>3980</v>
      </c>
      <c r="X191" t="s">
        <v>3981</v>
      </c>
      <c r="Y191" t="s">
        <v>3982</v>
      </c>
      <c r="Z191" t="s">
        <v>3983</v>
      </c>
      <c r="AA191" t="s">
        <v>3984</v>
      </c>
      <c r="AB191" t="s">
        <v>3985</v>
      </c>
      <c r="AC191" t="s">
        <v>74</v>
      </c>
      <c r="AD191" t="s">
        <v>74</v>
      </c>
      <c r="AE191" t="s">
        <v>74</v>
      </c>
      <c r="AF191" t="s">
        <v>74</v>
      </c>
      <c r="AG191">
        <v>33</v>
      </c>
      <c r="AH191">
        <v>8</v>
      </c>
      <c r="AI191">
        <v>9</v>
      </c>
      <c r="AJ191">
        <v>3</v>
      </c>
      <c r="AK191">
        <v>51</v>
      </c>
      <c r="AL191" t="s">
        <v>209</v>
      </c>
      <c r="AM191" t="s">
        <v>210</v>
      </c>
      <c r="AN191" t="s">
        <v>211</v>
      </c>
      <c r="AO191" t="s">
        <v>883</v>
      </c>
      <c r="AP191" t="s">
        <v>884</v>
      </c>
      <c r="AQ191" t="s">
        <v>74</v>
      </c>
      <c r="AR191" t="s">
        <v>885</v>
      </c>
      <c r="AS191" t="s">
        <v>886</v>
      </c>
      <c r="AT191" t="s">
        <v>372</v>
      </c>
      <c r="AU191">
        <v>2014</v>
      </c>
      <c r="AV191">
        <v>147</v>
      </c>
      <c r="AW191" t="s">
        <v>74</v>
      </c>
      <c r="AX191" t="s">
        <v>2438</v>
      </c>
      <c r="AY191" t="s">
        <v>74</v>
      </c>
      <c r="AZ191" t="s">
        <v>570</v>
      </c>
      <c r="BA191" t="s">
        <v>74</v>
      </c>
      <c r="BB191">
        <v>486</v>
      </c>
      <c r="BC191">
        <v>497</v>
      </c>
      <c r="BD191" t="s">
        <v>74</v>
      </c>
      <c r="BE191" t="s">
        <v>3986</v>
      </c>
      <c r="BF191" t="str">
        <f>HYPERLINK("http://dx.doi.org/10.1016/j.ijpe.2013.06.029","http://dx.doi.org/10.1016/j.ijpe.2013.06.029")</f>
        <v>http://dx.doi.org/10.1016/j.ijpe.2013.06.029</v>
      </c>
      <c r="BG191" t="s">
        <v>74</v>
      </c>
      <c r="BH191" t="s">
        <v>74</v>
      </c>
      <c r="BI191">
        <v>12</v>
      </c>
      <c r="BJ191" t="s">
        <v>780</v>
      </c>
      <c r="BK191" t="s">
        <v>147</v>
      </c>
      <c r="BL191" t="s">
        <v>781</v>
      </c>
      <c r="BM191" t="s">
        <v>3987</v>
      </c>
      <c r="BN191" t="s">
        <v>74</v>
      </c>
      <c r="BO191" t="s">
        <v>74</v>
      </c>
      <c r="BP191" t="s">
        <v>74</v>
      </c>
      <c r="BQ191" t="s">
        <v>74</v>
      </c>
      <c r="BR191" t="s">
        <v>102</v>
      </c>
      <c r="BS191" t="s">
        <v>3988</v>
      </c>
      <c r="BT191" t="str">
        <f>HYPERLINK("https%3A%2F%2Fwww.webofscience.com%2Fwos%2Fwoscc%2Ffull-record%2FWOS:000329880300027","View Full Record in Web of Science")</f>
        <v>View Full Record in Web of Science</v>
      </c>
    </row>
    <row r="192" spans="1:72" x14ac:dyDescent="0.2">
      <c r="A192" t="s">
        <v>72</v>
      </c>
      <c r="B192" t="s">
        <v>3989</v>
      </c>
      <c r="C192" t="s">
        <v>74</v>
      </c>
      <c r="D192" t="s">
        <v>74</v>
      </c>
      <c r="E192" t="s">
        <v>74</v>
      </c>
      <c r="F192" t="s">
        <v>3990</v>
      </c>
      <c r="G192" t="s">
        <v>74</v>
      </c>
      <c r="H192" t="s">
        <v>74</v>
      </c>
      <c r="I192" t="s">
        <v>3991</v>
      </c>
      <c r="J192" t="s">
        <v>3992</v>
      </c>
      <c r="K192" t="s">
        <v>74</v>
      </c>
      <c r="L192" t="s">
        <v>74</v>
      </c>
      <c r="M192" t="s">
        <v>78</v>
      </c>
      <c r="N192" t="s">
        <v>108</v>
      </c>
      <c r="O192" t="s">
        <v>74</v>
      </c>
      <c r="P192" t="s">
        <v>74</v>
      </c>
      <c r="Q192" t="s">
        <v>74</v>
      </c>
      <c r="R192" t="s">
        <v>74</v>
      </c>
      <c r="S192" t="s">
        <v>74</v>
      </c>
      <c r="T192" t="s">
        <v>3993</v>
      </c>
      <c r="U192" t="s">
        <v>3994</v>
      </c>
      <c r="V192" t="s">
        <v>3995</v>
      </c>
      <c r="W192" t="s">
        <v>3996</v>
      </c>
      <c r="X192" t="s">
        <v>3997</v>
      </c>
      <c r="Y192" t="s">
        <v>3998</v>
      </c>
      <c r="Z192" t="s">
        <v>3999</v>
      </c>
      <c r="AA192" t="s">
        <v>4000</v>
      </c>
      <c r="AB192" t="s">
        <v>4001</v>
      </c>
      <c r="AC192" t="s">
        <v>4002</v>
      </c>
      <c r="AD192" t="s">
        <v>4003</v>
      </c>
      <c r="AE192" t="s">
        <v>4004</v>
      </c>
      <c r="AF192" t="s">
        <v>74</v>
      </c>
      <c r="AG192">
        <v>61</v>
      </c>
      <c r="AH192">
        <v>21</v>
      </c>
      <c r="AI192">
        <v>21</v>
      </c>
      <c r="AJ192">
        <v>3</v>
      </c>
      <c r="AK192">
        <v>34</v>
      </c>
      <c r="AL192" t="s">
        <v>4005</v>
      </c>
      <c r="AM192" t="s">
        <v>4006</v>
      </c>
      <c r="AN192" t="s">
        <v>4007</v>
      </c>
      <c r="AO192" t="s">
        <v>4008</v>
      </c>
      <c r="AP192" t="s">
        <v>4009</v>
      </c>
      <c r="AQ192" t="s">
        <v>74</v>
      </c>
      <c r="AR192" t="s">
        <v>4010</v>
      </c>
      <c r="AS192" t="s">
        <v>4011</v>
      </c>
      <c r="AT192" t="s">
        <v>394</v>
      </c>
      <c r="AU192">
        <v>2021</v>
      </c>
      <c r="AV192">
        <v>11</v>
      </c>
      <c r="AW192">
        <v>5</v>
      </c>
      <c r="AX192" t="s">
        <v>74</v>
      </c>
      <c r="AY192" t="s">
        <v>74</v>
      </c>
      <c r="AZ192" t="s">
        <v>74</v>
      </c>
      <c r="BA192" t="s">
        <v>74</v>
      </c>
      <c r="BB192">
        <v>1083</v>
      </c>
      <c r="BC192">
        <v>1091</v>
      </c>
      <c r="BD192" t="s">
        <v>74</v>
      </c>
      <c r="BE192" t="s">
        <v>4012</v>
      </c>
      <c r="BF192" t="str">
        <f>HYPERLINK("http://dx.doi.org/10.1007/s12553-021-00565-3","http://dx.doi.org/10.1007/s12553-021-00565-3")</f>
        <v>http://dx.doi.org/10.1007/s12553-021-00565-3</v>
      </c>
      <c r="BG192" t="s">
        <v>74</v>
      </c>
      <c r="BH192" t="s">
        <v>4013</v>
      </c>
      <c r="BI192">
        <v>9</v>
      </c>
      <c r="BJ192" t="s">
        <v>4014</v>
      </c>
      <c r="BK192" t="s">
        <v>124</v>
      </c>
      <c r="BL192" t="s">
        <v>4014</v>
      </c>
      <c r="BM192" t="s">
        <v>4015</v>
      </c>
      <c r="BN192">
        <v>34123697</v>
      </c>
      <c r="BO192" t="s">
        <v>4016</v>
      </c>
      <c r="BP192" t="s">
        <v>74</v>
      </c>
      <c r="BQ192" t="s">
        <v>74</v>
      </c>
      <c r="BR192" t="s">
        <v>102</v>
      </c>
      <c r="BS192" t="s">
        <v>4017</v>
      </c>
      <c r="BT192" t="str">
        <f>HYPERLINK("https%3A%2F%2Fwww.webofscience.com%2Fwos%2Fwoscc%2Ffull-record%2FWOS:000658236300001","View Full Record in Web of Science")</f>
        <v>View Full Record in Web of Science</v>
      </c>
    </row>
    <row r="193" spans="1:72" x14ac:dyDescent="0.2">
      <c r="A193" t="s">
        <v>72</v>
      </c>
      <c r="B193" t="s">
        <v>4018</v>
      </c>
      <c r="C193" t="s">
        <v>74</v>
      </c>
      <c r="D193" t="s">
        <v>74</v>
      </c>
      <c r="E193" t="s">
        <v>74</v>
      </c>
      <c r="F193" t="s">
        <v>4019</v>
      </c>
      <c r="G193" t="s">
        <v>74</v>
      </c>
      <c r="H193" t="s">
        <v>74</v>
      </c>
      <c r="I193" t="s">
        <v>4020</v>
      </c>
      <c r="J193" t="s">
        <v>4021</v>
      </c>
      <c r="K193" t="s">
        <v>74</v>
      </c>
      <c r="L193" t="s">
        <v>74</v>
      </c>
      <c r="M193" t="s">
        <v>78</v>
      </c>
      <c r="N193" t="s">
        <v>108</v>
      </c>
      <c r="O193" t="s">
        <v>74</v>
      </c>
      <c r="P193" t="s">
        <v>74</v>
      </c>
      <c r="Q193" t="s">
        <v>74</v>
      </c>
      <c r="R193" t="s">
        <v>74</v>
      </c>
      <c r="S193" t="s">
        <v>74</v>
      </c>
      <c r="T193" t="s">
        <v>4022</v>
      </c>
      <c r="U193" t="s">
        <v>74</v>
      </c>
      <c r="V193" t="s">
        <v>4023</v>
      </c>
      <c r="W193" t="s">
        <v>4024</v>
      </c>
      <c r="X193" t="s">
        <v>4025</v>
      </c>
      <c r="Y193" t="s">
        <v>4026</v>
      </c>
      <c r="Z193" t="s">
        <v>4027</v>
      </c>
      <c r="AA193" t="s">
        <v>4028</v>
      </c>
      <c r="AB193" t="s">
        <v>4029</v>
      </c>
      <c r="AC193" t="s">
        <v>4030</v>
      </c>
      <c r="AD193" t="s">
        <v>4031</v>
      </c>
      <c r="AE193" t="s">
        <v>4032</v>
      </c>
      <c r="AF193" t="s">
        <v>74</v>
      </c>
      <c r="AG193">
        <v>29</v>
      </c>
      <c r="AH193">
        <v>3</v>
      </c>
      <c r="AI193">
        <v>3</v>
      </c>
      <c r="AJ193">
        <v>3</v>
      </c>
      <c r="AK193">
        <v>39</v>
      </c>
      <c r="AL193" t="s">
        <v>4033</v>
      </c>
      <c r="AM193" t="s">
        <v>4034</v>
      </c>
      <c r="AN193" t="s">
        <v>4035</v>
      </c>
      <c r="AO193" t="s">
        <v>4036</v>
      </c>
      <c r="AP193" t="s">
        <v>74</v>
      </c>
      <c r="AQ193" t="s">
        <v>74</v>
      </c>
      <c r="AR193" t="s">
        <v>4037</v>
      </c>
      <c r="AS193" t="s">
        <v>4038</v>
      </c>
      <c r="AT193" t="s">
        <v>846</v>
      </c>
      <c r="AU193">
        <v>2020</v>
      </c>
      <c r="AV193">
        <v>35</v>
      </c>
      <c r="AW193">
        <v>3</v>
      </c>
      <c r="AX193" t="s">
        <v>74</v>
      </c>
      <c r="AY193" t="s">
        <v>74</v>
      </c>
      <c r="AZ193" t="s">
        <v>74</v>
      </c>
      <c r="BA193" t="s">
        <v>74</v>
      </c>
      <c r="BB193">
        <v>151</v>
      </c>
      <c r="BC193">
        <v>172</v>
      </c>
      <c r="BD193" t="s">
        <v>74</v>
      </c>
      <c r="BE193" t="s">
        <v>74</v>
      </c>
      <c r="BF193" t="s">
        <v>74</v>
      </c>
      <c r="BG193" t="s">
        <v>74</v>
      </c>
      <c r="BH193" t="s">
        <v>74</v>
      </c>
      <c r="BI193">
        <v>22</v>
      </c>
      <c r="BJ193" t="s">
        <v>4039</v>
      </c>
      <c r="BK193" t="s">
        <v>98</v>
      </c>
      <c r="BL193" t="s">
        <v>99</v>
      </c>
      <c r="BM193" t="s">
        <v>4040</v>
      </c>
      <c r="BN193" t="s">
        <v>74</v>
      </c>
      <c r="BO193" t="s">
        <v>74</v>
      </c>
      <c r="BP193" t="s">
        <v>74</v>
      </c>
      <c r="BQ193" t="s">
        <v>74</v>
      </c>
      <c r="BR193" t="s">
        <v>102</v>
      </c>
      <c r="BS193" t="s">
        <v>4041</v>
      </c>
      <c r="BT193" t="str">
        <f>HYPERLINK("https%3A%2F%2Fwww.webofscience.com%2Fwos%2Fwoscc%2Ffull-record%2FWOS:000543516900003","View Full Record in Web of Science")</f>
        <v>View Full Record in Web of Science</v>
      </c>
    </row>
    <row r="194" spans="1:72" x14ac:dyDescent="0.2">
      <c r="A194" t="s">
        <v>72</v>
      </c>
      <c r="B194" t="s">
        <v>4042</v>
      </c>
      <c r="C194" t="s">
        <v>74</v>
      </c>
      <c r="D194" t="s">
        <v>74</v>
      </c>
      <c r="E194" t="s">
        <v>74</v>
      </c>
      <c r="F194" t="s">
        <v>4043</v>
      </c>
      <c r="G194" t="s">
        <v>74</v>
      </c>
      <c r="H194" t="s">
        <v>74</v>
      </c>
      <c r="I194" t="s">
        <v>4044</v>
      </c>
      <c r="J194" t="s">
        <v>4045</v>
      </c>
      <c r="K194" t="s">
        <v>74</v>
      </c>
      <c r="L194" t="s">
        <v>74</v>
      </c>
      <c r="M194" t="s">
        <v>78</v>
      </c>
      <c r="N194" t="s">
        <v>79</v>
      </c>
      <c r="O194" t="s">
        <v>74</v>
      </c>
      <c r="P194" t="s">
        <v>74</v>
      </c>
      <c r="Q194" t="s">
        <v>74</v>
      </c>
      <c r="R194" t="s">
        <v>74</v>
      </c>
      <c r="S194" t="s">
        <v>74</v>
      </c>
      <c r="T194" t="s">
        <v>4046</v>
      </c>
      <c r="U194" t="s">
        <v>4047</v>
      </c>
      <c r="V194" t="s">
        <v>4048</v>
      </c>
      <c r="W194" t="s">
        <v>4049</v>
      </c>
      <c r="X194" t="s">
        <v>4050</v>
      </c>
      <c r="Y194" t="s">
        <v>4051</v>
      </c>
      <c r="Z194" t="s">
        <v>4052</v>
      </c>
      <c r="AA194" t="s">
        <v>4053</v>
      </c>
      <c r="AB194" t="s">
        <v>4054</v>
      </c>
      <c r="AC194" t="s">
        <v>74</v>
      </c>
      <c r="AD194" t="s">
        <v>74</v>
      </c>
      <c r="AE194" t="s">
        <v>74</v>
      </c>
      <c r="AF194" t="s">
        <v>74</v>
      </c>
      <c r="AG194">
        <v>183</v>
      </c>
      <c r="AH194">
        <v>4</v>
      </c>
      <c r="AI194">
        <v>4</v>
      </c>
      <c r="AJ194">
        <v>14</v>
      </c>
      <c r="AK194">
        <v>100</v>
      </c>
      <c r="AL194" t="s">
        <v>409</v>
      </c>
      <c r="AM194" t="s">
        <v>410</v>
      </c>
      <c r="AN194" t="s">
        <v>411</v>
      </c>
      <c r="AO194" t="s">
        <v>4055</v>
      </c>
      <c r="AP194" t="s">
        <v>4056</v>
      </c>
      <c r="AQ194" t="s">
        <v>74</v>
      </c>
      <c r="AR194" t="s">
        <v>4057</v>
      </c>
      <c r="AS194" t="s">
        <v>4058</v>
      </c>
      <c r="AT194" t="s">
        <v>174</v>
      </c>
      <c r="AU194">
        <v>2022</v>
      </c>
      <c r="AV194">
        <v>30</v>
      </c>
      <c r="AW194">
        <v>5</v>
      </c>
      <c r="AX194" t="s">
        <v>74</v>
      </c>
      <c r="AY194" t="s">
        <v>74</v>
      </c>
      <c r="AZ194" t="s">
        <v>74</v>
      </c>
      <c r="BA194" t="s">
        <v>74</v>
      </c>
      <c r="BB194">
        <v>1343</v>
      </c>
      <c r="BC194">
        <v>1369</v>
      </c>
      <c r="BD194" t="s">
        <v>74</v>
      </c>
      <c r="BE194" t="s">
        <v>4059</v>
      </c>
      <c r="BF194" t="str">
        <f>HYPERLINK("http://dx.doi.org/10.1002/sd.2272","http://dx.doi.org/10.1002/sd.2272")</f>
        <v>http://dx.doi.org/10.1002/sd.2272</v>
      </c>
      <c r="BG194" t="s">
        <v>74</v>
      </c>
      <c r="BH194" t="s">
        <v>4060</v>
      </c>
      <c r="BI194">
        <v>27</v>
      </c>
      <c r="BJ194" t="s">
        <v>4061</v>
      </c>
      <c r="BK194" t="s">
        <v>242</v>
      </c>
      <c r="BL194" t="s">
        <v>4062</v>
      </c>
      <c r="BM194" t="s">
        <v>4063</v>
      </c>
      <c r="BN194" t="s">
        <v>74</v>
      </c>
      <c r="BO194" t="s">
        <v>74</v>
      </c>
      <c r="BP194" t="s">
        <v>74</v>
      </c>
      <c r="BQ194" t="s">
        <v>74</v>
      </c>
      <c r="BR194" t="s">
        <v>102</v>
      </c>
      <c r="BS194" t="s">
        <v>4064</v>
      </c>
      <c r="BT194" t="str">
        <f>HYPERLINK("https%3A%2F%2Fwww.webofscience.com%2Fwos%2Fwoscc%2Ffull-record%2FWOS:000728695000001","View Full Record in Web of Science")</f>
        <v>View Full Record in Web of Science</v>
      </c>
    </row>
    <row r="195" spans="1:72" x14ac:dyDescent="0.2">
      <c r="A195" t="s">
        <v>72</v>
      </c>
      <c r="B195" t="s">
        <v>4065</v>
      </c>
      <c r="C195" t="s">
        <v>74</v>
      </c>
      <c r="D195" t="s">
        <v>74</v>
      </c>
      <c r="E195" t="s">
        <v>74</v>
      </c>
      <c r="F195" t="s">
        <v>4066</v>
      </c>
      <c r="G195" t="s">
        <v>74</v>
      </c>
      <c r="H195" t="s">
        <v>74</v>
      </c>
      <c r="I195" t="s">
        <v>4067</v>
      </c>
      <c r="J195" t="s">
        <v>2042</v>
      </c>
      <c r="K195" t="s">
        <v>74</v>
      </c>
      <c r="L195" t="s">
        <v>74</v>
      </c>
      <c r="M195" t="s">
        <v>78</v>
      </c>
      <c r="N195" t="s">
        <v>108</v>
      </c>
      <c r="O195" t="s">
        <v>74</v>
      </c>
      <c r="P195" t="s">
        <v>74</v>
      </c>
      <c r="Q195" t="s">
        <v>74</v>
      </c>
      <c r="R195" t="s">
        <v>74</v>
      </c>
      <c r="S195" t="s">
        <v>74</v>
      </c>
      <c r="T195" t="s">
        <v>4068</v>
      </c>
      <c r="U195" t="s">
        <v>4069</v>
      </c>
      <c r="V195" t="s">
        <v>4070</v>
      </c>
      <c r="W195" t="s">
        <v>4071</v>
      </c>
      <c r="X195" t="s">
        <v>4072</v>
      </c>
      <c r="Y195" t="s">
        <v>4073</v>
      </c>
      <c r="Z195" t="s">
        <v>4074</v>
      </c>
      <c r="AA195" t="s">
        <v>4075</v>
      </c>
      <c r="AB195" t="s">
        <v>4076</v>
      </c>
      <c r="AC195" t="s">
        <v>4077</v>
      </c>
      <c r="AD195" t="s">
        <v>4078</v>
      </c>
      <c r="AE195" t="s">
        <v>4079</v>
      </c>
      <c r="AF195" t="s">
        <v>74</v>
      </c>
      <c r="AG195">
        <v>23</v>
      </c>
      <c r="AH195">
        <v>23</v>
      </c>
      <c r="AI195">
        <v>23</v>
      </c>
      <c r="AJ195">
        <v>0</v>
      </c>
      <c r="AK195">
        <v>19</v>
      </c>
      <c r="AL195" t="s">
        <v>543</v>
      </c>
      <c r="AM195" t="s">
        <v>260</v>
      </c>
      <c r="AN195" t="s">
        <v>544</v>
      </c>
      <c r="AO195" t="s">
        <v>2054</v>
      </c>
      <c r="AP195" t="s">
        <v>2055</v>
      </c>
      <c r="AQ195" t="s">
        <v>74</v>
      </c>
      <c r="AR195" t="s">
        <v>2056</v>
      </c>
      <c r="AS195" t="s">
        <v>2057</v>
      </c>
      <c r="AT195" t="s">
        <v>121</v>
      </c>
      <c r="AU195">
        <v>2009</v>
      </c>
      <c r="AV195">
        <v>36</v>
      </c>
      <c r="AW195">
        <v>5</v>
      </c>
      <c r="AX195" t="s">
        <v>74</v>
      </c>
      <c r="AY195" t="s">
        <v>74</v>
      </c>
      <c r="AZ195" t="s">
        <v>74</v>
      </c>
      <c r="BA195" t="s">
        <v>74</v>
      </c>
      <c r="BB195">
        <v>9422</v>
      </c>
      <c r="BC195">
        <v>9437</v>
      </c>
      <c r="BD195" t="s">
        <v>74</v>
      </c>
      <c r="BE195" t="s">
        <v>4080</v>
      </c>
      <c r="BF195" t="str">
        <f>HYPERLINK("http://dx.doi.org/10.1016/j.eswa.2008.12.053","http://dx.doi.org/10.1016/j.eswa.2008.12.053")</f>
        <v>http://dx.doi.org/10.1016/j.eswa.2008.12.053</v>
      </c>
      <c r="BG195" t="s">
        <v>74</v>
      </c>
      <c r="BH195" t="s">
        <v>74</v>
      </c>
      <c r="BI195">
        <v>16</v>
      </c>
      <c r="BJ195" t="s">
        <v>2059</v>
      </c>
      <c r="BK195" t="s">
        <v>147</v>
      </c>
      <c r="BL195" t="s">
        <v>2060</v>
      </c>
      <c r="BM195" t="s">
        <v>4081</v>
      </c>
      <c r="BN195" t="s">
        <v>74</v>
      </c>
      <c r="BO195" t="s">
        <v>74</v>
      </c>
      <c r="BP195" t="s">
        <v>74</v>
      </c>
      <c r="BQ195" t="s">
        <v>74</v>
      </c>
      <c r="BR195" t="s">
        <v>102</v>
      </c>
      <c r="BS195" t="s">
        <v>4082</v>
      </c>
      <c r="BT195" t="str">
        <f>HYPERLINK("https%3A%2F%2Fwww.webofscience.com%2Fwos%2Fwoscc%2Ffull-record%2FWOS:000264782800076","View Full Record in Web of Science")</f>
        <v>View Full Record in Web of Science</v>
      </c>
    </row>
    <row r="196" spans="1:72" x14ac:dyDescent="0.2">
      <c r="A196" t="s">
        <v>72</v>
      </c>
      <c r="B196" t="s">
        <v>4083</v>
      </c>
      <c r="C196" t="s">
        <v>74</v>
      </c>
      <c r="D196" t="s">
        <v>74</v>
      </c>
      <c r="E196" t="s">
        <v>74</v>
      </c>
      <c r="F196" t="s">
        <v>4084</v>
      </c>
      <c r="G196" t="s">
        <v>74</v>
      </c>
      <c r="H196" t="s">
        <v>74</v>
      </c>
      <c r="I196" t="s">
        <v>4085</v>
      </c>
      <c r="J196" t="s">
        <v>4086</v>
      </c>
      <c r="K196" t="s">
        <v>74</v>
      </c>
      <c r="L196" t="s">
        <v>74</v>
      </c>
      <c r="M196" t="s">
        <v>78</v>
      </c>
      <c r="N196" t="s">
        <v>108</v>
      </c>
      <c r="O196" t="s">
        <v>74</v>
      </c>
      <c r="P196" t="s">
        <v>74</v>
      </c>
      <c r="Q196" t="s">
        <v>74</v>
      </c>
      <c r="R196" t="s">
        <v>74</v>
      </c>
      <c r="S196" t="s">
        <v>74</v>
      </c>
      <c r="T196" t="s">
        <v>4087</v>
      </c>
      <c r="U196" t="s">
        <v>4088</v>
      </c>
      <c r="V196" t="s">
        <v>4089</v>
      </c>
      <c r="W196" t="s">
        <v>4090</v>
      </c>
      <c r="X196" t="s">
        <v>4091</v>
      </c>
      <c r="Y196" t="s">
        <v>4092</v>
      </c>
      <c r="Z196" t="s">
        <v>4093</v>
      </c>
      <c r="AA196" t="s">
        <v>74</v>
      </c>
      <c r="AB196" t="s">
        <v>74</v>
      </c>
      <c r="AC196" t="s">
        <v>74</v>
      </c>
      <c r="AD196" t="s">
        <v>74</v>
      </c>
      <c r="AE196" t="s">
        <v>74</v>
      </c>
      <c r="AF196" t="s">
        <v>74</v>
      </c>
      <c r="AG196">
        <v>44</v>
      </c>
      <c r="AH196">
        <v>0</v>
      </c>
      <c r="AI196">
        <v>0</v>
      </c>
      <c r="AJ196">
        <v>1</v>
      </c>
      <c r="AK196">
        <v>5</v>
      </c>
      <c r="AL196" t="s">
        <v>4094</v>
      </c>
      <c r="AM196" t="s">
        <v>4095</v>
      </c>
      <c r="AN196" t="s">
        <v>4096</v>
      </c>
      <c r="AO196" t="s">
        <v>4097</v>
      </c>
      <c r="AP196" t="s">
        <v>74</v>
      </c>
      <c r="AQ196" t="s">
        <v>74</v>
      </c>
      <c r="AR196" t="s">
        <v>4098</v>
      </c>
      <c r="AS196" t="s">
        <v>4099</v>
      </c>
      <c r="AT196" t="s">
        <v>2693</v>
      </c>
      <c r="AU196">
        <v>2022</v>
      </c>
      <c r="AV196">
        <v>29</v>
      </c>
      <c r="AW196">
        <v>3</v>
      </c>
      <c r="AX196" t="s">
        <v>74</v>
      </c>
      <c r="AY196" t="s">
        <v>74</v>
      </c>
      <c r="AZ196" t="s">
        <v>74</v>
      </c>
      <c r="BA196" t="s">
        <v>74</v>
      </c>
      <c r="BB196">
        <v>1685</v>
      </c>
      <c r="BC196">
        <v>1704</v>
      </c>
      <c r="BD196" t="s">
        <v>74</v>
      </c>
      <c r="BE196" t="s">
        <v>4100</v>
      </c>
      <c r="BF196" t="str">
        <f>HYPERLINK("http://dx.doi.org/10.24200/sci.2020.53949.3506","http://dx.doi.org/10.24200/sci.2020.53949.3506")</f>
        <v>http://dx.doi.org/10.24200/sci.2020.53949.3506</v>
      </c>
      <c r="BG196" t="s">
        <v>74</v>
      </c>
      <c r="BH196" t="s">
        <v>74</v>
      </c>
      <c r="BI196">
        <v>20</v>
      </c>
      <c r="BJ196" t="s">
        <v>2462</v>
      </c>
      <c r="BK196" t="s">
        <v>98</v>
      </c>
      <c r="BL196" t="s">
        <v>1292</v>
      </c>
      <c r="BM196" t="s">
        <v>4101</v>
      </c>
      <c r="BN196" t="s">
        <v>74</v>
      </c>
      <c r="BO196" t="s">
        <v>126</v>
      </c>
      <c r="BP196" t="s">
        <v>74</v>
      </c>
      <c r="BQ196" t="s">
        <v>74</v>
      </c>
      <c r="BR196" t="s">
        <v>102</v>
      </c>
      <c r="BS196" t="s">
        <v>4102</v>
      </c>
      <c r="BT196" t="str">
        <f>HYPERLINK("https%3A%2F%2Fwww.webofscience.com%2Fwos%2Fwoscc%2Ffull-record%2FWOS:000817636300007","View Full Record in Web of Science")</f>
        <v>View Full Record in Web of Science</v>
      </c>
    </row>
    <row r="197" spans="1:72" x14ac:dyDescent="0.2">
      <c r="A197" t="s">
        <v>72</v>
      </c>
      <c r="B197" t="s">
        <v>4103</v>
      </c>
      <c r="C197" t="s">
        <v>74</v>
      </c>
      <c r="D197" t="s">
        <v>74</v>
      </c>
      <c r="E197" t="s">
        <v>74</v>
      </c>
      <c r="F197" t="s">
        <v>4104</v>
      </c>
      <c r="G197" t="s">
        <v>74</v>
      </c>
      <c r="H197" t="s">
        <v>74</v>
      </c>
      <c r="I197" t="s">
        <v>4105</v>
      </c>
      <c r="J197" t="s">
        <v>4106</v>
      </c>
      <c r="K197" t="s">
        <v>74</v>
      </c>
      <c r="L197" t="s">
        <v>74</v>
      </c>
      <c r="M197" t="s">
        <v>78</v>
      </c>
      <c r="N197" t="s">
        <v>108</v>
      </c>
      <c r="O197" t="s">
        <v>74</v>
      </c>
      <c r="P197" t="s">
        <v>74</v>
      </c>
      <c r="Q197" t="s">
        <v>74</v>
      </c>
      <c r="R197" t="s">
        <v>74</v>
      </c>
      <c r="S197" t="s">
        <v>74</v>
      </c>
      <c r="T197" t="s">
        <v>4107</v>
      </c>
      <c r="U197" t="s">
        <v>74</v>
      </c>
      <c r="V197" t="s">
        <v>4108</v>
      </c>
      <c r="W197" t="s">
        <v>4109</v>
      </c>
      <c r="X197" t="s">
        <v>4110</v>
      </c>
      <c r="Y197" t="s">
        <v>4111</v>
      </c>
      <c r="Z197" t="s">
        <v>4112</v>
      </c>
      <c r="AA197" t="s">
        <v>4113</v>
      </c>
      <c r="AB197" t="s">
        <v>4114</v>
      </c>
      <c r="AC197" t="s">
        <v>74</v>
      </c>
      <c r="AD197" t="s">
        <v>74</v>
      </c>
      <c r="AE197" t="s">
        <v>74</v>
      </c>
      <c r="AF197" t="s">
        <v>74</v>
      </c>
      <c r="AG197">
        <v>26</v>
      </c>
      <c r="AH197">
        <v>15</v>
      </c>
      <c r="AI197">
        <v>15</v>
      </c>
      <c r="AJ197">
        <v>0</v>
      </c>
      <c r="AK197">
        <v>27</v>
      </c>
      <c r="AL197" t="s">
        <v>321</v>
      </c>
      <c r="AM197" t="s">
        <v>322</v>
      </c>
      <c r="AN197" t="s">
        <v>323</v>
      </c>
      <c r="AO197" t="s">
        <v>4115</v>
      </c>
      <c r="AP197" t="s">
        <v>4116</v>
      </c>
      <c r="AQ197" t="s">
        <v>74</v>
      </c>
      <c r="AR197" t="s">
        <v>4117</v>
      </c>
      <c r="AS197" t="s">
        <v>4118</v>
      </c>
      <c r="AT197" t="s">
        <v>174</v>
      </c>
      <c r="AU197">
        <v>2012</v>
      </c>
      <c r="AV197">
        <v>23</v>
      </c>
      <c r="AW197">
        <v>5</v>
      </c>
      <c r="AX197" t="s">
        <v>74</v>
      </c>
      <c r="AY197" t="s">
        <v>74</v>
      </c>
      <c r="AZ197" t="s">
        <v>74</v>
      </c>
      <c r="BA197" t="s">
        <v>74</v>
      </c>
      <c r="BB197">
        <v>2037</v>
      </c>
      <c r="BC197">
        <v>2045</v>
      </c>
      <c r="BD197" t="s">
        <v>74</v>
      </c>
      <c r="BE197" t="s">
        <v>4119</v>
      </c>
      <c r="BF197" t="str">
        <f>HYPERLINK("http://dx.doi.org/10.1007/s10845-011-0530-8","http://dx.doi.org/10.1007/s10845-011-0530-8")</f>
        <v>http://dx.doi.org/10.1007/s10845-011-0530-8</v>
      </c>
      <c r="BG197" t="s">
        <v>74</v>
      </c>
      <c r="BH197" t="s">
        <v>74</v>
      </c>
      <c r="BI197">
        <v>9</v>
      </c>
      <c r="BJ197" t="s">
        <v>4120</v>
      </c>
      <c r="BK197" t="s">
        <v>98</v>
      </c>
      <c r="BL197" t="s">
        <v>269</v>
      </c>
      <c r="BM197" t="s">
        <v>4121</v>
      </c>
      <c r="BN197" t="s">
        <v>74</v>
      </c>
      <c r="BO197" t="s">
        <v>74</v>
      </c>
      <c r="BP197" t="s">
        <v>74</v>
      </c>
      <c r="BQ197" t="s">
        <v>74</v>
      </c>
      <c r="BR197" t="s">
        <v>102</v>
      </c>
      <c r="BS197" t="s">
        <v>4122</v>
      </c>
      <c r="BT197" t="str">
        <f>HYPERLINK("https%3A%2F%2Fwww.webofscience.com%2Fwos%2Fwoscc%2Ffull-record%2FWOS:000308820200043","View Full Record in Web of Science")</f>
        <v>View Full Record in Web of Science</v>
      </c>
    </row>
    <row r="198" spans="1:72" x14ac:dyDescent="0.2">
      <c r="A198" t="s">
        <v>72</v>
      </c>
      <c r="B198" t="s">
        <v>4123</v>
      </c>
      <c r="C198" t="s">
        <v>74</v>
      </c>
      <c r="D198" t="s">
        <v>74</v>
      </c>
      <c r="E198" t="s">
        <v>74</v>
      </c>
      <c r="F198" t="s">
        <v>4124</v>
      </c>
      <c r="G198" t="s">
        <v>74</v>
      </c>
      <c r="H198" t="s">
        <v>74</v>
      </c>
      <c r="I198" t="s">
        <v>4125</v>
      </c>
      <c r="J198" t="s">
        <v>4126</v>
      </c>
      <c r="K198" t="s">
        <v>74</v>
      </c>
      <c r="L198" t="s">
        <v>74</v>
      </c>
      <c r="M198" t="s">
        <v>78</v>
      </c>
      <c r="N198" t="s">
        <v>108</v>
      </c>
      <c r="O198" t="s">
        <v>74</v>
      </c>
      <c r="P198" t="s">
        <v>74</v>
      </c>
      <c r="Q198" t="s">
        <v>74</v>
      </c>
      <c r="R198" t="s">
        <v>74</v>
      </c>
      <c r="S198" t="s">
        <v>74</v>
      </c>
      <c r="T198" t="s">
        <v>4127</v>
      </c>
      <c r="U198" t="s">
        <v>4128</v>
      </c>
      <c r="V198" t="s">
        <v>4129</v>
      </c>
      <c r="W198" t="s">
        <v>4130</v>
      </c>
      <c r="X198" t="s">
        <v>4131</v>
      </c>
      <c r="Y198" t="s">
        <v>4132</v>
      </c>
      <c r="Z198" t="s">
        <v>4133</v>
      </c>
      <c r="AA198" t="s">
        <v>4134</v>
      </c>
      <c r="AB198" t="s">
        <v>4135</v>
      </c>
      <c r="AC198" t="s">
        <v>74</v>
      </c>
      <c r="AD198" t="s">
        <v>74</v>
      </c>
      <c r="AE198" t="s">
        <v>74</v>
      </c>
      <c r="AF198" t="s">
        <v>74</v>
      </c>
      <c r="AG198">
        <v>63</v>
      </c>
      <c r="AH198">
        <v>10</v>
      </c>
      <c r="AI198">
        <v>10</v>
      </c>
      <c r="AJ198">
        <v>2</v>
      </c>
      <c r="AK198">
        <v>13</v>
      </c>
      <c r="AL198" t="s">
        <v>437</v>
      </c>
      <c r="AM198" t="s">
        <v>438</v>
      </c>
      <c r="AN198" t="s">
        <v>439</v>
      </c>
      <c r="AO198" t="s">
        <v>4136</v>
      </c>
      <c r="AP198" t="s">
        <v>4137</v>
      </c>
      <c r="AQ198" t="s">
        <v>74</v>
      </c>
      <c r="AR198" t="s">
        <v>4138</v>
      </c>
      <c r="AS198" t="s">
        <v>4139</v>
      </c>
      <c r="AT198" t="s">
        <v>4140</v>
      </c>
      <c r="AU198">
        <v>2020</v>
      </c>
      <c r="AV198">
        <v>33</v>
      </c>
      <c r="AW198">
        <v>5</v>
      </c>
      <c r="AX198" t="s">
        <v>74</v>
      </c>
      <c r="AY198" t="s">
        <v>74</v>
      </c>
      <c r="AZ198" t="s">
        <v>570</v>
      </c>
      <c r="BA198" t="s">
        <v>74</v>
      </c>
      <c r="BB198">
        <v>1059</v>
      </c>
      <c r="BC198">
        <v>1076</v>
      </c>
      <c r="BD198" t="s">
        <v>74</v>
      </c>
      <c r="BE198" t="s">
        <v>4141</v>
      </c>
      <c r="BF198" t="str">
        <f>HYPERLINK("http://dx.doi.org/10.1108/JEIM-09-2019-0289","http://dx.doi.org/10.1108/JEIM-09-2019-0289")</f>
        <v>http://dx.doi.org/10.1108/JEIM-09-2019-0289</v>
      </c>
      <c r="BG198" t="s">
        <v>74</v>
      </c>
      <c r="BH198" t="s">
        <v>1215</v>
      </c>
      <c r="BI198">
        <v>18</v>
      </c>
      <c r="BJ198" t="s">
        <v>4142</v>
      </c>
      <c r="BK198" t="s">
        <v>242</v>
      </c>
      <c r="BL198" t="s">
        <v>4143</v>
      </c>
      <c r="BM198" t="s">
        <v>4144</v>
      </c>
      <c r="BN198" t="s">
        <v>74</v>
      </c>
      <c r="BO198" t="s">
        <v>74</v>
      </c>
      <c r="BP198" t="s">
        <v>74</v>
      </c>
      <c r="BQ198" t="s">
        <v>74</v>
      </c>
      <c r="BR198" t="s">
        <v>102</v>
      </c>
      <c r="BS198" t="s">
        <v>4145</v>
      </c>
      <c r="BT198" t="str">
        <f>HYPERLINK("https%3A%2F%2Fwww.webofscience.com%2Fwos%2Fwoscc%2Ffull-record%2FWOS:000547981600001","View Full Record in Web of Science")</f>
        <v>View Full Record in Web of Science</v>
      </c>
    </row>
    <row r="199" spans="1:72" x14ac:dyDescent="0.2">
      <c r="A199" t="s">
        <v>72</v>
      </c>
      <c r="B199" t="s">
        <v>4146</v>
      </c>
      <c r="C199" t="s">
        <v>74</v>
      </c>
      <c r="D199" t="s">
        <v>74</v>
      </c>
      <c r="E199" t="s">
        <v>74</v>
      </c>
      <c r="F199" t="s">
        <v>4147</v>
      </c>
      <c r="G199" t="s">
        <v>74</v>
      </c>
      <c r="H199" t="s">
        <v>74</v>
      </c>
      <c r="I199" t="s">
        <v>4148</v>
      </c>
      <c r="J199" t="s">
        <v>4149</v>
      </c>
      <c r="K199" t="s">
        <v>74</v>
      </c>
      <c r="L199" t="s">
        <v>74</v>
      </c>
      <c r="M199" t="s">
        <v>78</v>
      </c>
      <c r="N199" t="s">
        <v>108</v>
      </c>
      <c r="O199" t="s">
        <v>74</v>
      </c>
      <c r="P199" t="s">
        <v>74</v>
      </c>
      <c r="Q199" t="s">
        <v>74</v>
      </c>
      <c r="R199" t="s">
        <v>74</v>
      </c>
      <c r="S199" t="s">
        <v>74</v>
      </c>
      <c r="T199" t="s">
        <v>4150</v>
      </c>
      <c r="U199" t="s">
        <v>4151</v>
      </c>
      <c r="V199" t="s">
        <v>4152</v>
      </c>
      <c r="W199" t="s">
        <v>4153</v>
      </c>
      <c r="X199" t="s">
        <v>4154</v>
      </c>
      <c r="Y199" t="s">
        <v>4155</v>
      </c>
      <c r="Z199" t="s">
        <v>4156</v>
      </c>
      <c r="AA199" t="s">
        <v>74</v>
      </c>
      <c r="AB199" t="s">
        <v>74</v>
      </c>
      <c r="AC199" t="s">
        <v>4157</v>
      </c>
      <c r="AD199" t="s">
        <v>4158</v>
      </c>
      <c r="AE199" t="s">
        <v>4159</v>
      </c>
      <c r="AF199" t="s">
        <v>74</v>
      </c>
      <c r="AG199">
        <v>62</v>
      </c>
      <c r="AH199">
        <v>0</v>
      </c>
      <c r="AI199">
        <v>0</v>
      </c>
      <c r="AJ199">
        <v>4</v>
      </c>
      <c r="AK199">
        <v>4</v>
      </c>
      <c r="AL199" t="s">
        <v>89</v>
      </c>
      <c r="AM199" t="s">
        <v>90</v>
      </c>
      <c r="AN199" t="s">
        <v>91</v>
      </c>
      <c r="AO199" t="s">
        <v>4160</v>
      </c>
      <c r="AP199" t="s">
        <v>4161</v>
      </c>
      <c r="AQ199" t="s">
        <v>74</v>
      </c>
      <c r="AR199" t="s">
        <v>4162</v>
      </c>
      <c r="AS199" t="s">
        <v>4163</v>
      </c>
      <c r="AT199" t="s">
        <v>4164</v>
      </c>
      <c r="AU199">
        <v>2023</v>
      </c>
      <c r="AV199">
        <v>16</v>
      </c>
      <c r="AW199">
        <v>1</v>
      </c>
      <c r="AX199" t="s">
        <v>74</v>
      </c>
      <c r="AY199" t="s">
        <v>74</v>
      </c>
      <c r="AZ199" t="s">
        <v>74</v>
      </c>
      <c r="BA199" t="s">
        <v>74</v>
      </c>
      <c r="BB199" t="s">
        <v>74</v>
      </c>
      <c r="BC199" t="s">
        <v>74</v>
      </c>
      <c r="BD199">
        <v>110</v>
      </c>
      <c r="BE199" t="s">
        <v>4165</v>
      </c>
      <c r="BF199" t="str">
        <f>HYPERLINK("http://dx.doi.org/10.1007/s44196-023-00290-x","http://dx.doi.org/10.1007/s44196-023-00290-x")</f>
        <v>http://dx.doi.org/10.1007/s44196-023-00290-x</v>
      </c>
      <c r="BG199" t="s">
        <v>74</v>
      </c>
      <c r="BH199" t="s">
        <v>74</v>
      </c>
      <c r="BI199">
        <v>19</v>
      </c>
      <c r="BJ199" t="s">
        <v>4166</v>
      </c>
      <c r="BK199" t="s">
        <v>98</v>
      </c>
      <c r="BL199" t="s">
        <v>99</v>
      </c>
      <c r="BM199" t="s">
        <v>4167</v>
      </c>
      <c r="BN199" t="s">
        <v>74</v>
      </c>
      <c r="BO199" t="s">
        <v>126</v>
      </c>
      <c r="BP199" t="s">
        <v>74</v>
      </c>
      <c r="BQ199" t="s">
        <v>74</v>
      </c>
      <c r="BR199" t="s">
        <v>102</v>
      </c>
      <c r="BS199" t="s">
        <v>4168</v>
      </c>
      <c r="BT199" t="str">
        <f>HYPERLINK("https%3A%2F%2Fwww.webofscience.com%2Fwos%2Fwoscc%2Ffull-record%2FWOS:001021000900001","View Full Record in Web of Science")</f>
        <v>View Full Record in Web of Science</v>
      </c>
    </row>
    <row r="200" spans="1:72" x14ac:dyDescent="0.2">
      <c r="A200" t="s">
        <v>72</v>
      </c>
      <c r="B200" t="s">
        <v>4169</v>
      </c>
      <c r="C200" t="s">
        <v>74</v>
      </c>
      <c r="D200" t="s">
        <v>74</v>
      </c>
      <c r="E200" t="s">
        <v>74</v>
      </c>
      <c r="F200" t="s">
        <v>4170</v>
      </c>
      <c r="G200" t="s">
        <v>74</v>
      </c>
      <c r="H200" t="s">
        <v>74</v>
      </c>
      <c r="I200" t="s">
        <v>4171</v>
      </c>
      <c r="J200" t="s">
        <v>4172</v>
      </c>
      <c r="K200" t="s">
        <v>74</v>
      </c>
      <c r="L200" t="s">
        <v>74</v>
      </c>
      <c r="M200" t="s">
        <v>78</v>
      </c>
      <c r="N200" t="s">
        <v>108</v>
      </c>
      <c r="O200" t="s">
        <v>74</v>
      </c>
      <c r="P200" t="s">
        <v>74</v>
      </c>
      <c r="Q200" t="s">
        <v>74</v>
      </c>
      <c r="R200" t="s">
        <v>74</v>
      </c>
      <c r="S200" t="s">
        <v>74</v>
      </c>
      <c r="T200" t="s">
        <v>4173</v>
      </c>
      <c r="U200" t="s">
        <v>4174</v>
      </c>
      <c r="V200" t="s">
        <v>4175</v>
      </c>
      <c r="W200" t="s">
        <v>4176</v>
      </c>
      <c r="X200" t="s">
        <v>4177</v>
      </c>
      <c r="Y200" t="s">
        <v>4178</v>
      </c>
      <c r="Z200" t="s">
        <v>4179</v>
      </c>
      <c r="AA200" t="s">
        <v>74</v>
      </c>
      <c r="AB200" t="s">
        <v>74</v>
      </c>
      <c r="AC200" t="s">
        <v>74</v>
      </c>
      <c r="AD200" t="s">
        <v>74</v>
      </c>
      <c r="AE200" t="s">
        <v>74</v>
      </c>
      <c r="AF200" t="s">
        <v>74</v>
      </c>
      <c r="AG200">
        <v>29</v>
      </c>
      <c r="AH200">
        <v>26</v>
      </c>
      <c r="AI200">
        <v>25</v>
      </c>
      <c r="AJ200">
        <v>3</v>
      </c>
      <c r="AK200">
        <v>79</v>
      </c>
      <c r="AL200" t="s">
        <v>543</v>
      </c>
      <c r="AM200" t="s">
        <v>260</v>
      </c>
      <c r="AN200" t="s">
        <v>544</v>
      </c>
      <c r="AO200" t="s">
        <v>4180</v>
      </c>
      <c r="AP200" t="s">
        <v>4181</v>
      </c>
      <c r="AQ200" t="s">
        <v>74</v>
      </c>
      <c r="AR200" t="s">
        <v>4182</v>
      </c>
      <c r="AS200" t="s">
        <v>4183</v>
      </c>
      <c r="AT200" t="s">
        <v>738</v>
      </c>
      <c r="AU200">
        <v>2021</v>
      </c>
      <c r="AV200">
        <v>126</v>
      </c>
      <c r="AW200" t="s">
        <v>74</v>
      </c>
      <c r="AX200" t="s">
        <v>74</v>
      </c>
      <c r="AY200" t="s">
        <v>74</v>
      </c>
      <c r="AZ200" t="s">
        <v>74</v>
      </c>
      <c r="BA200" t="s">
        <v>74</v>
      </c>
      <c r="BB200" t="s">
        <v>74</v>
      </c>
      <c r="BC200" t="s">
        <v>74</v>
      </c>
      <c r="BD200">
        <v>105117</v>
      </c>
      <c r="BE200" t="s">
        <v>4184</v>
      </c>
      <c r="BF200" t="str">
        <f>HYPERLINK("http://dx.doi.org/10.1016/j.cor.2020.105117","http://dx.doi.org/10.1016/j.cor.2020.105117")</f>
        <v>http://dx.doi.org/10.1016/j.cor.2020.105117</v>
      </c>
      <c r="BG200" t="s">
        <v>74</v>
      </c>
      <c r="BH200" t="s">
        <v>74</v>
      </c>
      <c r="BI200">
        <v>10</v>
      </c>
      <c r="BJ200" t="s">
        <v>4185</v>
      </c>
      <c r="BK200" t="s">
        <v>98</v>
      </c>
      <c r="BL200" t="s">
        <v>2060</v>
      </c>
      <c r="BM200" t="s">
        <v>4186</v>
      </c>
      <c r="BN200" t="s">
        <v>74</v>
      </c>
      <c r="BO200" t="s">
        <v>74</v>
      </c>
      <c r="BP200" t="s">
        <v>74</v>
      </c>
      <c r="BQ200" t="s">
        <v>74</v>
      </c>
      <c r="BR200" t="s">
        <v>102</v>
      </c>
      <c r="BS200" t="s">
        <v>4187</v>
      </c>
      <c r="BT200" t="str">
        <f>HYPERLINK("https%3A%2F%2Fwww.webofscience.com%2Fwos%2Fwoscc%2Ffull-record%2FWOS:000589926400001","View Full Record in Web of Science")</f>
        <v>View Full Record in Web of Science</v>
      </c>
    </row>
    <row r="201" spans="1:72" x14ac:dyDescent="0.2">
      <c r="A201" t="s">
        <v>72</v>
      </c>
      <c r="B201" t="s">
        <v>4188</v>
      </c>
      <c r="C201" t="s">
        <v>74</v>
      </c>
      <c r="D201" t="s">
        <v>74</v>
      </c>
      <c r="E201" t="s">
        <v>74</v>
      </c>
      <c r="F201" t="s">
        <v>4189</v>
      </c>
      <c r="G201" t="s">
        <v>74</v>
      </c>
      <c r="H201" t="s">
        <v>74</v>
      </c>
      <c r="I201" t="s">
        <v>4190</v>
      </c>
      <c r="J201" t="s">
        <v>4191</v>
      </c>
      <c r="K201" t="s">
        <v>74</v>
      </c>
      <c r="L201" t="s">
        <v>74</v>
      </c>
      <c r="M201" t="s">
        <v>78</v>
      </c>
      <c r="N201" t="s">
        <v>108</v>
      </c>
      <c r="O201" t="s">
        <v>74</v>
      </c>
      <c r="P201" t="s">
        <v>74</v>
      </c>
      <c r="Q201" t="s">
        <v>74</v>
      </c>
      <c r="R201" t="s">
        <v>74</v>
      </c>
      <c r="S201" t="s">
        <v>74</v>
      </c>
      <c r="T201" t="s">
        <v>4192</v>
      </c>
      <c r="U201" t="s">
        <v>4193</v>
      </c>
      <c r="V201" t="s">
        <v>4194</v>
      </c>
      <c r="W201" t="s">
        <v>4195</v>
      </c>
      <c r="X201" t="s">
        <v>4196</v>
      </c>
      <c r="Y201" t="s">
        <v>4197</v>
      </c>
      <c r="Z201" t="s">
        <v>4198</v>
      </c>
      <c r="AA201" t="s">
        <v>74</v>
      </c>
      <c r="AB201" t="s">
        <v>74</v>
      </c>
      <c r="AC201" t="s">
        <v>4199</v>
      </c>
      <c r="AD201" t="s">
        <v>4200</v>
      </c>
      <c r="AE201" t="s">
        <v>4201</v>
      </c>
      <c r="AF201" t="s">
        <v>74</v>
      </c>
      <c r="AG201">
        <v>54</v>
      </c>
      <c r="AH201">
        <v>1</v>
      </c>
      <c r="AI201">
        <v>2</v>
      </c>
      <c r="AJ201">
        <v>0</v>
      </c>
      <c r="AK201">
        <v>21</v>
      </c>
      <c r="AL201" t="s">
        <v>2478</v>
      </c>
      <c r="AM201" t="s">
        <v>90</v>
      </c>
      <c r="AN201" t="s">
        <v>2479</v>
      </c>
      <c r="AO201" t="s">
        <v>4202</v>
      </c>
      <c r="AP201" t="s">
        <v>4203</v>
      </c>
      <c r="AQ201" t="s">
        <v>74</v>
      </c>
      <c r="AR201" t="s">
        <v>4204</v>
      </c>
      <c r="AS201" t="s">
        <v>4205</v>
      </c>
      <c r="AT201" t="s">
        <v>74</v>
      </c>
      <c r="AU201">
        <v>2015</v>
      </c>
      <c r="AV201">
        <v>17</v>
      </c>
      <c r="AW201">
        <v>4</v>
      </c>
      <c r="AX201" t="s">
        <v>74</v>
      </c>
      <c r="AY201" t="s">
        <v>74</v>
      </c>
      <c r="AZ201" t="s">
        <v>74</v>
      </c>
      <c r="BA201" t="s">
        <v>74</v>
      </c>
      <c r="BB201">
        <v>640</v>
      </c>
      <c r="BC201">
        <v>661</v>
      </c>
      <c r="BD201" t="s">
        <v>74</v>
      </c>
      <c r="BE201" t="s">
        <v>4206</v>
      </c>
      <c r="BF201" t="str">
        <f>HYPERLINK("http://dx.doi.org/10.2166/hydro.2015.042","http://dx.doi.org/10.2166/hydro.2015.042")</f>
        <v>http://dx.doi.org/10.2166/hydro.2015.042</v>
      </c>
      <c r="BG201" t="s">
        <v>74</v>
      </c>
      <c r="BH201" t="s">
        <v>74</v>
      </c>
      <c r="BI201">
        <v>22</v>
      </c>
      <c r="BJ201" t="s">
        <v>4207</v>
      </c>
      <c r="BK201" t="s">
        <v>98</v>
      </c>
      <c r="BL201" t="s">
        <v>4208</v>
      </c>
      <c r="BM201" t="s">
        <v>4209</v>
      </c>
      <c r="BN201" t="s">
        <v>74</v>
      </c>
      <c r="BO201" t="s">
        <v>74</v>
      </c>
      <c r="BP201" t="s">
        <v>74</v>
      </c>
      <c r="BQ201" t="s">
        <v>74</v>
      </c>
      <c r="BR201" t="s">
        <v>102</v>
      </c>
      <c r="BS201" t="s">
        <v>4210</v>
      </c>
      <c r="BT201" t="str">
        <f>HYPERLINK("https%3A%2F%2Fwww.webofscience.com%2Fwos%2Fwoscc%2Ffull-record%2FWOS:000357585400010","View Full Record in Web of Science")</f>
        <v>View Full Record in Web of Science</v>
      </c>
    </row>
    <row r="202" spans="1:72" x14ac:dyDescent="0.2">
      <c r="A202" t="s">
        <v>72</v>
      </c>
      <c r="B202" t="s">
        <v>4211</v>
      </c>
      <c r="C202" t="s">
        <v>74</v>
      </c>
      <c r="D202" t="s">
        <v>74</v>
      </c>
      <c r="E202" t="s">
        <v>74</v>
      </c>
      <c r="F202" t="s">
        <v>4212</v>
      </c>
      <c r="G202" t="s">
        <v>74</v>
      </c>
      <c r="H202" t="s">
        <v>74</v>
      </c>
      <c r="I202" t="s">
        <v>4213</v>
      </c>
      <c r="J202" t="s">
        <v>4214</v>
      </c>
      <c r="K202" t="s">
        <v>74</v>
      </c>
      <c r="L202" t="s">
        <v>74</v>
      </c>
      <c r="M202" t="s">
        <v>78</v>
      </c>
      <c r="N202" t="s">
        <v>108</v>
      </c>
      <c r="O202" t="s">
        <v>74</v>
      </c>
      <c r="P202" t="s">
        <v>74</v>
      </c>
      <c r="Q202" t="s">
        <v>74</v>
      </c>
      <c r="R202" t="s">
        <v>74</v>
      </c>
      <c r="S202" t="s">
        <v>74</v>
      </c>
      <c r="T202" t="s">
        <v>74</v>
      </c>
      <c r="U202" t="s">
        <v>74</v>
      </c>
      <c r="V202" t="s">
        <v>4215</v>
      </c>
      <c r="W202" t="s">
        <v>4216</v>
      </c>
      <c r="X202" t="s">
        <v>4217</v>
      </c>
      <c r="Y202" t="s">
        <v>4218</v>
      </c>
      <c r="Z202" t="s">
        <v>4219</v>
      </c>
      <c r="AA202" t="s">
        <v>74</v>
      </c>
      <c r="AB202" t="s">
        <v>74</v>
      </c>
      <c r="AC202" t="s">
        <v>4220</v>
      </c>
      <c r="AD202" t="s">
        <v>4221</v>
      </c>
      <c r="AE202" t="s">
        <v>4222</v>
      </c>
      <c r="AF202" t="s">
        <v>74</v>
      </c>
      <c r="AG202">
        <v>26</v>
      </c>
      <c r="AH202">
        <v>0</v>
      </c>
      <c r="AI202">
        <v>0</v>
      </c>
      <c r="AJ202">
        <v>8</v>
      </c>
      <c r="AK202">
        <v>36</v>
      </c>
      <c r="AL202" t="s">
        <v>3963</v>
      </c>
      <c r="AM202" t="s">
        <v>90</v>
      </c>
      <c r="AN202" t="s">
        <v>3964</v>
      </c>
      <c r="AO202" t="s">
        <v>4223</v>
      </c>
      <c r="AP202" t="s">
        <v>4224</v>
      </c>
      <c r="AQ202" t="s">
        <v>74</v>
      </c>
      <c r="AR202" t="s">
        <v>4225</v>
      </c>
      <c r="AS202" t="s">
        <v>4226</v>
      </c>
      <c r="AT202" t="s">
        <v>4227</v>
      </c>
      <c r="AU202">
        <v>2021</v>
      </c>
      <c r="AV202">
        <v>2021</v>
      </c>
      <c r="AW202" t="s">
        <v>74</v>
      </c>
      <c r="AX202" t="s">
        <v>74</v>
      </c>
      <c r="AY202" t="s">
        <v>74</v>
      </c>
      <c r="AZ202" t="s">
        <v>74</v>
      </c>
      <c r="BA202" t="s">
        <v>74</v>
      </c>
      <c r="BB202" t="s">
        <v>74</v>
      </c>
      <c r="BC202" t="s">
        <v>74</v>
      </c>
      <c r="BD202">
        <v>4827903</v>
      </c>
      <c r="BE202" t="s">
        <v>4228</v>
      </c>
      <c r="BF202" t="str">
        <f>HYPERLINK("http://dx.doi.org/10.1155/2021/4827903","http://dx.doi.org/10.1155/2021/4827903")</f>
        <v>http://dx.doi.org/10.1155/2021/4827903</v>
      </c>
      <c r="BG202" t="s">
        <v>74</v>
      </c>
      <c r="BH202" t="s">
        <v>74</v>
      </c>
      <c r="BI202">
        <v>9</v>
      </c>
      <c r="BJ202" t="s">
        <v>1611</v>
      </c>
      <c r="BK202" t="s">
        <v>98</v>
      </c>
      <c r="BL202" t="s">
        <v>1611</v>
      </c>
      <c r="BM202" t="s">
        <v>4229</v>
      </c>
      <c r="BN202" t="s">
        <v>74</v>
      </c>
      <c r="BO202" t="s">
        <v>126</v>
      </c>
      <c r="BP202" t="s">
        <v>74</v>
      </c>
      <c r="BQ202" t="s">
        <v>74</v>
      </c>
      <c r="BR202" t="s">
        <v>102</v>
      </c>
      <c r="BS202" t="s">
        <v>4230</v>
      </c>
      <c r="BT202" t="str">
        <f>HYPERLINK("https%3A%2F%2Fwww.webofscience.com%2Fwos%2Fwoscc%2Ffull-record%2FWOS:000741154000002","View Full Record in Web of Science")</f>
        <v>View Full Record in Web of Science</v>
      </c>
    </row>
    <row r="203" spans="1:72" x14ac:dyDescent="0.2">
      <c r="A203" t="s">
        <v>72</v>
      </c>
      <c r="B203" t="s">
        <v>4231</v>
      </c>
      <c r="C203" t="s">
        <v>74</v>
      </c>
      <c r="D203" t="s">
        <v>74</v>
      </c>
      <c r="E203" t="s">
        <v>74</v>
      </c>
      <c r="F203" t="s">
        <v>4232</v>
      </c>
      <c r="G203" t="s">
        <v>74</v>
      </c>
      <c r="H203" t="s">
        <v>74</v>
      </c>
      <c r="I203" t="s">
        <v>4233</v>
      </c>
      <c r="J203" t="s">
        <v>3951</v>
      </c>
      <c r="K203" t="s">
        <v>74</v>
      </c>
      <c r="L203" t="s">
        <v>74</v>
      </c>
      <c r="M203" t="s">
        <v>78</v>
      </c>
      <c r="N203" t="s">
        <v>108</v>
      </c>
      <c r="O203" t="s">
        <v>74</v>
      </c>
      <c r="P203" t="s">
        <v>74</v>
      </c>
      <c r="Q203" t="s">
        <v>74</v>
      </c>
      <c r="R203" t="s">
        <v>74</v>
      </c>
      <c r="S203" t="s">
        <v>74</v>
      </c>
      <c r="T203" t="s">
        <v>74</v>
      </c>
      <c r="U203" t="s">
        <v>4234</v>
      </c>
      <c r="V203" t="s">
        <v>4235</v>
      </c>
      <c r="W203" t="s">
        <v>4236</v>
      </c>
      <c r="X203" t="s">
        <v>4237</v>
      </c>
      <c r="Y203" t="s">
        <v>3956</v>
      </c>
      <c r="Z203" t="s">
        <v>3957</v>
      </c>
      <c r="AA203" t="s">
        <v>4238</v>
      </c>
      <c r="AB203" t="s">
        <v>3959</v>
      </c>
      <c r="AC203" t="s">
        <v>4239</v>
      </c>
      <c r="AD203" t="s">
        <v>4240</v>
      </c>
      <c r="AE203" t="s">
        <v>4241</v>
      </c>
      <c r="AF203" t="s">
        <v>74</v>
      </c>
      <c r="AG203">
        <v>25</v>
      </c>
      <c r="AH203">
        <v>27</v>
      </c>
      <c r="AI203">
        <v>28</v>
      </c>
      <c r="AJ203">
        <v>13</v>
      </c>
      <c r="AK203">
        <v>127</v>
      </c>
      <c r="AL203" t="s">
        <v>3963</v>
      </c>
      <c r="AM203" t="s">
        <v>90</v>
      </c>
      <c r="AN203" t="s">
        <v>3964</v>
      </c>
      <c r="AO203" t="s">
        <v>3965</v>
      </c>
      <c r="AP203" t="s">
        <v>3966</v>
      </c>
      <c r="AQ203" t="s">
        <v>74</v>
      </c>
      <c r="AR203" t="s">
        <v>3967</v>
      </c>
      <c r="AS203" t="s">
        <v>3968</v>
      </c>
      <c r="AT203" t="s">
        <v>74</v>
      </c>
      <c r="AU203">
        <v>2016</v>
      </c>
      <c r="AV203">
        <v>2016</v>
      </c>
      <c r="AW203" t="s">
        <v>74</v>
      </c>
      <c r="AX203" t="s">
        <v>74</v>
      </c>
      <c r="AY203" t="s">
        <v>74</v>
      </c>
      <c r="AZ203" t="s">
        <v>74</v>
      </c>
      <c r="BA203" t="s">
        <v>74</v>
      </c>
      <c r="BB203" t="s">
        <v>74</v>
      </c>
      <c r="BC203" t="s">
        <v>74</v>
      </c>
      <c r="BD203">
        <v>4346580</v>
      </c>
      <c r="BE203" t="s">
        <v>4242</v>
      </c>
      <c r="BF203" t="str">
        <f>HYPERLINK("http://dx.doi.org/10.1155/2016/4346580","http://dx.doi.org/10.1155/2016/4346580")</f>
        <v>http://dx.doi.org/10.1155/2016/4346580</v>
      </c>
      <c r="BG203" t="s">
        <v>74</v>
      </c>
      <c r="BH203" t="s">
        <v>74</v>
      </c>
      <c r="BI203">
        <v>9</v>
      </c>
      <c r="BJ203" t="s">
        <v>3970</v>
      </c>
      <c r="BK203" t="s">
        <v>98</v>
      </c>
      <c r="BL203" t="s">
        <v>3971</v>
      </c>
      <c r="BM203" t="s">
        <v>4243</v>
      </c>
      <c r="BN203" t="s">
        <v>74</v>
      </c>
      <c r="BO203" t="s">
        <v>306</v>
      </c>
      <c r="BP203" t="s">
        <v>74</v>
      </c>
      <c r="BQ203" t="s">
        <v>74</v>
      </c>
      <c r="BR203" t="s">
        <v>102</v>
      </c>
      <c r="BS203" t="s">
        <v>4244</v>
      </c>
      <c r="BT203" t="str">
        <f>HYPERLINK("https%3A%2F%2Fwww.webofscience.com%2Fwos%2Fwoscc%2Ffull-record%2FWOS:000369270400001","View Full Record in Web of Science")</f>
        <v>View Full Record in Web of Science</v>
      </c>
    </row>
    <row r="204" spans="1:72" x14ac:dyDescent="0.2">
      <c r="A204" t="s">
        <v>72</v>
      </c>
      <c r="B204" t="s">
        <v>4245</v>
      </c>
      <c r="C204" t="s">
        <v>74</v>
      </c>
      <c r="D204" t="s">
        <v>74</v>
      </c>
      <c r="E204" t="s">
        <v>74</v>
      </c>
      <c r="F204" t="s">
        <v>4246</v>
      </c>
      <c r="G204" t="s">
        <v>74</v>
      </c>
      <c r="H204" t="s">
        <v>74</v>
      </c>
      <c r="I204" t="s">
        <v>4247</v>
      </c>
      <c r="J204" t="s">
        <v>762</v>
      </c>
      <c r="K204" t="s">
        <v>74</v>
      </c>
      <c r="L204" t="s">
        <v>74</v>
      </c>
      <c r="M204" t="s">
        <v>78</v>
      </c>
      <c r="N204" t="s">
        <v>108</v>
      </c>
      <c r="O204" t="s">
        <v>74</v>
      </c>
      <c r="P204" t="s">
        <v>74</v>
      </c>
      <c r="Q204" t="s">
        <v>74</v>
      </c>
      <c r="R204" t="s">
        <v>74</v>
      </c>
      <c r="S204" t="s">
        <v>74</v>
      </c>
      <c r="T204" t="s">
        <v>4248</v>
      </c>
      <c r="U204" t="s">
        <v>4249</v>
      </c>
      <c r="V204" t="s">
        <v>4250</v>
      </c>
      <c r="W204" t="s">
        <v>4251</v>
      </c>
      <c r="X204" t="s">
        <v>4252</v>
      </c>
      <c r="Y204" t="s">
        <v>4253</v>
      </c>
      <c r="Z204" t="s">
        <v>4254</v>
      </c>
      <c r="AA204" t="s">
        <v>74</v>
      </c>
      <c r="AB204" t="s">
        <v>74</v>
      </c>
      <c r="AC204" t="s">
        <v>74</v>
      </c>
      <c r="AD204" t="s">
        <v>74</v>
      </c>
      <c r="AE204" t="s">
        <v>74</v>
      </c>
      <c r="AF204" t="s">
        <v>74</v>
      </c>
      <c r="AG204">
        <v>32</v>
      </c>
      <c r="AH204">
        <v>54</v>
      </c>
      <c r="AI204">
        <v>55</v>
      </c>
      <c r="AJ204">
        <v>1</v>
      </c>
      <c r="AK204">
        <v>170</v>
      </c>
      <c r="AL204" t="s">
        <v>279</v>
      </c>
      <c r="AM204" t="s">
        <v>280</v>
      </c>
      <c r="AN204" t="s">
        <v>281</v>
      </c>
      <c r="AO204" t="s">
        <v>773</v>
      </c>
      <c r="AP204" t="s">
        <v>774</v>
      </c>
      <c r="AQ204" t="s">
        <v>74</v>
      </c>
      <c r="AR204" t="s">
        <v>775</v>
      </c>
      <c r="AS204" t="s">
        <v>776</v>
      </c>
      <c r="AT204" t="s">
        <v>74</v>
      </c>
      <c r="AU204">
        <v>2017</v>
      </c>
      <c r="AV204">
        <v>55</v>
      </c>
      <c r="AW204">
        <v>2</v>
      </c>
      <c r="AX204" t="s">
        <v>74</v>
      </c>
      <c r="AY204" t="s">
        <v>74</v>
      </c>
      <c r="AZ204" t="s">
        <v>74</v>
      </c>
      <c r="BA204" t="s">
        <v>74</v>
      </c>
      <c r="BB204">
        <v>593</v>
      </c>
      <c r="BC204">
        <v>605</v>
      </c>
      <c r="BD204" t="s">
        <v>74</v>
      </c>
      <c r="BE204" t="s">
        <v>4255</v>
      </c>
      <c r="BF204" t="str">
        <f>HYPERLINK("http://dx.doi.org/10.1080/00207543.2016.1221162","http://dx.doi.org/10.1080/00207543.2016.1221162")</f>
        <v>http://dx.doi.org/10.1080/00207543.2016.1221162</v>
      </c>
      <c r="BG204" t="s">
        <v>74</v>
      </c>
      <c r="BH204" t="s">
        <v>74</v>
      </c>
      <c r="BI204">
        <v>13</v>
      </c>
      <c r="BJ204" t="s">
        <v>780</v>
      </c>
      <c r="BK204" t="s">
        <v>147</v>
      </c>
      <c r="BL204" t="s">
        <v>781</v>
      </c>
      <c r="BM204" t="s">
        <v>4256</v>
      </c>
      <c r="BN204" t="s">
        <v>74</v>
      </c>
      <c r="BO204" t="s">
        <v>74</v>
      </c>
      <c r="BP204" t="s">
        <v>74</v>
      </c>
      <c r="BQ204" t="s">
        <v>74</v>
      </c>
      <c r="BR204" t="s">
        <v>102</v>
      </c>
      <c r="BS204" t="s">
        <v>4257</v>
      </c>
      <c r="BT204" t="str">
        <f>HYPERLINK("https%3A%2F%2Fwww.webofscience.com%2Fwos%2Fwoscc%2Ffull-record%2FWOS:000390417200017","View Full Record in Web of Science")</f>
        <v>View Full Record in Web of Science</v>
      </c>
    </row>
    <row r="205" spans="1:72" x14ac:dyDescent="0.2">
      <c r="A205" t="s">
        <v>72</v>
      </c>
      <c r="B205" t="s">
        <v>4258</v>
      </c>
      <c r="C205" t="s">
        <v>74</v>
      </c>
      <c r="D205" t="s">
        <v>74</v>
      </c>
      <c r="E205" t="s">
        <v>74</v>
      </c>
      <c r="F205" t="s">
        <v>4259</v>
      </c>
      <c r="G205" t="s">
        <v>74</v>
      </c>
      <c r="H205" t="s">
        <v>74</v>
      </c>
      <c r="I205" t="s">
        <v>4260</v>
      </c>
      <c r="J205" t="s">
        <v>4261</v>
      </c>
      <c r="K205" t="s">
        <v>74</v>
      </c>
      <c r="L205" t="s">
        <v>74</v>
      </c>
      <c r="M205" t="s">
        <v>78</v>
      </c>
      <c r="N205" t="s">
        <v>108</v>
      </c>
      <c r="O205" t="s">
        <v>74</v>
      </c>
      <c r="P205" t="s">
        <v>74</v>
      </c>
      <c r="Q205" t="s">
        <v>74</v>
      </c>
      <c r="R205" t="s">
        <v>74</v>
      </c>
      <c r="S205" t="s">
        <v>74</v>
      </c>
      <c r="T205" t="s">
        <v>74</v>
      </c>
      <c r="U205" t="s">
        <v>4262</v>
      </c>
      <c r="V205" t="s">
        <v>4263</v>
      </c>
      <c r="W205" t="s">
        <v>4264</v>
      </c>
      <c r="X205" t="s">
        <v>4265</v>
      </c>
      <c r="Y205" t="s">
        <v>4266</v>
      </c>
      <c r="Z205" t="s">
        <v>4267</v>
      </c>
      <c r="AA205" t="s">
        <v>4268</v>
      </c>
      <c r="AB205" t="s">
        <v>4269</v>
      </c>
      <c r="AC205" t="s">
        <v>4270</v>
      </c>
      <c r="AD205" t="s">
        <v>4271</v>
      </c>
      <c r="AE205" t="s">
        <v>4272</v>
      </c>
      <c r="AF205" t="s">
        <v>74</v>
      </c>
      <c r="AG205">
        <v>25</v>
      </c>
      <c r="AH205">
        <v>5</v>
      </c>
      <c r="AI205">
        <v>5</v>
      </c>
      <c r="AJ205">
        <v>2</v>
      </c>
      <c r="AK205">
        <v>26</v>
      </c>
      <c r="AL205" t="s">
        <v>279</v>
      </c>
      <c r="AM205" t="s">
        <v>280</v>
      </c>
      <c r="AN205" t="s">
        <v>281</v>
      </c>
      <c r="AO205" t="s">
        <v>4273</v>
      </c>
      <c r="AP205" t="s">
        <v>4274</v>
      </c>
      <c r="AQ205" t="s">
        <v>74</v>
      </c>
      <c r="AR205" t="s">
        <v>4275</v>
      </c>
      <c r="AS205" t="s">
        <v>4276</v>
      </c>
      <c r="AT205" t="s">
        <v>4277</v>
      </c>
      <c r="AU205">
        <v>2021</v>
      </c>
      <c r="AV205">
        <v>42</v>
      </c>
      <c r="AW205">
        <v>14</v>
      </c>
      <c r="AX205" t="s">
        <v>74</v>
      </c>
      <c r="AY205" t="s">
        <v>74</v>
      </c>
      <c r="AZ205" t="s">
        <v>74</v>
      </c>
      <c r="BA205" t="s">
        <v>74</v>
      </c>
      <c r="BB205">
        <v>5459</v>
      </c>
      <c r="BC205">
        <v>5477</v>
      </c>
      <c r="BD205" t="s">
        <v>74</v>
      </c>
      <c r="BE205" t="s">
        <v>4278</v>
      </c>
      <c r="BF205" t="str">
        <f>HYPERLINK("http://dx.doi.org/10.1080/01431161.2021.1918791","http://dx.doi.org/10.1080/01431161.2021.1918791")</f>
        <v>http://dx.doi.org/10.1080/01431161.2021.1918791</v>
      </c>
      <c r="BG205" t="s">
        <v>74</v>
      </c>
      <c r="BH205" t="s">
        <v>74</v>
      </c>
      <c r="BI205">
        <v>19</v>
      </c>
      <c r="BJ205" t="s">
        <v>4279</v>
      </c>
      <c r="BK205" t="s">
        <v>98</v>
      </c>
      <c r="BL205" t="s">
        <v>4279</v>
      </c>
      <c r="BM205" t="s">
        <v>4280</v>
      </c>
      <c r="BN205" t="s">
        <v>74</v>
      </c>
      <c r="BO205" t="s">
        <v>74</v>
      </c>
      <c r="BP205" t="s">
        <v>74</v>
      </c>
      <c r="BQ205" t="s">
        <v>74</v>
      </c>
      <c r="BR205" t="s">
        <v>102</v>
      </c>
      <c r="BS205" t="s">
        <v>4281</v>
      </c>
      <c r="BT205" t="str">
        <f>HYPERLINK("https%3A%2F%2Fwww.webofscience.com%2Fwos%2Fwoscc%2Ffull-record%2FWOS:000648122200001","View Full Record in Web of Science")</f>
        <v>View Full Record in Web of Science</v>
      </c>
    </row>
    <row r="206" spans="1:72" x14ac:dyDescent="0.2">
      <c r="A206" t="s">
        <v>72</v>
      </c>
      <c r="B206" t="s">
        <v>4282</v>
      </c>
      <c r="C206" t="s">
        <v>74</v>
      </c>
      <c r="D206" t="s">
        <v>74</v>
      </c>
      <c r="E206" t="s">
        <v>74</v>
      </c>
      <c r="F206" t="s">
        <v>4283</v>
      </c>
      <c r="G206" t="s">
        <v>74</v>
      </c>
      <c r="H206" t="s">
        <v>74</v>
      </c>
      <c r="I206" t="s">
        <v>4284</v>
      </c>
      <c r="J206" t="s">
        <v>4285</v>
      </c>
      <c r="K206" t="s">
        <v>74</v>
      </c>
      <c r="L206" t="s">
        <v>74</v>
      </c>
      <c r="M206" t="s">
        <v>78</v>
      </c>
      <c r="N206" t="s">
        <v>108</v>
      </c>
      <c r="O206" t="s">
        <v>74</v>
      </c>
      <c r="P206" t="s">
        <v>74</v>
      </c>
      <c r="Q206" t="s">
        <v>74</v>
      </c>
      <c r="R206" t="s">
        <v>74</v>
      </c>
      <c r="S206" t="s">
        <v>74</v>
      </c>
      <c r="T206" t="s">
        <v>4286</v>
      </c>
      <c r="U206" t="s">
        <v>4287</v>
      </c>
      <c r="V206" t="s">
        <v>4288</v>
      </c>
      <c r="W206" t="s">
        <v>4289</v>
      </c>
      <c r="X206" t="s">
        <v>4290</v>
      </c>
      <c r="Y206" t="s">
        <v>4291</v>
      </c>
      <c r="Z206" t="s">
        <v>4292</v>
      </c>
      <c r="AA206" t="s">
        <v>74</v>
      </c>
      <c r="AB206" t="s">
        <v>74</v>
      </c>
      <c r="AC206" t="s">
        <v>4293</v>
      </c>
      <c r="AD206" t="s">
        <v>4294</v>
      </c>
      <c r="AE206" t="s">
        <v>4295</v>
      </c>
      <c r="AF206" t="s">
        <v>74</v>
      </c>
      <c r="AG206">
        <v>54</v>
      </c>
      <c r="AH206">
        <v>22</v>
      </c>
      <c r="AI206">
        <v>21</v>
      </c>
      <c r="AJ206">
        <v>2</v>
      </c>
      <c r="AK206">
        <v>33</v>
      </c>
      <c r="AL206" t="s">
        <v>4005</v>
      </c>
      <c r="AM206" t="s">
        <v>4006</v>
      </c>
      <c r="AN206" t="s">
        <v>4007</v>
      </c>
      <c r="AO206" t="s">
        <v>4296</v>
      </c>
      <c r="AP206" t="s">
        <v>4297</v>
      </c>
      <c r="AQ206" t="s">
        <v>74</v>
      </c>
      <c r="AR206" t="s">
        <v>4298</v>
      </c>
      <c r="AS206" t="s">
        <v>4299</v>
      </c>
      <c r="AT206" t="s">
        <v>416</v>
      </c>
      <c r="AU206">
        <v>2023</v>
      </c>
      <c r="AV206">
        <v>9</v>
      </c>
      <c r="AW206">
        <v>3</v>
      </c>
      <c r="AX206" t="s">
        <v>74</v>
      </c>
      <c r="AY206" t="s">
        <v>74</v>
      </c>
      <c r="AZ206" t="s">
        <v>74</v>
      </c>
      <c r="BA206" t="s">
        <v>74</v>
      </c>
      <c r="BB206">
        <v>2209</v>
      </c>
      <c r="BC206">
        <v>2219</v>
      </c>
      <c r="BD206" t="s">
        <v>74</v>
      </c>
      <c r="BE206" t="s">
        <v>4300</v>
      </c>
      <c r="BF206" t="str">
        <f>HYPERLINK("http://dx.doi.org/10.1007/s40747-020-00192-x","http://dx.doi.org/10.1007/s40747-020-00192-x")</f>
        <v>http://dx.doi.org/10.1007/s40747-020-00192-x</v>
      </c>
      <c r="BG206" t="s">
        <v>74</v>
      </c>
      <c r="BH206" t="s">
        <v>4301</v>
      </c>
      <c r="BI206">
        <v>11</v>
      </c>
      <c r="BJ206" t="s">
        <v>2017</v>
      </c>
      <c r="BK206" t="s">
        <v>98</v>
      </c>
      <c r="BL206" t="s">
        <v>99</v>
      </c>
      <c r="BM206" t="s">
        <v>4302</v>
      </c>
      <c r="BN206" t="s">
        <v>74</v>
      </c>
      <c r="BO206" t="s">
        <v>126</v>
      </c>
      <c r="BP206" t="s">
        <v>74</v>
      </c>
      <c r="BQ206" t="s">
        <v>74</v>
      </c>
      <c r="BR206" t="s">
        <v>102</v>
      </c>
      <c r="BS206" t="s">
        <v>4303</v>
      </c>
      <c r="BT206" t="str">
        <f>HYPERLINK("https%3A%2F%2Fwww.webofscience.com%2Fwos%2Fwoscc%2Ffull-record%2FWOS:000576750900001","View Full Record in Web of Science")</f>
        <v>View Full Record in Web of Science</v>
      </c>
    </row>
    <row r="207" spans="1:72" x14ac:dyDescent="0.2">
      <c r="A207" t="s">
        <v>72</v>
      </c>
      <c r="B207" t="s">
        <v>4304</v>
      </c>
      <c r="C207" t="s">
        <v>74</v>
      </c>
      <c r="D207" t="s">
        <v>74</v>
      </c>
      <c r="E207" t="s">
        <v>74</v>
      </c>
      <c r="F207" t="s">
        <v>4305</v>
      </c>
      <c r="G207" t="s">
        <v>74</v>
      </c>
      <c r="H207" t="s">
        <v>74</v>
      </c>
      <c r="I207" t="s">
        <v>4306</v>
      </c>
      <c r="J207" t="s">
        <v>531</v>
      </c>
      <c r="K207" t="s">
        <v>74</v>
      </c>
      <c r="L207" t="s">
        <v>74</v>
      </c>
      <c r="M207" t="s">
        <v>78</v>
      </c>
      <c r="N207" t="s">
        <v>108</v>
      </c>
      <c r="O207" t="s">
        <v>74</v>
      </c>
      <c r="P207" t="s">
        <v>74</v>
      </c>
      <c r="Q207" t="s">
        <v>74</v>
      </c>
      <c r="R207" t="s">
        <v>74</v>
      </c>
      <c r="S207" t="s">
        <v>74</v>
      </c>
      <c r="T207" t="s">
        <v>4307</v>
      </c>
      <c r="U207" t="s">
        <v>4308</v>
      </c>
      <c r="V207" t="s">
        <v>4309</v>
      </c>
      <c r="W207" t="s">
        <v>4310</v>
      </c>
      <c r="X207" t="s">
        <v>4311</v>
      </c>
      <c r="Y207" t="s">
        <v>4312</v>
      </c>
      <c r="Z207" t="s">
        <v>4313</v>
      </c>
      <c r="AA207" t="s">
        <v>4314</v>
      </c>
      <c r="AB207" t="s">
        <v>4315</v>
      </c>
      <c r="AC207" t="s">
        <v>74</v>
      </c>
      <c r="AD207" t="s">
        <v>74</v>
      </c>
      <c r="AE207" t="s">
        <v>74</v>
      </c>
      <c r="AF207" t="s">
        <v>74</v>
      </c>
      <c r="AG207">
        <v>121</v>
      </c>
      <c r="AH207">
        <v>18</v>
      </c>
      <c r="AI207">
        <v>18</v>
      </c>
      <c r="AJ207">
        <v>15</v>
      </c>
      <c r="AK207">
        <v>47</v>
      </c>
      <c r="AL207" t="s">
        <v>543</v>
      </c>
      <c r="AM207" t="s">
        <v>260</v>
      </c>
      <c r="AN207" t="s">
        <v>544</v>
      </c>
      <c r="AO207" t="s">
        <v>545</v>
      </c>
      <c r="AP207" t="s">
        <v>546</v>
      </c>
      <c r="AQ207" t="s">
        <v>74</v>
      </c>
      <c r="AR207" t="s">
        <v>547</v>
      </c>
      <c r="AS207" t="s">
        <v>548</v>
      </c>
      <c r="AT207" t="s">
        <v>394</v>
      </c>
      <c r="AU207">
        <v>2021</v>
      </c>
      <c r="AV207">
        <v>159</v>
      </c>
      <c r="AW207" t="s">
        <v>74</v>
      </c>
      <c r="AX207" t="s">
        <v>74</v>
      </c>
      <c r="AY207" t="s">
        <v>74</v>
      </c>
      <c r="AZ207" t="s">
        <v>74</v>
      </c>
      <c r="BA207" t="s">
        <v>74</v>
      </c>
      <c r="BB207" t="s">
        <v>74</v>
      </c>
      <c r="BC207" t="s">
        <v>74</v>
      </c>
      <c r="BD207">
        <v>107510</v>
      </c>
      <c r="BE207" t="s">
        <v>4316</v>
      </c>
      <c r="BF207" t="str">
        <f>HYPERLINK("http://dx.doi.org/10.1016/j.cie.2021.107510","http://dx.doi.org/10.1016/j.cie.2021.107510")</f>
        <v>http://dx.doi.org/10.1016/j.cie.2021.107510</v>
      </c>
      <c r="BG207" t="s">
        <v>74</v>
      </c>
      <c r="BH207" t="s">
        <v>1056</v>
      </c>
      <c r="BI207">
        <v>21</v>
      </c>
      <c r="BJ207" t="s">
        <v>550</v>
      </c>
      <c r="BK207" t="s">
        <v>147</v>
      </c>
      <c r="BL207" t="s">
        <v>269</v>
      </c>
      <c r="BM207" t="s">
        <v>4317</v>
      </c>
      <c r="BN207" t="s">
        <v>74</v>
      </c>
      <c r="BO207" t="s">
        <v>74</v>
      </c>
      <c r="BP207" t="s">
        <v>74</v>
      </c>
      <c r="BQ207" t="s">
        <v>74</v>
      </c>
      <c r="BR207" t="s">
        <v>102</v>
      </c>
      <c r="BS207" t="s">
        <v>4318</v>
      </c>
      <c r="BT207" t="str">
        <f>HYPERLINK("https%3A%2F%2Fwww.webofscience.com%2Fwos%2Fwoscc%2Ffull-record%2FWOS:000687470600016","View Full Record in Web of Science")</f>
        <v>View Full Record in Web of Science</v>
      </c>
    </row>
    <row r="208" spans="1:72" x14ac:dyDescent="0.2">
      <c r="A208" t="s">
        <v>72</v>
      </c>
      <c r="B208" t="s">
        <v>4319</v>
      </c>
      <c r="C208" t="s">
        <v>74</v>
      </c>
      <c r="D208" t="s">
        <v>74</v>
      </c>
      <c r="E208" t="s">
        <v>74</v>
      </c>
      <c r="F208" t="s">
        <v>4320</v>
      </c>
      <c r="G208" t="s">
        <v>74</v>
      </c>
      <c r="H208" t="s">
        <v>74</v>
      </c>
      <c r="I208" t="s">
        <v>4321</v>
      </c>
      <c r="J208" t="s">
        <v>894</v>
      </c>
      <c r="K208" t="s">
        <v>74</v>
      </c>
      <c r="L208" t="s">
        <v>74</v>
      </c>
      <c r="M208" t="s">
        <v>78</v>
      </c>
      <c r="N208" t="s">
        <v>108</v>
      </c>
      <c r="O208" t="s">
        <v>74</v>
      </c>
      <c r="P208" t="s">
        <v>74</v>
      </c>
      <c r="Q208" t="s">
        <v>74</v>
      </c>
      <c r="R208" t="s">
        <v>74</v>
      </c>
      <c r="S208" t="s">
        <v>74</v>
      </c>
      <c r="T208" t="s">
        <v>4322</v>
      </c>
      <c r="U208" t="s">
        <v>4323</v>
      </c>
      <c r="V208" t="s">
        <v>4324</v>
      </c>
      <c r="W208" t="s">
        <v>4325</v>
      </c>
      <c r="X208" t="s">
        <v>4326</v>
      </c>
      <c r="Y208" t="s">
        <v>4327</v>
      </c>
      <c r="Z208" t="s">
        <v>4328</v>
      </c>
      <c r="AA208" t="s">
        <v>74</v>
      </c>
      <c r="AB208" t="s">
        <v>4329</v>
      </c>
      <c r="AC208" t="s">
        <v>74</v>
      </c>
      <c r="AD208" t="s">
        <v>74</v>
      </c>
      <c r="AE208" t="s">
        <v>74</v>
      </c>
      <c r="AF208" t="s">
        <v>74</v>
      </c>
      <c r="AG208">
        <v>47</v>
      </c>
      <c r="AH208">
        <v>4</v>
      </c>
      <c r="AI208">
        <v>4</v>
      </c>
      <c r="AJ208">
        <v>1</v>
      </c>
      <c r="AK208">
        <v>17</v>
      </c>
      <c r="AL208" t="s">
        <v>437</v>
      </c>
      <c r="AM208" t="s">
        <v>438</v>
      </c>
      <c r="AN208" t="s">
        <v>439</v>
      </c>
      <c r="AO208" t="s">
        <v>904</v>
      </c>
      <c r="AP208" t="s">
        <v>905</v>
      </c>
      <c r="AQ208" t="s">
        <v>74</v>
      </c>
      <c r="AR208" t="s">
        <v>906</v>
      </c>
      <c r="AS208" t="s">
        <v>907</v>
      </c>
      <c r="AT208" t="s">
        <v>4330</v>
      </c>
      <c r="AU208">
        <v>2022</v>
      </c>
      <c r="AV208">
        <v>71</v>
      </c>
      <c r="AW208">
        <v>2</v>
      </c>
      <c r="AX208" t="s">
        <v>74</v>
      </c>
      <c r="AY208" t="s">
        <v>74</v>
      </c>
      <c r="AZ208" t="s">
        <v>74</v>
      </c>
      <c r="BA208" t="s">
        <v>74</v>
      </c>
      <c r="BB208">
        <v>576</v>
      </c>
      <c r="BC208">
        <v>597</v>
      </c>
      <c r="BD208" t="s">
        <v>74</v>
      </c>
      <c r="BE208" t="s">
        <v>4331</v>
      </c>
      <c r="BF208" t="str">
        <f>HYPERLINK("http://dx.doi.org/10.1108/IJPPM-01-2020-0023","http://dx.doi.org/10.1108/IJPPM-01-2020-0023")</f>
        <v>http://dx.doi.org/10.1108/IJPPM-01-2020-0023</v>
      </c>
      <c r="BG208" t="s">
        <v>74</v>
      </c>
      <c r="BH208" t="s">
        <v>1882</v>
      </c>
      <c r="BI208">
        <v>22</v>
      </c>
      <c r="BJ208" t="s">
        <v>418</v>
      </c>
      <c r="BK208" t="s">
        <v>124</v>
      </c>
      <c r="BL208" t="s">
        <v>419</v>
      </c>
      <c r="BM208" t="s">
        <v>4332</v>
      </c>
      <c r="BN208" t="s">
        <v>74</v>
      </c>
      <c r="BO208" t="s">
        <v>74</v>
      </c>
      <c r="BP208" t="s">
        <v>74</v>
      </c>
      <c r="BQ208" t="s">
        <v>74</v>
      </c>
      <c r="BR208" t="s">
        <v>102</v>
      </c>
      <c r="BS208" t="s">
        <v>4333</v>
      </c>
      <c r="BT208" t="str">
        <f>HYPERLINK("https%3A%2F%2Fwww.webofscience.com%2Fwos%2Fwoscc%2Ffull-record%2FWOS:000604425500001","View Full Record in Web of Science")</f>
        <v>View Full Record in Web of Science</v>
      </c>
    </row>
    <row r="209" spans="1:72" x14ac:dyDescent="0.2">
      <c r="A209" t="s">
        <v>72</v>
      </c>
      <c r="B209" t="s">
        <v>4334</v>
      </c>
      <c r="C209" t="s">
        <v>74</v>
      </c>
      <c r="D209" t="s">
        <v>74</v>
      </c>
      <c r="E209" t="s">
        <v>74</v>
      </c>
      <c r="F209" t="s">
        <v>4335</v>
      </c>
      <c r="G209" t="s">
        <v>74</v>
      </c>
      <c r="H209" t="s">
        <v>74</v>
      </c>
      <c r="I209" t="s">
        <v>4336</v>
      </c>
      <c r="J209" t="s">
        <v>4337</v>
      </c>
      <c r="K209" t="s">
        <v>74</v>
      </c>
      <c r="L209" t="s">
        <v>74</v>
      </c>
      <c r="M209" t="s">
        <v>78</v>
      </c>
      <c r="N209" t="s">
        <v>108</v>
      </c>
      <c r="O209" t="s">
        <v>74</v>
      </c>
      <c r="P209" t="s">
        <v>74</v>
      </c>
      <c r="Q209" t="s">
        <v>74</v>
      </c>
      <c r="R209" t="s">
        <v>74</v>
      </c>
      <c r="S209" t="s">
        <v>74</v>
      </c>
      <c r="T209" t="s">
        <v>74</v>
      </c>
      <c r="U209" t="s">
        <v>4338</v>
      </c>
      <c r="V209" t="s">
        <v>4339</v>
      </c>
      <c r="W209" t="s">
        <v>4340</v>
      </c>
      <c r="X209" t="s">
        <v>4341</v>
      </c>
      <c r="Y209" t="s">
        <v>4342</v>
      </c>
      <c r="Z209" t="s">
        <v>4343</v>
      </c>
      <c r="AA209" t="s">
        <v>74</v>
      </c>
      <c r="AB209" t="s">
        <v>4344</v>
      </c>
      <c r="AC209" t="s">
        <v>4345</v>
      </c>
      <c r="AD209" t="s">
        <v>4346</v>
      </c>
      <c r="AE209" t="s">
        <v>4347</v>
      </c>
      <c r="AF209" t="s">
        <v>74</v>
      </c>
      <c r="AG209">
        <v>27</v>
      </c>
      <c r="AH209">
        <v>1</v>
      </c>
      <c r="AI209">
        <v>1</v>
      </c>
      <c r="AJ209">
        <v>0</v>
      </c>
      <c r="AK209">
        <v>6</v>
      </c>
      <c r="AL209" t="s">
        <v>4348</v>
      </c>
      <c r="AM209" t="s">
        <v>4349</v>
      </c>
      <c r="AN209" t="s">
        <v>4350</v>
      </c>
      <c r="AO209" t="s">
        <v>4351</v>
      </c>
      <c r="AP209" t="s">
        <v>74</v>
      </c>
      <c r="AQ209" t="s">
        <v>74</v>
      </c>
      <c r="AR209" t="s">
        <v>4352</v>
      </c>
      <c r="AS209" t="s">
        <v>4353</v>
      </c>
      <c r="AT209" t="s">
        <v>74</v>
      </c>
      <c r="AU209">
        <v>2018</v>
      </c>
      <c r="AV209">
        <v>68</v>
      </c>
      <c r="AW209">
        <v>2</v>
      </c>
      <c r="AX209" t="s">
        <v>74</v>
      </c>
      <c r="AY209" t="s">
        <v>74</v>
      </c>
      <c r="AZ209" t="s">
        <v>74</v>
      </c>
      <c r="BA209" t="s">
        <v>74</v>
      </c>
      <c r="BB209">
        <v>182</v>
      </c>
      <c r="BC209">
        <v>190</v>
      </c>
      <c r="BD209" t="s">
        <v>74</v>
      </c>
      <c r="BE209" t="s">
        <v>4354</v>
      </c>
      <c r="BF209" t="str">
        <f>HYPERLINK("http://dx.doi.org/10.13073/FPJ-D-17-00055","http://dx.doi.org/10.13073/FPJ-D-17-00055")</f>
        <v>http://dx.doi.org/10.13073/FPJ-D-17-00055</v>
      </c>
      <c r="BG209" t="s">
        <v>74</v>
      </c>
      <c r="BH209" t="s">
        <v>74</v>
      </c>
      <c r="BI209">
        <v>9</v>
      </c>
      <c r="BJ209" t="s">
        <v>4355</v>
      </c>
      <c r="BK209" t="s">
        <v>98</v>
      </c>
      <c r="BL209" t="s">
        <v>4356</v>
      </c>
      <c r="BM209" t="s">
        <v>4357</v>
      </c>
      <c r="BN209" t="s">
        <v>74</v>
      </c>
      <c r="BO209" t="s">
        <v>74</v>
      </c>
      <c r="BP209" t="s">
        <v>74</v>
      </c>
      <c r="BQ209" t="s">
        <v>74</v>
      </c>
      <c r="BR209" t="s">
        <v>102</v>
      </c>
      <c r="BS209" t="s">
        <v>4358</v>
      </c>
      <c r="BT209" t="str">
        <f>HYPERLINK("https%3A%2F%2Fwww.webofscience.com%2Fwos%2Fwoscc%2Ffull-record%2FWOS:000461045800012","View Full Record in Web of Science")</f>
        <v>View Full Record in Web of Science</v>
      </c>
    </row>
    <row r="210" spans="1:72" x14ac:dyDescent="0.2">
      <c r="A210" t="s">
        <v>72</v>
      </c>
      <c r="B210" t="s">
        <v>4359</v>
      </c>
      <c r="C210" t="s">
        <v>74</v>
      </c>
      <c r="D210" t="s">
        <v>74</v>
      </c>
      <c r="E210" t="s">
        <v>74</v>
      </c>
      <c r="F210" t="s">
        <v>4360</v>
      </c>
      <c r="G210" t="s">
        <v>74</v>
      </c>
      <c r="H210" t="s">
        <v>74</v>
      </c>
      <c r="I210" t="s">
        <v>4361</v>
      </c>
      <c r="J210" t="s">
        <v>4362</v>
      </c>
      <c r="K210" t="s">
        <v>74</v>
      </c>
      <c r="L210" t="s">
        <v>74</v>
      </c>
      <c r="M210" t="s">
        <v>78</v>
      </c>
      <c r="N210" t="s">
        <v>763</v>
      </c>
      <c r="O210" t="s">
        <v>74</v>
      </c>
      <c r="P210" t="s">
        <v>74</v>
      </c>
      <c r="Q210" t="s">
        <v>74</v>
      </c>
      <c r="R210" t="s">
        <v>74</v>
      </c>
      <c r="S210" t="s">
        <v>74</v>
      </c>
      <c r="T210" t="s">
        <v>4363</v>
      </c>
      <c r="U210" t="s">
        <v>4364</v>
      </c>
      <c r="V210" t="s">
        <v>4365</v>
      </c>
      <c r="W210" t="s">
        <v>4366</v>
      </c>
      <c r="X210" t="s">
        <v>4367</v>
      </c>
      <c r="Y210" t="s">
        <v>4368</v>
      </c>
      <c r="Z210" t="s">
        <v>4369</v>
      </c>
      <c r="AA210" t="s">
        <v>74</v>
      </c>
      <c r="AB210" t="s">
        <v>74</v>
      </c>
      <c r="AC210" t="s">
        <v>4370</v>
      </c>
      <c r="AD210" t="s">
        <v>4371</v>
      </c>
      <c r="AE210" t="s">
        <v>4372</v>
      </c>
      <c r="AF210" t="s">
        <v>74</v>
      </c>
      <c r="AG210">
        <v>66</v>
      </c>
      <c r="AH210">
        <v>0</v>
      </c>
      <c r="AI210">
        <v>0</v>
      </c>
      <c r="AJ210">
        <v>7</v>
      </c>
      <c r="AK210">
        <v>7</v>
      </c>
      <c r="AL210" t="s">
        <v>437</v>
      </c>
      <c r="AM210" t="s">
        <v>438</v>
      </c>
      <c r="AN210" t="s">
        <v>439</v>
      </c>
      <c r="AO210" t="s">
        <v>4373</v>
      </c>
      <c r="AP210" t="s">
        <v>4374</v>
      </c>
      <c r="AQ210" t="s">
        <v>74</v>
      </c>
      <c r="AR210" t="s">
        <v>4375</v>
      </c>
      <c r="AS210" t="s">
        <v>4376</v>
      </c>
      <c r="AT210" t="s">
        <v>4377</v>
      </c>
      <c r="AU210">
        <v>2023</v>
      </c>
      <c r="AV210" t="s">
        <v>74</v>
      </c>
      <c r="AW210" t="s">
        <v>74</v>
      </c>
      <c r="AX210" t="s">
        <v>74</v>
      </c>
      <c r="AY210" t="s">
        <v>74</v>
      </c>
      <c r="AZ210" t="s">
        <v>74</v>
      </c>
      <c r="BA210" t="s">
        <v>74</v>
      </c>
      <c r="BB210" t="s">
        <v>74</v>
      </c>
      <c r="BC210" t="s">
        <v>74</v>
      </c>
      <c r="BD210" t="s">
        <v>74</v>
      </c>
      <c r="BE210" t="s">
        <v>4378</v>
      </c>
      <c r="BF210" t="str">
        <f>HYPERLINK("http://dx.doi.org/10.1108/JSTPM-01-2022-0013","http://dx.doi.org/10.1108/JSTPM-01-2022-0013")</f>
        <v>http://dx.doi.org/10.1108/JSTPM-01-2022-0013</v>
      </c>
      <c r="BG210" t="s">
        <v>74</v>
      </c>
      <c r="BH210" t="s">
        <v>1331</v>
      </c>
      <c r="BI210">
        <v>26</v>
      </c>
      <c r="BJ210" t="s">
        <v>418</v>
      </c>
      <c r="BK210" t="s">
        <v>124</v>
      </c>
      <c r="BL210" t="s">
        <v>419</v>
      </c>
      <c r="BM210" t="s">
        <v>4379</v>
      </c>
      <c r="BN210" t="s">
        <v>74</v>
      </c>
      <c r="BO210" t="s">
        <v>74</v>
      </c>
      <c r="BP210" t="s">
        <v>74</v>
      </c>
      <c r="BQ210" t="s">
        <v>74</v>
      </c>
      <c r="BR210" t="s">
        <v>102</v>
      </c>
      <c r="BS210" t="s">
        <v>4380</v>
      </c>
      <c r="BT210" t="str">
        <f>HYPERLINK("https%3A%2F%2Fwww.webofscience.com%2Fwos%2Fwoscc%2Ffull-record%2FWOS:001033574800001","View Full Record in Web of Science")</f>
        <v>View Full Record in Web of Science</v>
      </c>
    </row>
    <row r="211" spans="1:72" x14ac:dyDescent="0.2">
      <c r="A211" t="s">
        <v>72</v>
      </c>
      <c r="B211" t="s">
        <v>4381</v>
      </c>
      <c r="C211" t="s">
        <v>74</v>
      </c>
      <c r="D211" t="s">
        <v>74</v>
      </c>
      <c r="E211" t="s">
        <v>74</v>
      </c>
      <c r="F211" t="s">
        <v>4382</v>
      </c>
      <c r="G211" t="s">
        <v>74</v>
      </c>
      <c r="H211" t="s">
        <v>74</v>
      </c>
      <c r="I211" t="s">
        <v>4383</v>
      </c>
      <c r="J211" t="s">
        <v>4384</v>
      </c>
      <c r="K211" t="s">
        <v>74</v>
      </c>
      <c r="L211" t="s">
        <v>74</v>
      </c>
      <c r="M211" t="s">
        <v>78</v>
      </c>
      <c r="N211" t="s">
        <v>79</v>
      </c>
      <c r="O211" t="s">
        <v>74</v>
      </c>
      <c r="P211" t="s">
        <v>74</v>
      </c>
      <c r="Q211" t="s">
        <v>74</v>
      </c>
      <c r="R211" t="s">
        <v>74</v>
      </c>
      <c r="S211" t="s">
        <v>74</v>
      </c>
      <c r="T211" t="s">
        <v>4385</v>
      </c>
      <c r="U211" t="s">
        <v>4386</v>
      </c>
      <c r="V211" t="s">
        <v>4387</v>
      </c>
      <c r="W211" t="s">
        <v>4388</v>
      </c>
      <c r="X211" t="s">
        <v>4389</v>
      </c>
      <c r="Y211" t="s">
        <v>4390</v>
      </c>
      <c r="Z211" t="s">
        <v>4391</v>
      </c>
      <c r="AA211" t="s">
        <v>74</v>
      </c>
      <c r="AB211" t="s">
        <v>4392</v>
      </c>
      <c r="AC211" t="s">
        <v>74</v>
      </c>
      <c r="AD211" t="s">
        <v>74</v>
      </c>
      <c r="AE211" t="s">
        <v>74</v>
      </c>
      <c r="AF211" t="s">
        <v>74</v>
      </c>
      <c r="AG211">
        <v>194</v>
      </c>
      <c r="AH211">
        <v>1</v>
      </c>
      <c r="AI211">
        <v>1</v>
      </c>
      <c r="AJ211">
        <v>13</v>
      </c>
      <c r="AK211">
        <v>40</v>
      </c>
      <c r="AL211" t="s">
        <v>167</v>
      </c>
      <c r="AM211" t="s">
        <v>168</v>
      </c>
      <c r="AN211" t="s">
        <v>169</v>
      </c>
      <c r="AO211" t="s">
        <v>4393</v>
      </c>
      <c r="AP211" t="s">
        <v>74</v>
      </c>
      <c r="AQ211" t="s">
        <v>74</v>
      </c>
      <c r="AR211" t="s">
        <v>4384</v>
      </c>
      <c r="AS211" t="s">
        <v>4394</v>
      </c>
      <c r="AT211" t="s">
        <v>74</v>
      </c>
      <c r="AU211">
        <v>2022</v>
      </c>
      <c r="AV211">
        <v>10</v>
      </c>
      <c r="AW211" t="s">
        <v>74</v>
      </c>
      <c r="AX211" t="s">
        <v>74</v>
      </c>
      <c r="AY211" t="s">
        <v>74</v>
      </c>
      <c r="AZ211" t="s">
        <v>74</v>
      </c>
      <c r="BA211" t="s">
        <v>74</v>
      </c>
      <c r="BB211">
        <v>115603</v>
      </c>
      <c r="BC211">
        <v>115623</v>
      </c>
      <c r="BD211" t="s">
        <v>74</v>
      </c>
      <c r="BE211" t="s">
        <v>4395</v>
      </c>
      <c r="BF211" t="str">
        <f>HYPERLINK("http://dx.doi.org/10.1109/ACCESS.2022.3217500","http://dx.doi.org/10.1109/ACCESS.2022.3217500")</f>
        <v>http://dx.doi.org/10.1109/ACCESS.2022.3217500</v>
      </c>
      <c r="BG211" t="s">
        <v>74</v>
      </c>
      <c r="BH211" t="s">
        <v>74</v>
      </c>
      <c r="BI211">
        <v>21</v>
      </c>
      <c r="BJ211" t="s">
        <v>2959</v>
      </c>
      <c r="BK211" t="s">
        <v>98</v>
      </c>
      <c r="BL211" t="s">
        <v>2960</v>
      </c>
      <c r="BM211" t="s">
        <v>4396</v>
      </c>
      <c r="BN211" t="s">
        <v>74</v>
      </c>
      <c r="BO211" t="s">
        <v>4397</v>
      </c>
      <c r="BP211" t="s">
        <v>74</v>
      </c>
      <c r="BQ211" t="s">
        <v>74</v>
      </c>
      <c r="BR211" t="s">
        <v>102</v>
      </c>
      <c r="BS211" t="s">
        <v>4398</v>
      </c>
      <c r="BT211" t="str">
        <f>HYPERLINK("https%3A%2F%2Fwww.webofscience.com%2Fwos%2Fwoscc%2Ffull-record%2FWOS:000880589600001","View Full Record in Web of Science")</f>
        <v>View Full Record in Web of Science</v>
      </c>
    </row>
    <row r="212" spans="1:72" x14ac:dyDescent="0.2">
      <c r="A212" t="s">
        <v>72</v>
      </c>
      <c r="B212" t="s">
        <v>4399</v>
      </c>
      <c r="C212" t="s">
        <v>74</v>
      </c>
      <c r="D212" t="s">
        <v>74</v>
      </c>
      <c r="E212" t="s">
        <v>74</v>
      </c>
      <c r="F212" t="s">
        <v>4400</v>
      </c>
      <c r="G212" t="s">
        <v>74</v>
      </c>
      <c r="H212" t="s">
        <v>74</v>
      </c>
      <c r="I212" t="s">
        <v>4401</v>
      </c>
      <c r="J212" t="s">
        <v>1467</v>
      </c>
      <c r="K212" t="s">
        <v>74</v>
      </c>
      <c r="L212" t="s">
        <v>74</v>
      </c>
      <c r="M212" t="s">
        <v>78</v>
      </c>
      <c r="N212" t="s">
        <v>108</v>
      </c>
      <c r="O212" t="s">
        <v>74</v>
      </c>
      <c r="P212" t="s">
        <v>74</v>
      </c>
      <c r="Q212" t="s">
        <v>74</v>
      </c>
      <c r="R212" t="s">
        <v>74</v>
      </c>
      <c r="S212" t="s">
        <v>74</v>
      </c>
      <c r="T212" t="s">
        <v>4402</v>
      </c>
      <c r="U212" t="s">
        <v>4403</v>
      </c>
      <c r="V212" t="s">
        <v>4404</v>
      </c>
      <c r="W212" t="s">
        <v>4405</v>
      </c>
      <c r="X212" t="s">
        <v>4406</v>
      </c>
      <c r="Y212" t="s">
        <v>4407</v>
      </c>
      <c r="Z212" t="s">
        <v>4408</v>
      </c>
      <c r="AA212" t="s">
        <v>74</v>
      </c>
      <c r="AB212" t="s">
        <v>74</v>
      </c>
      <c r="AC212" t="s">
        <v>74</v>
      </c>
      <c r="AD212" t="s">
        <v>74</v>
      </c>
      <c r="AE212" t="s">
        <v>74</v>
      </c>
      <c r="AF212" t="s">
        <v>74</v>
      </c>
      <c r="AG212">
        <v>50</v>
      </c>
      <c r="AH212">
        <v>27</v>
      </c>
      <c r="AI212">
        <v>30</v>
      </c>
      <c r="AJ212">
        <v>3</v>
      </c>
      <c r="AK212">
        <v>36</v>
      </c>
      <c r="AL212" t="s">
        <v>209</v>
      </c>
      <c r="AM212" t="s">
        <v>210</v>
      </c>
      <c r="AN212" t="s">
        <v>211</v>
      </c>
      <c r="AO212" t="s">
        <v>1478</v>
      </c>
      <c r="AP212" t="s">
        <v>1479</v>
      </c>
      <c r="AQ212" t="s">
        <v>74</v>
      </c>
      <c r="AR212" t="s">
        <v>1480</v>
      </c>
      <c r="AS212" t="s">
        <v>1481</v>
      </c>
      <c r="AT212" t="s">
        <v>216</v>
      </c>
      <c r="AU212">
        <v>2010</v>
      </c>
      <c r="AV212">
        <v>61</v>
      </c>
      <c r="AW212">
        <v>9</v>
      </c>
      <c r="AX212" t="s">
        <v>74</v>
      </c>
      <c r="AY212" t="s">
        <v>74</v>
      </c>
      <c r="AZ212" t="s">
        <v>570</v>
      </c>
      <c r="BA212" t="s">
        <v>74</v>
      </c>
      <c r="BB212">
        <v>852</v>
      </c>
      <c r="BC212">
        <v>862</v>
      </c>
      <c r="BD212" t="s">
        <v>74</v>
      </c>
      <c r="BE212" t="s">
        <v>4409</v>
      </c>
      <c r="BF212" t="str">
        <f>HYPERLINK("http://dx.doi.org/10.1016/j.compind.2010.07.010","http://dx.doi.org/10.1016/j.compind.2010.07.010")</f>
        <v>http://dx.doi.org/10.1016/j.compind.2010.07.010</v>
      </c>
      <c r="BG212" t="s">
        <v>74</v>
      </c>
      <c r="BH212" t="s">
        <v>74</v>
      </c>
      <c r="BI212">
        <v>11</v>
      </c>
      <c r="BJ212" t="s">
        <v>1483</v>
      </c>
      <c r="BK212" t="s">
        <v>98</v>
      </c>
      <c r="BL212" t="s">
        <v>99</v>
      </c>
      <c r="BM212" t="s">
        <v>4410</v>
      </c>
      <c r="BN212" t="s">
        <v>74</v>
      </c>
      <c r="BO212" t="s">
        <v>74</v>
      </c>
      <c r="BP212" t="s">
        <v>74</v>
      </c>
      <c r="BQ212" t="s">
        <v>74</v>
      </c>
      <c r="BR212" t="s">
        <v>102</v>
      </c>
      <c r="BS212" t="s">
        <v>4411</v>
      </c>
      <c r="BT212" t="str">
        <f>HYPERLINK("https%3A%2F%2Fwww.webofscience.com%2Fwos%2Fwoscc%2Ffull-record%2FWOS:000285446100006","View Full Record in Web of Science")</f>
        <v>View Full Record in Web of Science</v>
      </c>
    </row>
    <row r="213" spans="1:72" x14ac:dyDescent="0.2">
      <c r="A213" t="s">
        <v>475</v>
      </c>
      <c r="B213" t="s">
        <v>4412</v>
      </c>
      <c r="C213" t="s">
        <v>74</v>
      </c>
      <c r="D213" t="s">
        <v>4413</v>
      </c>
      <c r="E213" t="s">
        <v>74</v>
      </c>
      <c r="F213" t="s">
        <v>4412</v>
      </c>
      <c r="G213" t="s">
        <v>74</v>
      </c>
      <c r="H213" t="s">
        <v>74</v>
      </c>
      <c r="I213" t="s">
        <v>4414</v>
      </c>
      <c r="J213" t="s">
        <v>4415</v>
      </c>
      <c r="K213" t="s">
        <v>4416</v>
      </c>
      <c r="L213" t="s">
        <v>74</v>
      </c>
      <c r="M213" t="s">
        <v>78</v>
      </c>
      <c r="N213" t="s">
        <v>482</v>
      </c>
      <c r="O213" t="s">
        <v>4417</v>
      </c>
      <c r="P213" t="s">
        <v>4418</v>
      </c>
      <c r="Q213" t="s">
        <v>4419</v>
      </c>
      <c r="R213" t="s">
        <v>4420</v>
      </c>
      <c r="S213" t="s">
        <v>74</v>
      </c>
      <c r="T213" t="s">
        <v>74</v>
      </c>
      <c r="U213" t="s">
        <v>74</v>
      </c>
      <c r="V213" t="s">
        <v>4421</v>
      </c>
      <c r="W213" t="s">
        <v>4422</v>
      </c>
      <c r="X213" t="s">
        <v>4423</v>
      </c>
      <c r="Y213" t="s">
        <v>4424</v>
      </c>
      <c r="Z213" t="s">
        <v>4425</v>
      </c>
      <c r="AA213" t="s">
        <v>4426</v>
      </c>
      <c r="AB213" t="s">
        <v>74</v>
      </c>
      <c r="AC213" t="s">
        <v>74</v>
      </c>
      <c r="AD213" t="s">
        <v>74</v>
      </c>
      <c r="AE213" t="s">
        <v>74</v>
      </c>
      <c r="AF213" t="s">
        <v>74</v>
      </c>
      <c r="AG213">
        <v>17</v>
      </c>
      <c r="AH213">
        <v>1</v>
      </c>
      <c r="AI213">
        <v>1</v>
      </c>
      <c r="AJ213">
        <v>0</v>
      </c>
      <c r="AK213">
        <v>3</v>
      </c>
      <c r="AL213" t="s">
        <v>2363</v>
      </c>
      <c r="AM213" t="s">
        <v>2364</v>
      </c>
      <c r="AN213" t="s">
        <v>2365</v>
      </c>
      <c r="AO213" t="s">
        <v>2366</v>
      </c>
      <c r="AP213" t="s">
        <v>2367</v>
      </c>
      <c r="AQ213" t="s">
        <v>4427</v>
      </c>
      <c r="AR213" t="s">
        <v>4428</v>
      </c>
      <c r="AS213" t="s">
        <v>74</v>
      </c>
      <c r="AT213" t="s">
        <v>74</v>
      </c>
      <c r="AU213">
        <v>2004</v>
      </c>
      <c r="AV213">
        <v>3191</v>
      </c>
      <c r="AW213" t="s">
        <v>74</v>
      </c>
      <c r="AX213" t="s">
        <v>74</v>
      </c>
      <c r="AY213" t="s">
        <v>74</v>
      </c>
      <c r="AZ213" t="s">
        <v>74</v>
      </c>
      <c r="BA213" t="s">
        <v>74</v>
      </c>
      <c r="BB213">
        <v>215</v>
      </c>
      <c r="BC213">
        <v>225</v>
      </c>
      <c r="BD213" t="s">
        <v>74</v>
      </c>
      <c r="BE213" t="s">
        <v>74</v>
      </c>
      <c r="BF213" t="s">
        <v>74</v>
      </c>
      <c r="BG213" t="s">
        <v>74</v>
      </c>
      <c r="BH213" t="s">
        <v>74</v>
      </c>
      <c r="BI213">
        <v>11</v>
      </c>
      <c r="BJ213" t="s">
        <v>2017</v>
      </c>
      <c r="BK213" t="s">
        <v>2370</v>
      </c>
      <c r="BL213" t="s">
        <v>99</v>
      </c>
      <c r="BM213" t="s">
        <v>4429</v>
      </c>
      <c r="BN213" t="s">
        <v>74</v>
      </c>
      <c r="BO213" t="s">
        <v>74</v>
      </c>
      <c r="BP213" t="s">
        <v>74</v>
      </c>
      <c r="BQ213" t="s">
        <v>74</v>
      </c>
      <c r="BR213" t="s">
        <v>102</v>
      </c>
      <c r="BS213" t="s">
        <v>4430</v>
      </c>
      <c r="BT213" t="str">
        <f>HYPERLINK("https%3A%2F%2Fwww.webofscience.com%2Fwos%2Fwoscc%2Ffull-record%2FWOS:000224361400016","View Full Record in Web of Science")</f>
        <v>View Full Record in Web of Science</v>
      </c>
    </row>
    <row r="214" spans="1:72" x14ac:dyDescent="0.2">
      <c r="A214" t="s">
        <v>72</v>
      </c>
      <c r="B214" t="s">
        <v>4431</v>
      </c>
      <c r="C214" t="s">
        <v>74</v>
      </c>
      <c r="D214" t="s">
        <v>74</v>
      </c>
      <c r="E214" t="s">
        <v>74</v>
      </c>
      <c r="F214" t="s">
        <v>4432</v>
      </c>
      <c r="G214" t="s">
        <v>74</v>
      </c>
      <c r="H214" t="s">
        <v>74</v>
      </c>
      <c r="I214" t="s">
        <v>4433</v>
      </c>
      <c r="J214" t="s">
        <v>873</v>
      </c>
      <c r="K214" t="s">
        <v>74</v>
      </c>
      <c r="L214" t="s">
        <v>74</v>
      </c>
      <c r="M214" t="s">
        <v>78</v>
      </c>
      <c r="N214" t="s">
        <v>108</v>
      </c>
      <c r="O214" t="s">
        <v>74</v>
      </c>
      <c r="P214" t="s">
        <v>74</v>
      </c>
      <c r="Q214" t="s">
        <v>74</v>
      </c>
      <c r="R214" t="s">
        <v>74</v>
      </c>
      <c r="S214" t="s">
        <v>74</v>
      </c>
      <c r="T214" t="s">
        <v>4434</v>
      </c>
      <c r="U214" t="s">
        <v>4435</v>
      </c>
      <c r="V214" t="s">
        <v>4436</v>
      </c>
      <c r="W214" t="s">
        <v>4437</v>
      </c>
      <c r="X214" t="s">
        <v>4072</v>
      </c>
      <c r="Y214" t="s">
        <v>4438</v>
      </c>
      <c r="Z214" t="s">
        <v>4439</v>
      </c>
      <c r="AA214" t="s">
        <v>4440</v>
      </c>
      <c r="AB214" t="s">
        <v>4441</v>
      </c>
      <c r="AC214" t="s">
        <v>74</v>
      </c>
      <c r="AD214" t="s">
        <v>74</v>
      </c>
      <c r="AE214" t="s">
        <v>74</v>
      </c>
      <c r="AF214" t="s">
        <v>74</v>
      </c>
      <c r="AG214">
        <v>79</v>
      </c>
      <c r="AH214">
        <v>99</v>
      </c>
      <c r="AI214">
        <v>105</v>
      </c>
      <c r="AJ214">
        <v>11</v>
      </c>
      <c r="AK214">
        <v>146</v>
      </c>
      <c r="AL214" t="s">
        <v>209</v>
      </c>
      <c r="AM214" t="s">
        <v>210</v>
      </c>
      <c r="AN214" t="s">
        <v>211</v>
      </c>
      <c r="AO214" t="s">
        <v>883</v>
      </c>
      <c r="AP214" t="s">
        <v>884</v>
      </c>
      <c r="AQ214" t="s">
        <v>74</v>
      </c>
      <c r="AR214" t="s">
        <v>885</v>
      </c>
      <c r="AS214" t="s">
        <v>886</v>
      </c>
      <c r="AT214" t="s">
        <v>394</v>
      </c>
      <c r="AU214">
        <v>2017</v>
      </c>
      <c r="AV214">
        <v>191</v>
      </c>
      <c r="AW214" t="s">
        <v>74</v>
      </c>
      <c r="AX214" t="s">
        <v>74</v>
      </c>
      <c r="AY214" t="s">
        <v>74</v>
      </c>
      <c r="AZ214" t="s">
        <v>74</v>
      </c>
      <c r="BA214" t="s">
        <v>74</v>
      </c>
      <c r="BB214">
        <v>143</v>
      </c>
      <c r="BC214">
        <v>153</v>
      </c>
      <c r="BD214" t="s">
        <v>74</v>
      </c>
      <c r="BE214" t="s">
        <v>4442</v>
      </c>
      <c r="BF214" t="str">
        <f>HYPERLINK("http://dx.doi.org/10.1016/j.ijpe.2017.06.001","http://dx.doi.org/10.1016/j.ijpe.2017.06.001")</f>
        <v>http://dx.doi.org/10.1016/j.ijpe.2017.06.001</v>
      </c>
      <c r="BG214" t="s">
        <v>74</v>
      </c>
      <c r="BH214" t="s">
        <v>74</v>
      </c>
      <c r="BI214">
        <v>11</v>
      </c>
      <c r="BJ214" t="s">
        <v>780</v>
      </c>
      <c r="BK214" t="s">
        <v>147</v>
      </c>
      <c r="BL214" t="s">
        <v>781</v>
      </c>
      <c r="BM214" t="s">
        <v>4443</v>
      </c>
      <c r="BN214" t="s">
        <v>74</v>
      </c>
      <c r="BO214" t="s">
        <v>74</v>
      </c>
      <c r="BP214" t="s">
        <v>74</v>
      </c>
      <c r="BQ214" t="s">
        <v>74</v>
      </c>
      <c r="BR214" t="s">
        <v>102</v>
      </c>
      <c r="BS214" t="s">
        <v>4444</v>
      </c>
      <c r="BT214" t="str">
        <f>HYPERLINK("https%3A%2F%2Fwww.webofscience.com%2Fwos%2Fwoscc%2Ffull-record%2FWOS:000409150000012","View Full Record in Web of Science")</f>
        <v>View Full Record in Web of Science</v>
      </c>
    </row>
    <row r="215" spans="1:72" x14ac:dyDescent="0.2">
      <c r="A215" t="s">
        <v>72</v>
      </c>
      <c r="B215" t="s">
        <v>4445</v>
      </c>
      <c r="C215" t="s">
        <v>74</v>
      </c>
      <c r="D215" t="s">
        <v>74</v>
      </c>
      <c r="E215" t="s">
        <v>74</v>
      </c>
      <c r="F215" t="s">
        <v>4446</v>
      </c>
      <c r="G215" t="s">
        <v>74</v>
      </c>
      <c r="H215" t="s">
        <v>74</v>
      </c>
      <c r="I215" t="s">
        <v>4447</v>
      </c>
      <c r="J215" t="s">
        <v>4448</v>
      </c>
      <c r="K215" t="s">
        <v>74</v>
      </c>
      <c r="L215" t="s">
        <v>74</v>
      </c>
      <c r="M215" t="s">
        <v>78</v>
      </c>
      <c r="N215" t="s">
        <v>108</v>
      </c>
      <c r="O215" t="s">
        <v>74</v>
      </c>
      <c r="P215" t="s">
        <v>74</v>
      </c>
      <c r="Q215" t="s">
        <v>74</v>
      </c>
      <c r="R215" t="s">
        <v>74</v>
      </c>
      <c r="S215" t="s">
        <v>74</v>
      </c>
      <c r="T215" t="s">
        <v>4449</v>
      </c>
      <c r="U215" t="s">
        <v>4450</v>
      </c>
      <c r="V215" t="s">
        <v>4451</v>
      </c>
      <c r="W215" t="s">
        <v>4452</v>
      </c>
      <c r="X215" t="s">
        <v>4453</v>
      </c>
      <c r="Y215" t="s">
        <v>4454</v>
      </c>
      <c r="Z215" t="s">
        <v>4455</v>
      </c>
      <c r="AA215" t="s">
        <v>4456</v>
      </c>
      <c r="AB215" t="s">
        <v>4457</v>
      </c>
      <c r="AC215" t="s">
        <v>74</v>
      </c>
      <c r="AD215" t="s">
        <v>74</v>
      </c>
      <c r="AE215" t="s">
        <v>74</v>
      </c>
      <c r="AF215" t="s">
        <v>74</v>
      </c>
      <c r="AG215">
        <v>119</v>
      </c>
      <c r="AH215">
        <v>28</v>
      </c>
      <c r="AI215">
        <v>30</v>
      </c>
      <c r="AJ215">
        <v>147</v>
      </c>
      <c r="AK215">
        <v>508</v>
      </c>
      <c r="AL215" t="s">
        <v>409</v>
      </c>
      <c r="AM215" t="s">
        <v>410</v>
      </c>
      <c r="AN215" t="s">
        <v>411</v>
      </c>
      <c r="AO215" t="s">
        <v>4458</v>
      </c>
      <c r="AP215" t="s">
        <v>4459</v>
      </c>
      <c r="AQ215" t="s">
        <v>74</v>
      </c>
      <c r="AR215" t="s">
        <v>4460</v>
      </c>
      <c r="AS215" t="s">
        <v>4461</v>
      </c>
      <c r="AT215" t="s">
        <v>174</v>
      </c>
      <c r="AU215">
        <v>2021</v>
      </c>
      <c r="AV215">
        <v>67</v>
      </c>
      <c r="AW215">
        <v>7</v>
      </c>
      <c r="AX215" t="s">
        <v>74</v>
      </c>
      <c r="AY215" t="s">
        <v>74</v>
      </c>
      <c r="AZ215" t="s">
        <v>74</v>
      </c>
      <c r="BA215" t="s">
        <v>74</v>
      </c>
      <c r="BB215">
        <v>803</v>
      </c>
      <c r="BC215">
        <v>827</v>
      </c>
      <c r="BD215" t="s">
        <v>74</v>
      </c>
      <c r="BE215" t="s">
        <v>4462</v>
      </c>
      <c r="BF215" t="str">
        <f>HYPERLINK("http://dx.doi.org/10.1002/joom.1150","http://dx.doi.org/10.1002/joom.1150")</f>
        <v>http://dx.doi.org/10.1002/joom.1150</v>
      </c>
      <c r="BG215" t="s">
        <v>74</v>
      </c>
      <c r="BH215" t="s">
        <v>4013</v>
      </c>
      <c r="BI215">
        <v>25</v>
      </c>
      <c r="BJ215" t="s">
        <v>524</v>
      </c>
      <c r="BK215" t="s">
        <v>147</v>
      </c>
      <c r="BL215" t="s">
        <v>525</v>
      </c>
      <c r="BM215" t="s">
        <v>4463</v>
      </c>
      <c r="BN215" t="s">
        <v>74</v>
      </c>
      <c r="BO215" t="s">
        <v>74</v>
      </c>
      <c r="BP215" t="s">
        <v>74</v>
      </c>
      <c r="BQ215" t="s">
        <v>74</v>
      </c>
      <c r="BR215" t="s">
        <v>102</v>
      </c>
      <c r="BS215" t="s">
        <v>4464</v>
      </c>
      <c r="BT215" t="str">
        <f>HYPERLINK("https%3A%2F%2Fwww.webofscience.com%2Fwos%2Fwoscc%2Ffull-record%2FWOS:000661300500001","View Full Record in Web of Science")</f>
        <v>View Full Record in Web of Science</v>
      </c>
    </row>
    <row r="216" spans="1:72" x14ac:dyDescent="0.2">
      <c r="A216" t="s">
        <v>72</v>
      </c>
      <c r="B216" t="s">
        <v>4465</v>
      </c>
      <c r="C216" t="s">
        <v>74</v>
      </c>
      <c r="D216" t="s">
        <v>74</v>
      </c>
      <c r="E216" t="s">
        <v>74</v>
      </c>
      <c r="F216" t="s">
        <v>4466</v>
      </c>
      <c r="G216" t="s">
        <v>74</v>
      </c>
      <c r="H216" t="s">
        <v>74</v>
      </c>
      <c r="I216" t="s">
        <v>4467</v>
      </c>
      <c r="J216" t="s">
        <v>3542</v>
      </c>
      <c r="K216" t="s">
        <v>74</v>
      </c>
      <c r="L216" t="s">
        <v>74</v>
      </c>
      <c r="M216" t="s">
        <v>78</v>
      </c>
      <c r="N216" t="s">
        <v>108</v>
      </c>
      <c r="O216" t="s">
        <v>74</v>
      </c>
      <c r="P216" t="s">
        <v>74</v>
      </c>
      <c r="Q216" t="s">
        <v>74</v>
      </c>
      <c r="R216" t="s">
        <v>74</v>
      </c>
      <c r="S216" t="s">
        <v>74</v>
      </c>
      <c r="T216" t="s">
        <v>4468</v>
      </c>
      <c r="U216" t="s">
        <v>74</v>
      </c>
      <c r="V216" t="s">
        <v>4469</v>
      </c>
      <c r="W216" t="s">
        <v>4470</v>
      </c>
      <c r="X216" t="s">
        <v>4471</v>
      </c>
      <c r="Y216" t="s">
        <v>4472</v>
      </c>
      <c r="Z216" t="s">
        <v>4473</v>
      </c>
      <c r="AA216" t="s">
        <v>74</v>
      </c>
      <c r="AB216" t="s">
        <v>74</v>
      </c>
      <c r="AC216" t="s">
        <v>74</v>
      </c>
      <c r="AD216" t="s">
        <v>74</v>
      </c>
      <c r="AE216" t="s">
        <v>74</v>
      </c>
      <c r="AF216" t="s">
        <v>74</v>
      </c>
      <c r="AG216">
        <v>21</v>
      </c>
      <c r="AH216">
        <v>1</v>
      </c>
      <c r="AI216">
        <v>1</v>
      </c>
      <c r="AJ216">
        <v>19</v>
      </c>
      <c r="AK216">
        <v>70</v>
      </c>
      <c r="AL216" t="s">
        <v>3552</v>
      </c>
      <c r="AM216" t="s">
        <v>210</v>
      </c>
      <c r="AN216" t="s">
        <v>3553</v>
      </c>
      <c r="AO216" t="s">
        <v>3554</v>
      </c>
      <c r="AP216" t="s">
        <v>3555</v>
      </c>
      <c r="AQ216" t="s">
        <v>74</v>
      </c>
      <c r="AR216" t="s">
        <v>3556</v>
      </c>
      <c r="AS216" t="s">
        <v>3557</v>
      </c>
      <c r="AT216" t="s">
        <v>74</v>
      </c>
      <c r="AU216">
        <v>2021</v>
      </c>
      <c r="AV216">
        <v>41</v>
      </c>
      <c r="AW216">
        <v>2</v>
      </c>
      <c r="AX216" t="s">
        <v>74</v>
      </c>
      <c r="AY216" t="s">
        <v>74</v>
      </c>
      <c r="AZ216" t="s">
        <v>74</v>
      </c>
      <c r="BA216" t="s">
        <v>74</v>
      </c>
      <c r="BB216">
        <v>3591</v>
      </c>
      <c r="BC216">
        <v>3602</v>
      </c>
      <c r="BD216" t="s">
        <v>74</v>
      </c>
      <c r="BE216" t="s">
        <v>4474</v>
      </c>
      <c r="BF216" t="str">
        <f>HYPERLINK("http://dx.doi.org/10.3233/JIFS-210962","http://dx.doi.org/10.3233/JIFS-210962")</f>
        <v>http://dx.doi.org/10.3233/JIFS-210962</v>
      </c>
      <c r="BG216" t="s">
        <v>74</v>
      </c>
      <c r="BH216" t="s">
        <v>74</v>
      </c>
      <c r="BI216">
        <v>12</v>
      </c>
      <c r="BJ216" t="s">
        <v>2017</v>
      </c>
      <c r="BK216" t="s">
        <v>98</v>
      </c>
      <c r="BL216" t="s">
        <v>99</v>
      </c>
      <c r="BM216" t="s">
        <v>4475</v>
      </c>
      <c r="BN216" t="s">
        <v>74</v>
      </c>
      <c r="BO216" t="s">
        <v>74</v>
      </c>
      <c r="BP216" t="s">
        <v>74</v>
      </c>
      <c r="BQ216" t="s">
        <v>74</v>
      </c>
      <c r="BR216" t="s">
        <v>102</v>
      </c>
      <c r="BS216" t="s">
        <v>4476</v>
      </c>
      <c r="BT216" t="str">
        <f>HYPERLINK("https%3A%2F%2Fwww.webofscience.com%2Fwos%2Fwoscc%2Ffull-record%2FWOS:000697340200071","View Full Record in Web of Science")</f>
        <v>View Full Record in Web of Science</v>
      </c>
    </row>
    <row r="217" spans="1:72" x14ac:dyDescent="0.2">
      <c r="A217" t="s">
        <v>72</v>
      </c>
      <c r="B217" t="s">
        <v>4477</v>
      </c>
      <c r="C217" t="s">
        <v>74</v>
      </c>
      <c r="D217" t="s">
        <v>74</v>
      </c>
      <c r="E217" t="s">
        <v>74</v>
      </c>
      <c r="F217" t="s">
        <v>4478</v>
      </c>
      <c r="G217" t="s">
        <v>74</v>
      </c>
      <c r="H217" t="s">
        <v>74</v>
      </c>
      <c r="I217" t="s">
        <v>4479</v>
      </c>
      <c r="J217" t="s">
        <v>4480</v>
      </c>
      <c r="K217" t="s">
        <v>74</v>
      </c>
      <c r="L217" t="s">
        <v>74</v>
      </c>
      <c r="M217" t="s">
        <v>78</v>
      </c>
      <c r="N217" t="s">
        <v>108</v>
      </c>
      <c r="O217" t="s">
        <v>74</v>
      </c>
      <c r="P217" t="s">
        <v>74</v>
      </c>
      <c r="Q217" t="s">
        <v>74</v>
      </c>
      <c r="R217" t="s">
        <v>74</v>
      </c>
      <c r="S217" t="s">
        <v>74</v>
      </c>
      <c r="T217" t="s">
        <v>4481</v>
      </c>
      <c r="U217" t="s">
        <v>4482</v>
      </c>
      <c r="V217" t="s">
        <v>4483</v>
      </c>
      <c r="W217" t="s">
        <v>4484</v>
      </c>
      <c r="X217" t="s">
        <v>74</v>
      </c>
      <c r="Y217" t="s">
        <v>4485</v>
      </c>
      <c r="Z217" t="s">
        <v>4486</v>
      </c>
      <c r="AA217" t="s">
        <v>74</v>
      </c>
      <c r="AB217" t="s">
        <v>74</v>
      </c>
      <c r="AC217" t="s">
        <v>74</v>
      </c>
      <c r="AD217" t="s">
        <v>74</v>
      </c>
      <c r="AE217" t="s">
        <v>74</v>
      </c>
      <c r="AF217" t="s">
        <v>74</v>
      </c>
      <c r="AG217">
        <v>35</v>
      </c>
      <c r="AH217">
        <v>0</v>
      </c>
      <c r="AI217">
        <v>0</v>
      </c>
      <c r="AJ217">
        <v>5</v>
      </c>
      <c r="AK217">
        <v>12</v>
      </c>
      <c r="AL217" t="s">
        <v>4005</v>
      </c>
      <c r="AM217" t="s">
        <v>4006</v>
      </c>
      <c r="AN217" t="s">
        <v>4007</v>
      </c>
      <c r="AO217" t="s">
        <v>4487</v>
      </c>
      <c r="AP217" t="s">
        <v>4488</v>
      </c>
      <c r="AQ217" t="s">
        <v>74</v>
      </c>
      <c r="AR217" t="s">
        <v>4489</v>
      </c>
      <c r="AS217" t="s">
        <v>4490</v>
      </c>
      <c r="AT217" t="s">
        <v>372</v>
      </c>
      <c r="AU217">
        <v>2023</v>
      </c>
      <c r="AV217">
        <v>30</v>
      </c>
      <c r="AW217">
        <v>3</v>
      </c>
      <c r="AX217" t="s">
        <v>74</v>
      </c>
      <c r="AY217" t="s">
        <v>74</v>
      </c>
      <c r="AZ217" t="s">
        <v>74</v>
      </c>
      <c r="BA217" t="s">
        <v>74</v>
      </c>
      <c r="BB217">
        <v>8062</v>
      </c>
      <c r="BC217">
        <v>8079</v>
      </c>
      <c r="BD217" t="s">
        <v>74</v>
      </c>
      <c r="BE217" t="s">
        <v>4491</v>
      </c>
      <c r="BF217" t="str">
        <f>HYPERLINK("http://dx.doi.org/10.1007/s11356-022-22499-7","http://dx.doi.org/10.1007/s11356-022-22499-7")</f>
        <v>http://dx.doi.org/10.1007/s11356-022-22499-7</v>
      </c>
      <c r="BG217" t="s">
        <v>74</v>
      </c>
      <c r="BH217" t="s">
        <v>4492</v>
      </c>
      <c r="BI217">
        <v>18</v>
      </c>
      <c r="BJ217" t="s">
        <v>674</v>
      </c>
      <c r="BK217" t="s">
        <v>98</v>
      </c>
      <c r="BL217" t="s">
        <v>675</v>
      </c>
      <c r="BM217" t="s">
        <v>4493</v>
      </c>
      <c r="BN217">
        <v>36048397</v>
      </c>
      <c r="BO217" t="s">
        <v>74</v>
      </c>
      <c r="BP217" t="s">
        <v>74</v>
      </c>
      <c r="BQ217" t="s">
        <v>74</v>
      </c>
      <c r="BR217" t="s">
        <v>102</v>
      </c>
      <c r="BS217" t="s">
        <v>4494</v>
      </c>
      <c r="BT217" t="str">
        <f>HYPERLINK("https%3A%2F%2Fwww.webofscience.com%2Fwos%2Fwoscc%2Ffull-record%2FWOS:000849304200014","View Full Record in Web of Science")</f>
        <v>View Full Record in Web of Science</v>
      </c>
    </row>
    <row r="218" spans="1:72" x14ac:dyDescent="0.2">
      <c r="A218" t="s">
        <v>72</v>
      </c>
      <c r="B218" t="s">
        <v>4495</v>
      </c>
      <c r="C218" t="s">
        <v>74</v>
      </c>
      <c r="D218" t="s">
        <v>74</v>
      </c>
      <c r="E218" t="s">
        <v>74</v>
      </c>
      <c r="F218" t="s">
        <v>4496</v>
      </c>
      <c r="G218" t="s">
        <v>74</v>
      </c>
      <c r="H218" t="s">
        <v>74</v>
      </c>
      <c r="I218" t="s">
        <v>4497</v>
      </c>
      <c r="J218" t="s">
        <v>2042</v>
      </c>
      <c r="K218" t="s">
        <v>74</v>
      </c>
      <c r="L218" t="s">
        <v>74</v>
      </c>
      <c r="M218" t="s">
        <v>78</v>
      </c>
      <c r="N218" t="s">
        <v>108</v>
      </c>
      <c r="O218" t="s">
        <v>74</v>
      </c>
      <c r="P218" t="s">
        <v>74</v>
      </c>
      <c r="Q218" t="s">
        <v>74</v>
      </c>
      <c r="R218" t="s">
        <v>74</v>
      </c>
      <c r="S218" t="s">
        <v>74</v>
      </c>
      <c r="T218" t="s">
        <v>4498</v>
      </c>
      <c r="U218" t="s">
        <v>4499</v>
      </c>
      <c r="V218" t="s">
        <v>4500</v>
      </c>
      <c r="W218" t="s">
        <v>4501</v>
      </c>
      <c r="X218" t="s">
        <v>2529</v>
      </c>
      <c r="Y218" t="s">
        <v>4502</v>
      </c>
      <c r="Z218" t="s">
        <v>4503</v>
      </c>
      <c r="AA218" t="s">
        <v>4504</v>
      </c>
      <c r="AB218" t="s">
        <v>4505</v>
      </c>
      <c r="AC218" t="s">
        <v>4506</v>
      </c>
      <c r="AD218" t="s">
        <v>4506</v>
      </c>
      <c r="AE218" t="s">
        <v>4507</v>
      </c>
      <c r="AF218" t="s">
        <v>74</v>
      </c>
      <c r="AG218">
        <v>26</v>
      </c>
      <c r="AH218">
        <v>33</v>
      </c>
      <c r="AI218">
        <v>34</v>
      </c>
      <c r="AJ218">
        <v>3</v>
      </c>
      <c r="AK218">
        <v>58</v>
      </c>
      <c r="AL218" t="s">
        <v>543</v>
      </c>
      <c r="AM218" t="s">
        <v>260</v>
      </c>
      <c r="AN218" t="s">
        <v>544</v>
      </c>
      <c r="AO218" t="s">
        <v>2054</v>
      </c>
      <c r="AP218" t="s">
        <v>2055</v>
      </c>
      <c r="AQ218" t="s">
        <v>74</v>
      </c>
      <c r="AR218" t="s">
        <v>2056</v>
      </c>
      <c r="AS218" t="s">
        <v>2057</v>
      </c>
      <c r="AT218" t="s">
        <v>616</v>
      </c>
      <c r="AU218">
        <v>2012</v>
      </c>
      <c r="AV218">
        <v>39</v>
      </c>
      <c r="AW218">
        <v>4</v>
      </c>
      <c r="AX218" t="s">
        <v>74</v>
      </c>
      <c r="AY218" t="s">
        <v>74</v>
      </c>
      <c r="AZ218" t="s">
        <v>74</v>
      </c>
      <c r="BA218" t="s">
        <v>74</v>
      </c>
      <c r="BB218">
        <v>3906</v>
      </c>
      <c r="BC218">
        <v>3924</v>
      </c>
      <c r="BD218" t="s">
        <v>74</v>
      </c>
      <c r="BE218" t="s">
        <v>4508</v>
      </c>
      <c r="BF218" t="str">
        <f>HYPERLINK("http://dx.doi.org/10.1016/j.eswa.2011.08.096","http://dx.doi.org/10.1016/j.eswa.2011.08.096")</f>
        <v>http://dx.doi.org/10.1016/j.eswa.2011.08.096</v>
      </c>
      <c r="BG218" t="s">
        <v>74</v>
      </c>
      <c r="BH218" t="s">
        <v>74</v>
      </c>
      <c r="BI218">
        <v>19</v>
      </c>
      <c r="BJ218" t="s">
        <v>2059</v>
      </c>
      <c r="BK218" t="s">
        <v>98</v>
      </c>
      <c r="BL218" t="s">
        <v>2060</v>
      </c>
      <c r="BM218" t="s">
        <v>4509</v>
      </c>
      <c r="BN218" t="s">
        <v>74</v>
      </c>
      <c r="BO218" t="s">
        <v>74</v>
      </c>
      <c r="BP218" t="s">
        <v>74</v>
      </c>
      <c r="BQ218" t="s">
        <v>74</v>
      </c>
      <c r="BR218" t="s">
        <v>102</v>
      </c>
      <c r="BS218" t="s">
        <v>4510</v>
      </c>
      <c r="BT218" t="str">
        <f>HYPERLINK("https%3A%2F%2Fwww.webofscience.com%2Fwos%2Fwoscc%2Ffull-record%2FWOS:000299583700002","View Full Record in Web of Science")</f>
        <v>View Full Record in Web of Science</v>
      </c>
    </row>
    <row r="219" spans="1:72" x14ac:dyDescent="0.2">
      <c r="A219" t="s">
        <v>72</v>
      </c>
      <c r="B219" t="s">
        <v>4511</v>
      </c>
      <c r="C219" t="s">
        <v>74</v>
      </c>
      <c r="D219" t="s">
        <v>74</v>
      </c>
      <c r="E219" t="s">
        <v>74</v>
      </c>
      <c r="F219" t="s">
        <v>4512</v>
      </c>
      <c r="G219" t="s">
        <v>74</v>
      </c>
      <c r="H219" t="s">
        <v>74</v>
      </c>
      <c r="I219" t="s">
        <v>4513</v>
      </c>
      <c r="J219" t="s">
        <v>4514</v>
      </c>
      <c r="K219" t="s">
        <v>74</v>
      </c>
      <c r="L219" t="s">
        <v>74</v>
      </c>
      <c r="M219" t="s">
        <v>78</v>
      </c>
      <c r="N219" t="s">
        <v>917</v>
      </c>
      <c r="O219" t="s">
        <v>74</v>
      </c>
      <c r="P219" t="s">
        <v>74</v>
      </c>
      <c r="Q219" t="s">
        <v>74</v>
      </c>
      <c r="R219" t="s">
        <v>74</v>
      </c>
      <c r="S219" t="s">
        <v>74</v>
      </c>
      <c r="T219" t="s">
        <v>4515</v>
      </c>
      <c r="U219" t="s">
        <v>4516</v>
      </c>
      <c r="V219" t="s">
        <v>4517</v>
      </c>
      <c r="W219" t="s">
        <v>4518</v>
      </c>
      <c r="X219" t="s">
        <v>4519</v>
      </c>
      <c r="Y219" t="s">
        <v>4520</v>
      </c>
      <c r="Z219" t="s">
        <v>4521</v>
      </c>
      <c r="AA219" t="s">
        <v>4522</v>
      </c>
      <c r="AB219" t="s">
        <v>4523</v>
      </c>
      <c r="AC219" t="s">
        <v>4524</v>
      </c>
      <c r="AD219" t="s">
        <v>4524</v>
      </c>
      <c r="AE219" t="s">
        <v>4525</v>
      </c>
      <c r="AF219" t="s">
        <v>74</v>
      </c>
      <c r="AG219">
        <v>89</v>
      </c>
      <c r="AH219">
        <v>0</v>
      </c>
      <c r="AI219">
        <v>0</v>
      </c>
      <c r="AJ219">
        <v>0</v>
      </c>
      <c r="AK219">
        <v>6</v>
      </c>
      <c r="AL219" t="s">
        <v>437</v>
      </c>
      <c r="AM219" t="s">
        <v>438</v>
      </c>
      <c r="AN219" t="s">
        <v>439</v>
      </c>
      <c r="AO219" t="s">
        <v>4526</v>
      </c>
      <c r="AP219" t="s">
        <v>4527</v>
      </c>
      <c r="AQ219" t="s">
        <v>74</v>
      </c>
      <c r="AR219" t="s">
        <v>4528</v>
      </c>
      <c r="AS219" t="s">
        <v>4529</v>
      </c>
      <c r="AT219" t="s">
        <v>4530</v>
      </c>
      <c r="AU219">
        <v>2021</v>
      </c>
      <c r="AV219" t="s">
        <v>74</v>
      </c>
      <c r="AW219" t="s">
        <v>74</v>
      </c>
      <c r="AX219" t="s">
        <v>74</v>
      </c>
      <c r="AY219" t="s">
        <v>74</v>
      </c>
      <c r="AZ219" t="s">
        <v>74</v>
      </c>
      <c r="BA219" t="s">
        <v>74</v>
      </c>
      <c r="BB219" t="s">
        <v>74</v>
      </c>
      <c r="BC219" t="s">
        <v>74</v>
      </c>
      <c r="BD219" t="s">
        <v>74</v>
      </c>
      <c r="BE219" t="s">
        <v>4531</v>
      </c>
      <c r="BF219" t="str">
        <f>HYPERLINK("http://dx.doi.org/10.1108/JCHMSD-08-2021-0148","http://dx.doi.org/10.1108/JCHMSD-08-2021-0148")</f>
        <v>http://dx.doi.org/10.1108/JCHMSD-08-2021-0148</v>
      </c>
      <c r="BG219" t="s">
        <v>74</v>
      </c>
      <c r="BH219" t="s">
        <v>4060</v>
      </c>
      <c r="BI219">
        <v>25</v>
      </c>
      <c r="BJ219" t="s">
        <v>4532</v>
      </c>
      <c r="BK219" t="s">
        <v>124</v>
      </c>
      <c r="BL219" t="s">
        <v>621</v>
      </c>
      <c r="BM219" t="s">
        <v>4533</v>
      </c>
      <c r="BN219" t="s">
        <v>74</v>
      </c>
      <c r="BO219" t="s">
        <v>74</v>
      </c>
      <c r="BP219" t="s">
        <v>74</v>
      </c>
      <c r="BQ219" t="s">
        <v>74</v>
      </c>
      <c r="BR219" t="s">
        <v>102</v>
      </c>
      <c r="BS219" t="s">
        <v>4534</v>
      </c>
      <c r="BT219" t="str">
        <f>HYPERLINK("https%3A%2F%2Fwww.webofscience.com%2Fwos%2Fwoscc%2Ffull-record%2FWOS:000735932000001","View Full Record in Web of Science")</f>
        <v>View Full Record in Web of Science</v>
      </c>
    </row>
    <row r="220" spans="1:72" x14ac:dyDescent="0.2">
      <c r="A220" t="s">
        <v>72</v>
      </c>
      <c r="B220" t="s">
        <v>4535</v>
      </c>
      <c r="C220" t="s">
        <v>74</v>
      </c>
      <c r="D220" t="s">
        <v>74</v>
      </c>
      <c r="E220" t="s">
        <v>74</v>
      </c>
      <c r="F220" t="s">
        <v>4536</v>
      </c>
      <c r="G220" t="s">
        <v>74</v>
      </c>
      <c r="H220" t="s">
        <v>74</v>
      </c>
      <c r="I220" t="s">
        <v>4537</v>
      </c>
      <c r="J220" t="s">
        <v>762</v>
      </c>
      <c r="K220" t="s">
        <v>74</v>
      </c>
      <c r="L220" t="s">
        <v>74</v>
      </c>
      <c r="M220" t="s">
        <v>78</v>
      </c>
      <c r="N220" t="s">
        <v>108</v>
      </c>
      <c r="O220" t="s">
        <v>74</v>
      </c>
      <c r="P220" t="s">
        <v>74</v>
      </c>
      <c r="Q220" t="s">
        <v>74</v>
      </c>
      <c r="R220" t="s">
        <v>74</v>
      </c>
      <c r="S220" t="s">
        <v>74</v>
      </c>
      <c r="T220" t="s">
        <v>4538</v>
      </c>
      <c r="U220" t="s">
        <v>4539</v>
      </c>
      <c r="V220" t="s">
        <v>4540</v>
      </c>
      <c r="W220" t="s">
        <v>4541</v>
      </c>
      <c r="X220" t="s">
        <v>407</v>
      </c>
      <c r="Y220" t="s">
        <v>4542</v>
      </c>
      <c r="Z220" t="s">
        <v>4543</v>
      </c>
      <c r="AA220" t="s">
        <v>4544</v>
      </c>
      <c r="AB220" t="s">
        <v>74</v>
      </c>
      <c r="AC220" t="s">
        <v>74</v>
      </c>
      <c r="AD220" t="s">
        <v>74</v>
      </c>
      <c r="AE220" t="s">
        <v>74</v>
      </c>
      <c r="AF220" t="s">
        <v>74</v>
      </c>
      <c r="AG220">
        <v>103</v>
      </c>
      <c r="AH220">
        <v>101</v>
      </c>
      <c r="AI220">
        <v>101</v>
      </c>
      <c r="AJ220">
        <v>2</v>
      </c>
      <c r="AK220">
        <v>108</v>
      </c>
      <c r="AL220" t="s">
        <v>279</v>
      </c>
      <c r="AM220" t="s">
        <v>280</v>
      </c>
      <c r="AN220" t="s">
        <v>281</v>
      </c>
      <c r="AO220" t="s">
        <v>773</v>
      </c>
      <c r="AP220" t="s">
        <v>774</v>
      </c>
      <c r="AQ220" t="s">
        <v>74</v>
      </c>
      <c r="AR220" t="s">
        <v>775</v>
      </c>
      <c r="AS220" t="s">
        <v>776</v>
      </c>
      <c r="AT220" t="s">
        <v>74</v>
      </c>
      <c r="AU220">
        <v>2014</v>
      </c>
      <c r="AV220">
        <v>52</v>
      </c>
      <c r="AW220">
        <v>16</v>
      </c>
      <c r="AX220" t="s">
        <v>74</v>
      </c>
      <c r="AY220" t="s">
        <v>74</v>
      </c>
      <c r="AZ220" t="s">
        <v>74</v>
      </c>
      <c r="BA220" t="s">
        <v>74</v>
      </c>
      <c r="BB220">
        <v>4695</v>
      </c>
      <c r="BC220">
        <v>4710</v>
      </c>
      <c r="BD220" t="s">
        <v>74</v>
      </c>
      <c r="BE220" t="s">
        <v>4545</v>
      </c>
      <c r="BF220" t="str">
        <f>HYPERLINK("http://dx.doi.org/10.1080/00207543.2013.861616","http://dx.doi.org/10.1080/00207543.2013.861616")</f>
        <v>http://dx.doi.org/10.1080/00207543.2013.861616</v>
      </c>
      <c r="BG220" t="s">
        <v>74</v>
      </c>
      <c r="BH220" t="s">
        <v>74</v>
      </c>
      <c r="BI220">
        <v>16</v>
      </c>
      <c r="BJ220" t="s">
        <v>780</v>
      </c>
      <c r="BK220" t="s">
        <v>98</v>
      </c>
      <c r="BL220" t="s">
        <v>781</v>
      </c>
      <c r="BM220" t="s">
        <v>4546</v>
      </c>
      <c r="BN220" t="s">
        <v>74</v>
      </c>
      <c r="BO220" t="s">
        <v>594</v>
      </c>
      <c r="BP220" t="s">
        <v>74</v>
      </c>
      <c r="BQ220" t="s">
        <v>74</v>
      </c>
      <c r="BR220" t="s">
        <v>102</v>
      </c>
      <c r="BS220" t="s">
        <v>4547</v>
      </c>
      <c r="BT220" t="str">
        <f>HYPERLINK("https%3A%2F%2Fwww.webofscience.com%2Fwos%2Fwoscc%2Ffull-record%2FWOS:000340203300002","View Full Record in Web of Science")</f>
        <v>View Full Record in Web of Science</v>
      </c>
    </row>
    <row r="221" spans="1:72" x14ac:dyDescent="0.2">
      <c r="A221" t="s">
        <v>72</v>
      </c>
      <c r="B221" t="s">
        <v>4548</v>
      </c>
      <c r="C221" t="s">
        <v>74</v>
      </c>
      <c r="D221" t="s">
        <v>74</v>
      </c>
      <c r="E221" t="s">
        <v>74</v>
      </c>
      <c r="F221" t="s">
        <v>4549</v>
      </c>
      <c r="G221" t="s">
        <v>74</v>
      </c>
      <c r="H221" t="s">
        <v>74</v>
      </c>
      <c r="I221" t="s">
        <v>4550</v>
      </c>
      <c r="J221" t="s">
        <v>1317</v>
      </c>
      <c r="K221" t="s">
        <v>74</v>
      </c>
      <c r="L221" t="s">
        <v>74</v>
      </c>
      <c r="M221" t="s">
        <v>78</v>
      </c>
      <c r="N221" t="s">
        <v>917</v>
      </c>
      <c r="O221" t="s">
        <v>74</v>
      </c>
      <c r="P221" t="s">
        <v>74</v>
      </c>
      <c r="Q221" t="s">
        <v>74</v>
      </c>
      <c r="R221" t="s">
        <v>74</v>
      </c>
      <c r="S221" t="s">
        <v>74</v>
      </c>
      <c r="T221" t="s">
        <v>4551</v>
      </c>
      <c r="U221" t="s">
        <v>4552</v>
      </c>
      <c r="V221" t="s">
        <v>4553</v>
      </c>
      <c r="W221" t="s">
        <v>4554</v>
      </c>
      <c r="X221" t="s">
        <v>4555</v>
      </c>
      <c r="Y221" t="s">
        <v>4556</v>
      </c>
      <c r="Z221" t="s">
        <v>4557</v>
      </c>
      <c r="AA221" t="s">
        <v>4558</v>
      </c>
      <c r="AB221" t="s">
        <v>4559</v>
      </c>
      <c r="AC221" t="s">
        <v>4560</v>
      </c>
      <c r="AD221" t="s">
        <v>4561</v>
      </c>
      <c r="AE221" t="s">
        <v>4562</v>
      </c>
      <c r="AF221" t="s">
        <v>74</v>
      </c>
      <c r="AG221">
        <v>109</v>
      </c>
      <c r="AH221">
        <v>1</v>
      </c>
      <c r="AI221">
        <v>1</v>
      </c>
      <c r="AJ221">
        <v>9</v>
      </c>
      <c r="AK221">
        <v>17</v>
      </c>
      <c r="AL221" t="s">
        <v>437</v>
      </c>
      <c r="AM221" t="s">
        <v>438</v>
      </c>
      <c r="AN221" t="s">
        <v>439</v>
      </c>
      <c r="AO221" t="s">
        <v>1325</v>
      </c>
      <c r="AP221" t="s">
        <v>1326</v>
      </c>
      <c r="AQ221" t="s">
        <v>74</v>
      </c>
      <c r="AR221" t="s">
        <v>1327</v>
      </c>
      <c r="AS221" t="s">
        <v>1328</v>
      </c>
      <c r="AT221" t="s">
        <v>2759</v>
      </c>
      <c r="AU221">
        <v>2022</v>
      </c>
      <c r="AV221" t="s">
        <v>74</v>
      </c>
      <c r="AW221" t="s">
        <v>74</v>
      </c>
      <c r="AX221" t="s">
        <v>74</v>
      </c>
      <c r="AY221" t="s">
        <v>74</v>
      </c>
      <c r="AZ221" t="s">
        <v>74</v>
      </c>
      <c r="BA221" t="s">
        <v>74</v>
      </c>
      <c r="BB221" t="s">
        <v>74</v>
      </c>
      <c r="BC221" t="s">
        <v>74</v>
      </c>
      <c r="BD221" t="s">
        <v>74</v>
      </c>
      <c r="BE221" t="s">
        <v>4563</v>
      </c>
      <c r="BF221" t="str">
        <f>HYPERLINK("http://dx.doi.org/10.1108/BIJ-02-2022-0111","http://dx.doi.org/10.1108/BIJ-02-2022-0111")</f>
        <v>http://dx.doi.org/10.1108/BIJ-02-2022-0111</v>
      </c>
      <c r="BG221" t="s">
        <v>74</v>
      </c>
      <c r="BH221" t="s">
        <v>218</v>
      </c>
      <c r="BI221">
        <v>26</v>
      </c>
      <c r="BJ221" t="s">
        <v>418</v>
      </c>
      <c r="BK221" t="s">
        <v>124</v>
      </c>
      <c r="BL221" t="s">
        <v>419</v>
      </c>
      <c r="BM221" t="s">
        <v>4564</v>
      </c>
      <c r="BN221" t="s">
        <v>74</v>
      </c>
      <c r="BO221" t="s">
        <v>74</v>
      </c>
      <c r="BP221" t="s">
        <v>74</v>
      </c>
      <c r="BQ221" t="s">
        <v>74</v>
      </c>
      <c r="BR221" t="s">
        <v>102</v>
      </c>
      <c r="BS221" t="s">
        <v>4565</v>
      </c>
      <c r="BT221" t="str">
        <f>HYPERLINK("https%3A%2F%2Fwww.webofscience.com%2Fwos%2Fwoscc%2Ffull-record%2FWOS:000886385500001","View Full Record in Web of Science")</f>
        <v>View Full Record in Web of Science</v>
      </c>
    </row>
    <row r="222" spans="1:72" x14ac:dyDescent="0.2">
      <c r="A222" t="s">
        <v>72</v>
      </c>
      <c r="B222" t="s">
        <v>4566</v>
      </c>
      <c r="C222" t="s">
        <v>74</v>
      </c>
      <c r="D222" t="s">
        <v>74</v>
      </c>
      <c r="E222" t="s">
        <v>74</v>
      </c>
      <c r="F222" t="s">
        <v>4567</v>
      </c>
      <c r="G222" t="s">
        <v>74</v>
      </c>
      <c r="H222" t="s">
        <v>74</v>
      </c>
      <c r="I222" t="s">
        <v>4568</v>
      </c>
      <c r="J222" t="s">
        <v>4569</v>
      </c>
      <c r="K222" t="s">
        <v>74</v>
      </c>
      <c r="L222" t="s">
        <v>74</v>
      </c>
      <c r="M222" t="s">
        <v>78</v>
      </c>
      <c r="N222" t="s">
        <v>108</v>
      </c>
      <c r="O222" t="s">
        <v>74</v>
      </c>
      <c r="P222" t="s">
        <v>74</v>
      </c>
      <c r="Q222" t="s">
        <v>74</v>
      </c>
      <c r="R222" t="s">
        <v>74</v>
      </c>
      <c r="S222" t="s">
        <v>74</v>
      </c>
      <c r="T222" t="s">
        <v>4570</v>
      </c>
      <c r="U222" t="s">
        <v>4571</v>
      </c>
      <c r="V222" t="s">
        <v>4572</v>
      </c>
      <c r="W222" t="s">
        <v>4573</v>
      </c>
      <c r="X222" t="s">
        <v>4574</v>
      </c>
      <c r="Y222" t="s">
        <v>4575</v>
      </c>
      <c r="Z222" t="s">
        <v>4576</v>
      </c>
      <c r="AA222" t="s">
        <v>4577</v>
      </c>
      <c r="AB222" t="s">
        <v>4578</v>
      </c>
      <c r="AC222" t="s">
        <v>4579</v>
      </c>
      <c r="AD222" t="s">
        <v>4580</v>
      </c>
      <c r="AE222" t="s">
        <v>4581</v>
      </c>
      <c r="AF222" t="s">
        <v>74</v>
      </c>
      <c r="AG222">
        <v>83</v>
      </c>
      <c r="AH222">
        <v>18</v>
      </c>
      <c r="AI222">
        <v>18</v>
      </c>
      <c r="AJ222">
        <v>15</v>
      </c>
      <c r="AK222">
        <v>49</v>
      </c>
      <c r="AL222" t="s">
        <v>209</v>
      </c>
      <c r="AM222" t="s">
        <v>210</v>
      </c>
      <c r="AN222" t="s">
        <v>211</v>
      </c>
      <c r="AO222" t="s">
        <v>4582</v>
      </c>
      <c r="AP222" t="s">
        <v>4583</v>
      </c>
      <c r="AQ222" t="s">
        <v>74</v>
      </c>
      <c r="AR222" t="s">
        <v>4584</v>
      </c>
      <c r="AS222" t="s">
        <v>4585</v>
      </c>
      <c r="AT222" t="s">
        <v>372</v>
      </c>
      <c r="AU222">
        <v>2021</v>
      </c>
      <c r="AV222">
        <v>140</v>
      </c>
      <c r="AW222" t="s">
        <v>74</v>
      </c>
      <c r="AX222" t="s">
        <v>74</v>
      </c>
      <c r="AY222" t="s">
        <v>74</v>
      </c>
      <c r="AZ222" t="s">
        <v>74</v>
      </c>
      <c r="BA222" t="s">
        <v>74</v>
      </c>
      <c r="BB222" t="s">
        <v>74</v>
      </c>
      <c r="BC222" t="s">
        <v>74</v>
      </c>
      <c r="BD222">
        <v>113431</v>
      </c>
      <c r="BE222" t="s">
        <v>4586</v>
      </c>
      <c r="BF222" t="str">
        <f>HYPERLINK("http://dx.doi.org/10.1016/j.dss.2020.113431","http://dx.doi.org/10.1016/j.dss.2020.113431")</f>
        <v>http://dx.doi.org/10.1016/j.dss.2020.113431</v>
      </c>
      <c r="BG222" t="s">
        <v>74</v>
      </c>
      <c r="BH222" t="s">
        <v>74</v>
      </c>
      <c r="BI222">
        <v>12</v>
      </c>
      <c r="BJ222" t="s">
        <v>4587</v>
      </c>
      <c r="BK222" t="s">
        <v>147</v>
      </c>
      <c r="BL222" t="s">
        <v>1194</v>
      </c>
      <c r="BM222" t="s">
        <v>4588</v>
      </c>
      <c r="BN222" t="s">
        <v>74</v>
      </c>
      <c r="BO222" t="s">
        <v>359</v>
      </c>
      <c r="BP222" t="s">
        <v>74</v>
      </c>
      <c r="BQ222" t="s">
        <v>74</v>
      </c>
      <c r="BR222" t="s">
        <v>102</v>
      </c>
      <c r="BS222" t="s">
        <v>4589</v>
      </c>
      <c r="BT222" t="str">
        <f>HYPERLINK("https%3A%2F%2Fwww.webofscience.com%2Fwos%2Fwoscc%2Ffull-record%2FWOS:000596871300007","View Full Record in Web of Science")</f>
        <v>View Full Record in Web of Science</v>
      </c>
    </row>
    <row r="223" spans="1:72" x14ac:dyDescent="0.2">
      <c r="A223" t="s">
        <v>72</v>
      </c>
      <c r="B223" t="s">
        <v>4590</v>
      </c>
      <c r="C223" t="s">
        <v>74</v>
      </c>
      <c r="D223" t="s">
        <v>74</v>
      </c>
      <c r="E223" t="s">
        <v>74</v>
      </c>
      <c r="F223" t="s">
        <v>4591</v>
      </c>
      <c r="G223" t="s">
        <v>74</v>
      </c>
      <c r="H223" t="s">
        <v>74</v>
      </c>
      <c r="I223" t="s">
        <v>4592</v>
      </c>
      <c r="J223" t="s">
        <v>4593</v>
      </c>
      <c r="K223" t="s">
        <v>74</v>
      </c>
      <c r="L223" t="s">
        <v>74</v>
      </c>
      <c r="M223" t="s">
        <v>78</v>
      </c>
      <c r="N223" t="s">
        <v>108</v>
      </c>
      <c r="O223" t="s">
        <v>74</v>
      </c>
      <c r="P223" t="s">
        <v>74</v>
      </c>
      <c r="Q223" t="s">
        <v>74</v>
      </c>
      <c r="R223" t="s">
        <v>74</v>
      </c>
      <c r="S223" t="s">
        <v>74</v>
      </c>
      <c r="T223" t="s">
        <v>4594</v>
      </c>
      <c r="U223" t="s">
        <v>74</v>
      </c>
      <c r="V223" t="s">
        <v>4595</v>
      </c>
      <c r="W223" t="s">
        <v>4596</v>
      </c>
      <c r="X223" t="s">
        <v>4597</v>
      </c>
      <c r="Y223" t="s">
        <v>4598</v>
      </c>
      <c r="Z223" t="s">
        <v>4599</v>
      </c>
      <c r="AA223" t="s">
        <v>74</v>
      </c>
      <c r="AB223" t="s">
        <v>74</v>
      </c>
      <c r="AC223" t="s">
        <v>4600</v>
      </c>
      <c r="AD223" t="s">
        <v>4601</v>
      </c>
      <c r="AE223" t="s">
        <v>4602</v>
      </c>
      <c r="AF223" t="s">
        <v>74</v>
      </c>
      <c r="AG223">
        <v>56</v>
      </c>
      <c r="AH223">
        <v>7</v>
      </c>
      <c r="AI223">
        <v>7</v>
      </c>
      <c r="AJ223">
        <v>31</v>
      </c>
      <c r="AK223">
        <v>173</v>
      </c>
      <c r="AL223" t="s">
        <v>1047</v>
      </c>
      <c r="AM223" t="s">
        <v>1048</v>
      </c>
      <c r="AN223" t="s">
        <v>1049</v>
      </c>
      <c r="AO223" t="s">
        <v>4603</v>
      </c>
      <c r="AP223" t="s">
        <v>4604</v>
      </c>
      <c r="AQ223" t="s">
        <v>74</v>
      </c>
      <c r="AR223" t="s">
        <v>4605</v>
      </c>
      <c r="AS223" t="s">
        <v>4606</v>
      </c>
      <c r="AT223" t="s">
        <v>696</v>
      </c>
      <c r="AU223">
        <v>2022</v>
      </c>
      <c r="AV223">
        <v>62</v>
      </c>
      <c r="AW223">
        <v>3</v>
      </c>
      <c r="AX223" t="s">
        <v>74</v>
      </c>
      <c r="AY223" t="s">
        <v>74</v>
      </c>
      <c r="AZ223" t="s">
        <v>74</v>
      </c>
      <c r="BA223" t="s">
        <v>74</v>
      </c>
      <c r="BB223">
        <v>609</v>
      </c>
      <c r="BC223">
        <v>621</v>
      </c>
      <c r="BD223" t="s">
        <v>74</v>
      </c>
      <c r="BE223" t="s">
        <v>4607</v>
      </c>
      <c r="BF223" t="str">
        <f>HYPERLINK("http://dx.doi.org/10.1080/08874417.2021.1872045","http://dx.doi.org/10.1080/08874417.2021.1872045")</f>
        <v>http://dx.doi.org/10.1080/08874417.2021.1872045</v>
      </c>
      <c r="BG223" t="s">
        <v>74</v>
      </c>
      <c r="BH223" t="s">
        <v>1552</v>
      </c>
      <c r="BI223">
        <v>13</v>
      </c>
      <c r="BJ223" t="s">
        <v>123</v>
      </c>
      <c r="BK223" t="s">
        <v>147</v>
      </c>
      <c r="BL223" t="s">
        <v>99</v>
      </c>
      <c r="BM223" t="s">
        <v>4608</v>
      </c>
      <c r="BN223" t="s">
        <v>74</v>
      </c>
      <c r="BO223" t="s">
        <v>74</v>
      </c>
      <c r="BP223" t="s">
        <v>74</v>
      </c>
      <c r="BQ223" t="s">
        <v>74</v>
      </c>
      <c r="BR223" t="s">
        <v>102</v>
      </c>
      <c r="BS223" t="s">
        <v>4609</v>
      </c>
      <c r="BT223" t="str">
        <f>HYPERLINK("https%3A%2F%2Fwww.webofscience.com%2Fwos%2Fwoscc%2Ffull-record%2FWOS:000648793100001","View Full Record in Web of Science")</f>
        <v>View Full Record in Web of Science</v>
      </c>
    </row>
    <row r="224" spans="1:72" x14ac:dyDescent="0.2">
      <c r="A224" t="s">
        <v>72</v>
      </c>
      <c r="B224" t="s">
        <v>4610</v>
      </c>
      <c r="C224" t="s">
        <v>74</v>
      </c>
      <c r="D224" t="s">
        <v>74</v>
      </c>
      <c r="E224" t="s">
        <v>74</v>
      </c>
      <c r="F224" t="s">
        <v>4611</v>
      </c>
      <c r="G224" t="s">
        <v>74</v>
      </c>
      <c r="H224" t="s">
        <v>74</v>
      </c>
      <c r="I224" t="s">
        <v>4612</v>
      </c>
      <c r="J224" t="s">
        <v>131</v>
      </c>
      <c r="K224" t="s">
        <v>74</v>
      </c>
      <c r="L224" t="s">
        <v>74</v>
      </c>
      <c r="M224" t="s">
        <v>78</v>
      </c>
      <c r="N224" t="s">
        <v>108</v>
      </c>
      <c r="O224" t="s">
        <v>74</v>
      </c>
      <c r="P224" t="s">
        <v>74</v>
      </c>
      <c r="Q224" t="s">
        <v>74</v>
      </c>
      <c r="R224" t="s">
        <v>74</v>
      </c>
      <c r="S224" t="s">
        <v>74</v>
      </c>
      <c r="T224" t="s">
        <v>4613</v>
      </c>
      <c r="U224" t="s">
        <v>74</v>
      </c>
      <c r="V224" t="s">
        <v>4614</v>
      </c>
      <c r="W224" t="s">
        <v>4615</v>
      </c>
      <c r="X224" t="s">
        <v>4616</v>
      </c>
      <c r="Y224" t="s">
        <v>4617</v>
      </c>
      <c r="Z224" t="s">
        <v>4618</v>
      </c>
      <c r="AA224" t="s">
        <v>74</v>
      </c>
      <c r="AB224" t="s">
        <v>74</v>
      </c>
      <c r="AC224" t="s">
        <v>74</v>
      </c>
      <c r="AD224" t="s">
        <v>74</v>
      </c>
      <c r="AE224" t="s">
        <v>74</v>
      </c>
      <c r="AF224" t="s">
        <v>74</v>
      </c>
      <c r="AG224">
        <v>44</v>
      </c>
      <c r="AH224">
        <v>0</v>
      </c>
      <c r="AI224">
        <v>0</v>
      </c>
      <c r="AJ224">
        <v>7</v>
      </c>
      <c r="AK224">
        <v>9</v>
      </c>
      <c r="AL224" t="s">
        <v>116</v>
      </c>
      <c r="AM224" t="s">
        <v>117</v>
      </c>
      <c r="AN224" t="s">
        <v>118</v>
      </c>
      <c r="AO224" t="s">
        <v>74</v>
      </c>
      <c r="AP224" t="s">
        <v>142</v>
      </c>
      <c r="AQ224" t="s">
        <v>74</v>
      </c>
      <c r="AR224" t="s">
        <v>143</v>
      </c>
      <c r="AS224" t="s">
        <v>144</v>
      </c>
      <c r="AT224" t="s">
        <v>738</v>
      </c>
      <c r="AU224">
        <v>2023</v>
      </c>
      <c r="AV224">
        <v>15</v>
      </c>
      <c r="AW224">
        <v>4</v>
      </c>
      <c r="AX224" t="s">
        <v>74</v>
      </c>
      <c r="AY224" t="s">
        <v>74</v>
      </c>
      <c r="AZ224" t="s">
        <v>74</v>
      </c>
      <c r="BA224" t="s">
        <v>74</v>
      </c>
      <c r="BB224" t="s">
        <v>74</v>
      </c>
      <c r="BC224" t="s">
        <v>74</v>
      </c>
      <c r="BD224">
        <v>3065</v>
      </c>
      <c r="BE224" t="s">
        <v>4619</v>
      </c>
      <c r="BF224" t="str">
        <f>HYPERLINK("http://dx.doi.org/10.3390/su15043065","http://dx.doi.org/10.3390/su15043065")</f>
        <v>http://dx.doi.org/10.3390/su15043065</v>
      </c>
      <c r="BG224" t="s">
        <v>74</v>
      </c>
      <c r="BH224" t="s">
        <v>74</v>
      </c>
      <c r="BI224">
        <v>14</v>
      </c>
      <c r="BJ224" t="s">
        <v>146</v>
      </c>
      <c r="BK224" t="s">
        <v>147</v>
      </c>
      <c r="BL224" t="s">
        <v>148</v>
      </c>
      <c r="BM224" t="s">
        <v>4620</v>
      </c>
      <c r="BN224" t="s">
        <v>74</v>
      </c>
      <c r="BO224" t="s">
        <v>126</v>
      </c>
      <c r="BP224" t="s">
        <v>74</v>
      </c>
      <c r="BQ224" t="s">
        <v>74</v>
      </c>
      <c r="BR224" t="s">
        <v>102</v>
      </c>
      <c r="BS224" t="s">
        <v>4621</v>
      </c>
      <c r="BT224" t="str">
        <f>HYPERLINK("https%3A%2F%2Fwww.webofscience.com%2Fwos%2Fwoscc%2Ffull-record%2FWOS:000940117100001","View Full Record in Web of Science")</f>
        <v>View Full Record in Web of Science</v>
      </c>
    </row>
    <row r="225" spans="1:72" x14ac:dyDescent="0.2">
      <c r="A225" t="s">
        <v>72</v>
      </c>
      <c r="B225" t="s">
        <v>4622</v>
      </c>
      <c r="C225" t="s">
        <v>74</v>
      </c>
      <c r="D225" t="s">
        <v>74</v>
      </c>
      <c r="E225" t="s">
        <v>74</v>
      </c>
      <c r="F225" t="s">
        <v>4623</v>
      </c>
      <c r="G225" t="s">
        <v>74</v>
      </c>
      <c r="H225" t="s">
        <v>74</v>
      </c>
      <c r="I225" t="s">
        <v>4624</v>
      </c>
      <c r="J225" t="s">
        <v>762</v>
      </c>
      <c r="K225" t="s">
        <v>74</v>
      </c>
      <c r="L225" t="s">
        <v>74</v>
      </c>
      <c r="M225" t="s">
        <v>78</v>
      </c>
      <c r="N225" t="s">
        <v>108</v>
      </c>
      <c r="O225" t="s">
        <v>74</v>
      </c>
      <c r="P225" t="s">
        <v>74</v>
      </c>
      <c r="Q225" t="s">
        <v>74</v>
      </c>
      <c r="R225" t="s">
        <v>74</v>
      </c>
      <c r="S225" t="s">
        <v>74</v>
      </c>
      <c r="T225" t="s">
        <v>4625</v>
      </c>
      <c r="U225" t="s">
        <v>4626</v>
      </c>
      <c r="V225" t="s">
        <v>4627</v>
      </c>
      <c r="W225" t="s">
        <v>4628</v>
      </c>
      <c r="X225" t="s">
        <v>2529</v>
      </c>
      <c r="Y225" t="s">
        <v>4629</v>
      </c>
      <c r="Z225" t="s">
        <v>4630</v>
      </c>
      <c r="AA225" t="s">
        <v>4631</v>
      </c>
      <c r="AB225" t="s">
        <v>4632</v>
      </c>
      <c r="AC225" t="s">
        <v>74</v>
      </c>
      <c r="AD225" t="s">
        <v>74</v>
      </c>
      <c r="AE225" t="s">
        <v>74</v>
      </c>
      <c r="AF225" t="s">
        <v>74</v>
      </c>
      <c r="AG225">
        <v>33</v>
      </c>
      <c r="AH225">
        <v>33</v>
      </c>
      <c r="AI225">
        <v>33</v>
      </c>
      <c r="AJ225">
        <v>2</v>
      </c>
      <c r="AK225">
        <v>87</v>
      </c>
      <c r="AL225" t="s">
        <v>279</v>
      </c>
      <c r="AM225" t="s">
        <v>280</v>
      </c>
      <c r="AN225" t="s">
        <v>281</v>
      </c>
      <c r="AO225" t="s">
        <v>773</v>
      </c>
      <c r="AP225" t="s">
        <v>774</v>
      </c>
      <c r="AQ225" t="s">
        <v>74</v>
      </c>
      <c r="AR225" t="s">
        <v>775</v>
      </c>
      <c r="AS225" t="s">
        <v>776</v>
      </c>
      <c r="AT225" t="s">
        <v>4633</v>
      </c>
      <c r="AU225">
        <v>2019</v>
      </c>
      <c r="AV225">
        <v>57</v>
      </c>
      <c r="AW225">
        <v>20</v>
      </c>
      <c r="AX225" t="s">
        <v>74</v>
      </c>
      <c r="AY225" t="s">
        <v>74</v>
      </c>
      <c r="AZ225" t="s">
        <v>74</v>
      </c>
      <c r="BA225" t="s">
        <v>74</v>
      </c>
      <c r="BB225">
        <v>6528</v>
      </c>
      <c r="BC225">
        <v>6551</v>
      </c>
      <c r="BD225" t="s">
        <v>74</v>
      </c>
      <c r="BE225" t="s">
        <v>4634</v>
      </c>
      <c r="BF225" t="str">
        <f>HYPERLINK("http://dx.doi.org/10.1080/00207543.2019.1566674","http://dx.doi.org/10.1080/00207543.2019.1566674")</f>
        <v>http://dx.doi.org/10.1080/00207543.2019.1566674</v>
      </c>
      <c r="BG225" t="s">
        <v>74</v>
      </c>
      <c r="BH225" t="s">
        <v>74</v>
      </c>
      <c r="BI225">
        <v>24</v>
      </c>
      <c r="BJ225" t="s">
        <v>780</v>
      </c>
      <c r="BK225" t="s">
        <v>98</v>
      </c>
      <c r="BL225" t="s">
        <v>781</v>
      </c>
      <c r="BM225" t="s">
        <v>4635</v>
      </c>
      <c r="BN225" t="s">
        <v>74</v>
      </c>
      <c r="BO225" t="s">
        <v>74</v>
      </c>
      <c r="BP225" t="s">
        <v>74</v>
      </c>
      <c r="BQ225" t="s">
        <v>74</v>
      </c>
      <c r="BR225" t="s">
        <v>102</v>
      </c>
      <c r="BS225" t="s">
        <v>4636</v>
      </c>
      <c r="BT225" t="str">
        <f>HYPERLINK("https%3A%2F%2Fwww.webofscience.com%2Fwos%2Fwoscc%2Ffull-record%2FWOS:000487303600016","View Full Record in Web of Science")</f>
        <v>View Full Record in Web of Science</v>
      </c>
    </row>
    <row r="226" spans="1:72" x14ac:dyDescent="0.2">
      <c r="A226" t="s">
        <v>72</v>
      </c>
      <c r="B226" t="s">
        <v>4637</v>
      </c>
      <c r="C226" t="s">
        <v>74</v>
      </c>
      <c r="D226" t="s">
        <v>74</v>
      </c>
      <c r="E226" t="s">
        <v>74</v>
      </c>
      <c r="F226" t="s">
        <v>4638</v>
      </c>
      <c r="G226" t="s">
        <v>74</v>
      </c>
      <c r="H226" t="s">
        <v>74</v>
      </c>
      <c r="I226" t="s">
        <v>4639</v>
      </c>
      <c r="J226" t="s">
        <v>2042</v>
      </c>
      <c r="K226" t="s">
        <v>74</v>
      </c>
      <c r="L226" t="s">
        <v>74</v>
      </c>
      <c r="M226" t="s">
        <v>78</v>
      </c>
      <c r="N226" t="s">
        <v>108</v>
      </c>
      <c r="O226" t="s">
        <v>74</v>
      </c>
      <c r="P226" t="s">
        <v>74</v>
      </c>
      <c r="Q226" t="s">
        <v>74</v>
      </c>
      <c r="R226" t="s">
        <v>74</v>
      </c>
      <c r="S226" t="s">
        <v>74</v>
      </c>
      <c r="T226" t="s">
        <v>4640</v>
      </c>
      <c r="U226" t="s">
        <v>4641</v>
      </c>
      <c r="V226" t="s">
        <v>4642</v>
      </c>
      <c r="W226" t="s">
        <v>4643</v>
      </c>
      <c r="X226" t="s">
        <v>4072</v>
      </c>
      <c r="Y226" t="s">
        <v>4644</v>
      </c>
      <c r="Z226" t="s">
        <v>4439</v>
      </c>
      <c r="AA226" t="s">
        <v>4645</v>
      </c>
      <c r="AB226" t="s">
        <v>4441</v>
      </c>
      <c r="AC226" t="s">
        <v>74</v>
      </c>
      <c r="AD226" t="s">
        <v>74</v>
      </c>
      <c r="AE226" t="s">
        <v>74</v>
      </c>
      <c r="AF226" t="s">
        <v>74</v>
      </c>
      <c r="AG226">
        <v>57</v>
      </c>
      <c r="AH226">
        <v>34</v>
      </c>
      <c r="AI226">
        <v>35</v>
      </c>
      <c r="AJ226">
        <v>0</v>
      </c>
      <c r="AK226">
        <v>38</v>
      </c>
      <c r="AL226" t="s">
        <v>543</v>
      </c>
      <c r="AM226" t="s">
        <v>260</v>
      </c>
      <c r="AN226" t="s">
        <v>544</v>
      </c>
      <c r="AO226" t="s">
        <v>2054</v>
      </c>
      <c r="AP226" t="s">
        <v>2055</v>
      </c>
      <c r="AQ226" t="s">
        <v>74</v>
      </c>
      <c r="AR226" t="s">
        <v>2056</v>
      </c>
      <c r="AS226" t="s">
        <v>2057</v>
      </c>
      <c r="AT226" t="s">
        <v>800</v>
      </c>
      <c r="AU226">
        <v>2008</v>
      </c>
      <c r="AV226">
        <v>34</v>
      </c>
      <c r="AW226">
        <v>3</v>
      </c>
      <c r="AX226" t="s">
        <v>74</v>
      </c>
      <c r="AY226" t="s">
        <v>74</v>
      </c>
      <c r="AZ226" t="s">
        <v>74</v>
      </c>
      <c r="BA226" t="s">
        <v>74</v>
      </c>
      <c r="BB226">
        <v>1763</v>
      </c>
      <c r="BC226">
        <v>1776</v>
      </c>
      <c r="BD226" t="s">
        <v>74</v>
      </c>
      <c r="BE226" t="s">
        <v>4646</v>
      </c>
      <c r="BF226" t="str">
        <f>HYPERLINK("http://dx.doi.org/10.1016/j.eswa.2007.01.036","http://dx.doi.org/10.1016/j.eswa.2007.01.036")</f>
        <v>http://dx.doi.org/10.1016/j.eswa.2007.01.036</v>
      </c>
      <c r="BG226" t="s">
        <v>74</v>
      </c>
      <c r="BH226" t="s">
        <v>74</v>
      </c>
      <c r="BI226">
        <v>14</v>
      </c>
      <c r="BJ226" t="s">
        <v>2059</v>
      </c>
      <c r="BK226" t="s">
        <v>147</v>
      </c>
      <c r="BL226" t="s">
        <v>2060</v>
      </c>
      <c r="BM226" t="s">
        <v>4647</v>
      </c>
      <c r="BN226" t="s">
        <v>74</v>
      </c>
      <c r="BO226" t="s">
        <v>74</v>
      </c>
      <c r="BP226" t="s">
        <v>74</v>
      </c>
      <c r="BQ226" t="s">
        <v>74</v>
      </c>
      <c r="BR226" t="s">
        <v>102</v>
      </c>
      <c r="BS226" t="s">
        <v>4648</v>
      </c>
      <c r="BT226" t="str">
        <f>HYPERLINK("https%3A%2F%2Fwww.webofscience.com%2Fwos%2Fwoscc%2Ffull-record%2FWOS:000253183700018","View Full Record in Web of Science")</f>
        <v>View Full Record in Web of Science</v>
      </c>
    </row>
    <row r="227" spans="1:72" x14ac:dyDescent="0.2">
      <c r="A227" t="s">
        <v>72</v>
      </c>
      <c r="B227" t="s">
        <v>4649</v>
      </c>
      <c r="C227" t="s">
        <v>74</v>
      </c>
      <c r="D227" t="s">
        <v>74</v>
      </c>
      <c r="E227" t="s">
        <v>74</v>
      </c>
      <c r="F227" t="s">
        <v>4650</v>
      </c>
      <c r="G227" t="s">
        <v>74</v>
      </c>
      <c r="H227" t="s">
        <v>74</v>
      </c>
      <c r="I227" t="s">
        <v>4651</v>
      </c>
      <c r="J227" t="s">
        <v>4652</v>
      </c>
      <c r="K227" t="s">
        <v>74</v>
      </c>
      <c r="L227" t="s">
        <v>74</v>
      </c>
      <c r="M227" t="s">
        <v>78</v>
      </c>
      <c r="N227" t="s">
        <v>108</v>
      </c>
      <c r="O227" t="s">
        <v>74</v>
      </c>
      <c r="P227" t="s">
        <v>74</v>
      </c>
      <c r="Q227" t="s">
        <v>74</v>
      </c>
      <c r="R227" t="s">
        <v>74</v>
      </c>
      <c r="S227" t="s">
        <v>74</v>
      </c>
      <c r="T227" t="s">
        <v>4653</v>
      </c>
      <c r="U227" t="s">
        <v>4654</v>
      </c>
      <c r="V227" t="s">
        <v>4655</v>
      </c>
      <c r="W227" t="s">
        <v>4656</v>
      </c>
      <c r="X227" t="s">
        <v>4657</v>
      </c>
      <c r="Y227" t="s">
        <v>4658</v>
      </c>
      <c r="Z227" t="s">
        <v>4659</v>
      </c>
      <c r="AA227" t="s">
        <v>4660</v>
      </c>
      <c r="AB227" t="s">
        <v>4661</v>
      </c>
      <c r="AC227" t="s">
        <v>4662</v>
      </c>
      <c r="AD227" t="s">
        <v>4663</v>
      </c>
      <c r="AE227" t="s">
        <v>4664</v>
      </c>
      <c r="AF227" t="s">
        <v>74</v>
      </c>
      <c r="AG227">
        <v>69</v>
      </c>
      <c r="AH227">
        <v>4</v>
      </c>
      <c r="AI227">
        <v>4</v>
      </c>
      <c r="AJ227">
        <v>5</v>
      </c>
      <c r="AK227">
        <v>21</v>
      </c>
      <c r="AL227" t="s">
        <v>116</v>
      </c>
      <c r="AM227" t="s">
        <v>117</v>
      </c>
      <c r="AN227" t="s">
        <v>118</v>
      </c>
      <c r="AO227" t="s">
        <v>74</v>
      </c>
      <c r="AP227" t="s">
        <v>4665</v>
      </c>
      <c r="AQ227" t="s">
        <v>74</v>
      </c>
      <c r="AR227" t="s">
        <v>4652</v>
      </c>
      <c r="AS227" t="s">
        <v>4666</v>
      </c>
      <c r="AT227" t="s">
        <v>416</v>
      </c>
      <c r="AU227">
        <v>2020</v>
      </c>
      <c r="AV227">
        <v>12</v>
      </c>
      <c r="AW227">
        <v>6</v>
      </c>
      <c r="AX227" t="s">
        <v>74</v>
      </c>
      <c r="AY227" t="s">
        <v>74</v>
      </c>
      <c r="AZ227" t="s">
        <v>74</v>
      </c>
      <c r="BA227" t="s">
        <v>74</v>
      </c>
      <c r="BB227" t="s">
        <v>74</v>
      </c>
      <c r="BC227" t="s">
        <v>74</v>
      </c>
      <c r="BD227">
        <v>984</v>
      </c>
      <c r="BE227" t="s">
        <v>4667</v>
      </c>
      <c r="BF227" t="str">
        <f>HYPERLINK("http://dx.doi.org/10.3390/sym12060984","http://dx.doi.org/10.3390/sym12060984")</f>
        <v>http://dx.doi.org/10.3390/sym12060984</v>
      </c>
      <c r="BG227" t="s">
        <v>74</v>
      </c>
      <c r="BH227" t="s">
        <v>74</v>
      </c>
      <c r="BI227">
        <v>20</v>
      </c>
      <c r="BJ227" t="s">
        <v>620</v>
      </c>
      <c r="BK227" t="s">
        <v>98</v>
      </c>
      <c r="BL227" t="s">
        <v>621</v>
      </c>
      <c r="BM227" t="s">
        <v>4668</v>
      </c>
      <c r="BN227" t="s">
        <v>74</v>
      </c>
      <c r="BO227" t="s">
        <v>623</v>
      </c>
      <c r="BP227" t="s">
        <v>74</v>
      </c>
      <c r="BQ227" t="s">
        <v>74</v>
      </c>
      <c r="BR227" t="s">
        <v>102</v>
      </c>
      <c r="BS227" t="s">
        <v>4669</v>
      </c>
      <c r="BT227" t="str">
        <f>HYPERLINK("https%3A%2F%2Fwww.webofscience.com%2Fwos%2Fwoscc%2Ffull-record%2FWOS:000553945600001","View Full Record in Web of Science")</f>
        <v>View Full Record in Web of Science</v>
      </c>
    </row>
    <row r="228" spans="1:72" x14ac:dyDescent="0.2">
      <c r="A228" t="s">
        <v>72</v>
      </c>
      <c r="B228" t="s">
        <v>4670</v>
      </c>
      <c r="C228" t="s">
        <v>74</v>
      </c>
      <c r="D228" t="s">
        <v>74</v>
      </c>
      <c r="E228" t="s">
        <v>74</v>
      </c>
      <c r="F228" t="s">
        <v>4671</v>
      </c>
      <c r="G228" t="s">
        <v>74</v>
      </c>
      <c r="H228" t="s">
        <v>74</v>
      </c>
      <c r="I228" t="s">
        <v>4672</v>
      </c>
      <c r="J228" t="s">
        <v>4673</v>
      </c>
      <c r="K228" t="s">
        <v>74</v>
      </c>
      <c r="L228" t="s">
        <v>74</v>
      </c>
      <c r="M228" t="s">
        <v>78</v>
      </c>
      <c r="N228" t="s">
        <v>108</v>
      </c>
      <c r="O228" t="s">
        <v>74</v>
      </c>
      <c r="P228" t="s">
        <v>74</v>
      </c>
      <c r="Q228" t="s">
        <v>74</v>
      </c>
      <c r="R228" t="s">
        <v>74</v>
      </c>
      <c r="S228" t="s">
        <v>74</v>
      </c>
      <c r="T228" t="s">
        <v>4674</v>
      </c>
      <c r="U228" t="s">
        <v>4675</v>
      </c>
      <c r="V228" t="s">
        <v>4676</v>
      </c>
      <c r="W228" t="s">
        <v>4677</v>
      </c>
      <c r="X228" t="s">
        <v>4678</v>
      </c>
      <c r="Y228" t="s">
        <v>4679</v>
      </c>
      <c r="Z228" t="s">
        <v>4680</v>
      </c>
      <c r="AA228" t="s">
        <v>4681</v>
      </c>
      <c r="AB228" t="s">
        <v>74</v>
      </c>
      <c r="AC228" t="s">
        <v>74</v>
      </c>
      <c r="AD228" t="s">
        <v>74</v>
      </c>
      <c r="AE228" t="s">
        <v>74</v>
      </c>
      <c r="AF228" t="s">
        <v>74</v>
      </c>
      <c r="AG228">
        <v>40</v>
      </c>
      <c r="AH228">
        <v>33</v>
      </c>
      <c r="AI228">
        <v>33</v>
      </c>
      <c r="AJ228">
        <v>0</v>
      </c>
      <c r="AK228">
        <v>25</v>
      </c>
      <c r="AL228" t="s">
        <v>543</v>
      </c>
      <c r="AM228" t="s">
        <v>260</v>
      </c>
      <c r="AN228" t="s">
        <v>544</v>
      </c>
      <c r="AO228" t="s">
        <v>4682</v>
      </c>
      <c r="AP228" t="s">
        <v>74</v>
      </c>
      <c r="AQ228" t="s">
        <v>74</v>
      </c>
      <c r="AR228" t="s">
        <v>4683</v>
      </c>
      <c r="AS228" t="s">
        <v>4684</v>
      </c>
      <c r="AT228" t="s">
        <v>194</v>
      </c>
      <c r="AU228">
        <v>2008</v>
      </c>
      <c r="AV228">
        <v>44</v>
      </c>
      <c r="AW228">
        <v>6</v>
      </c>
      <c r="AX228" t="s">
        <v>74</v>
      </c>
      <c r="AY228" t="s">
        <v>74</v>
      </c>
      <c r="AZ228" t="s">
        <v>74</v>
      </c>
      <c r="BA228" t="s">
        <v>74</v>
      </c>
      <c r="BB228">
        <v>955</v>
      </c>
      <c r="BC228">
        <v>969</v>
      </c>
      <c r="BD228" t="s">
        <v>74</v>
      </c>
      <c r="BE228" t="s">
        <v>4685</v>
      </c>
      <c r="BF228" t="str">
        <f>HYPERLINK("http://dx.doi.org/10.1016/j.tre.2007.05.012","http://dx.doi.org/10.1016/j.tre.2007.05.012")</f>
        <v>http://dx.doi.org/10.1016/j.tre.2007.05.012</v>
      </c>
      <c r="BG228" t="s">
        <v>74</v>
      </c>
      <c r="BH228" t="s">
        <v>74</v>
      </c>
      <c r="BI228">
        <v>15</v>
      </c>
      <c r="BJ228" t="s">
        <v>4686</v>
      </c>
      <c r="BK228" t="s">
        <v>147</v>
      </c>
      <c r="BL228" t="s">
        <v>4687</v>
      </c>
      <c r="BM228" t="s">
        <v>4688</v>
      </c>
      <c r="BN228" t="s">
        <v>74</v>
      </c>
      <c r="BO228" t="s">
        <v>74</v>
      </c>
      <c r="BP228" t="s">
        <v>74</v>
      </c>
      <c r="BQ228" t="s">
        <v>74</v>
      </c>
      <c r="BR228" t="s">
        <v>102</v>
      </c>
      <c r="BS228" t="s">
        <v>4689</v>
      </c>
      <c r="BT228" t="str">
        <f>HYPERLINK("https%3A%2F%2Fwww.webofscience.com%2Fwos%2Fwoscc%2Ffull-record%2FWOS:000259461200001","View Full Record in Web of Science")</f>
        <v>View Full Record in Web of Science</v>
      </c>
    </row>
    <row r="229" spans="1:72" x14ac:dyDescent="0.2">
      <c r="A229" t="s">
        <v>72</v>
      </c>
      <c r="B229" t="s">
        <v>4690</v>
      </c>
      <c r="C229" t="s">
        <v>74</v>
      </c>
      <c r="D229" t="s">
        <v>74</v>
      </c>
      <c r="E229" t="s">
        <v>74</v>
      </c>
      <c r="F229" t="s">
        <v>4691</v>
      </c>
      <c r="G229" t="s">
        <v>74</v>
      </c>
      <c r="H229" t="s">
        <v>74</v>
      </c>
      <c r="I229" t="s">
        <v>4692</v>
      </c>
      <c r="J229" t="s">
        <v>4693</v>
      </c>
      <c r="K229" t="s">
        <v>74</v>
      </c>
      <c r="L229" t="s">
        <v>74</v>
      </c>
      <c r="M229" t="s">
        <v>78</v>
      </c>
      <c r="N229" t="s">
        <v>108</v>
      </c>
      <c r="O229" t="s">
        <v>74</v>
      </c>
      <c r="P229" t="s">
        <v>74</v>
      </c>
      <c r="Q229" t="s">
        <v>74</v>
      </c>
      <c r="R229" t="s">
        <v>74</v>
      </c>
      <c r="S229" t="s">
        <v>74</v>
      </c>
      <c r="T229" t="s">
        <v>4694</v>
      </c>
      <c r="U229" t="s">
        <v>4695</v>
      </c>
      <c r="V229" t="s">
        <v>4696</v>
      </c>
      <c r="W229" t="s">
        <v>4697</v>
      </c>
      <c r="X229" t="s">
        <v>2380</v>
      </c>
      <c r="Y229" t="s">
        <v>4698</v>
      </c>
      <c r="Z229" t="s">
        <v>4699</v>
      </c>
      <c r="AA229" t="s">
        <v>4700</v>
      </c>
      <c r="AB229" t="s">
        <v>4701</v>
      </c>
      <c r="AC229" t="s">
        <v>4702</v>
      </c>
      <c r="AD229" t="s">
        <v>4703</v>
      </c>
      <c r="AE229" t="s">
        <v>4704</v>
      </c>
      <c r="AF229" t="s">
        <v>74</v>
      </c>
      <c r="AG229">
        <v>34</v>
      </c>
      <c r="AH229">
        <v>82</v>
      </c>
      <c r="AI229">
        <v>88</v>
      </c>
      <c r="AJ229">
        <v>2</v>
      </c>
      <c r="AK229">
        <v>138</v>
      </c>
      <c r="AL229" t="s">
        <v>259</v>
      </c>
      <c r="AM229" t="s">
        <v>260</v>
      </c>
      <c r="AN229" t="s">
        <v>261</v>
      </c>
      <c r="AO229" t="s">
        <v>4705</v>
      </c>
      <c r="AP229" t="s">
        <v>4706</v>
      </c>
      <c r="AQ229" t="s">
        <v>74</v>
      </c>
      <c r="AR229" t="s">
        <v>4707</v>
      </c>
      <c r="AS229" t="s">
        <v>4708</v>
      </c>
      <c r="AT229" t="s">
        <v>194</v>
      </c>
      <c r="AU229">
        <v>2017</v>
      </c>
      <c r="AV229">
        <v>212</v>
      </c>
      <c r="AW229" t="s">
        <v>74</v>
      </c>
      <c r="AX229" t="s">
        <v>74</v>
      </c>
      <c r="AY229" t="s">
        <v>74</v>
      </c>
      <c r="AZ229" t="s">
        <v>74</v>
      </c>
      <c r="BA229" t="s">
        <v>74</v>
      </c>
      <c r="BB229">
        <v>65</v>
      </c>
      <c r="BC229">
        <v>75</v>
      </c>
      <c r="BD229" t="s">
        <v>74</v>
      </c>
      <c r="BE229" t="s">
        <v>4709</v>
      </c>
      <c r="BF229" t="str">
        <f>HYPERLINK("http://dx.doi.org/10.1016/j.jfoodeng.2017.05.008","http://dx.doi.org/10.1016/j.jfoodeng.2017.05.008")</f>
        <v>http://dx.doi.org/10.1016/j.jfoodeng.2017.05.008</v>
      </c>
      <c r="BG229" t="s">
        <v>74</v>
      </c>
      <c r="BH229" t="s">
        <v>74</v>
      </c>
      <c r="BI229">
        <v>11</v>
      </c>
      <c r="BJ229" t="s">
        <v>4710</v>
      </c>
      <c r="BK229" t="s">
        <v>98</v>
      </c>
      <c r="BL229" t="s">
        <v>4711</v>
      </c>
      <c r="BM229" t="s">
        <v>4712</v>
      </c>
      <c r="BN229" t="s">
        <v>74</v>
      </c>
      <c r="BO229" t="s">
        <v>74</v>
      </c>
      <c r="BP229" t="s">
        <v>74</v>
      </c>
      <c r="BQ229" t="s">
        <v>74</v>
      </c>
      <c r="BR229" t="s">
        <v>102</v>
      </c>
      <c r="BS229" t="s">
        <v>4713</v>
      </c>
      <c r="BT229" t="str">
        <f>HYPERLINK("https%3A%2F%2Fwww.webofscience.com%2Fwos%2Fwoscc%2Ffull-record%2FWOS:000407410100008","View Full Record in Web of Science")</f>
        <v>View Full Record in Web of Science</v>
      </c>
    </row>
    <row r="230" spans="1:72" x14ac:dyDescent="0.2">
      <c r="A230" t="s">
        <v>72</v>
      </c>
      <c r="B230" t="s">
        <v>4714</v>
      </c>
      <c r="C230" t="s">
        <v>74</v>
      </c>
      <c r="D230" t="s">
        <v>74</v>
      </c>
      <c r="E230" t="s">
        <v>74</v>
      </c>
      <c r="F230" t="s">
        <v>4715</v>
      </c>
      <c r="G230" t="s">
        <v>74</v>
      </c>
      <c r="H230" t="s">
        <v>74</v>
      </c>
      <c r="I230" t="s">
        <v>4716</v>
      </c>
      <c r="J230" t="s">
        <v>1278</v>
      </c>
      <c r="K230" t="s">
        <v>74</v>
      </c>
      <c r="L230" t="s">
        <v>74</v>
      </c>
      <c r="M230" t="s">
        <v>78</v>
      </c>
      <c r="N230" t="s">
        <v>108</v>
      </c>
      <c r="O230" t="s">
        <v>74</v>
      </c>
      <c r="P230" t="s">
        <v>74</v>
      </c>
      <c r="Q230" t="s">
        <v>74</v>
      </c>
      <c r="R230" t="s">
        <v>74</v>
      </c>
      <c r="S230" t="s">
        <v>74</v>
      </c>
      <c r="T230" t="s">
        <v>4717</v>
      </c>
      <c r="U230" t="s">
        <v>4718</v>
      </c>
      <c r="V230" t="s">
        <v>4719</v>
      </c>
      <c r="W230" t="s">
        <v>4720</v>
      </c>
      <c r="X230" t="s">
        <v>4721</v>
      </c>
      <c r="Y230" t="s">
        <v>4722</v>
      </c>
      <c r="Z230" t="s">
        <v>4723</v>
      </c>
      <c r="AA230" t="s">
        <v>4724</v>
      </c>
      <c r="AB230" t="s">
        <v>4725</v>
      </c>
      <c r="AC230" t="s">
        <v>4726</v>
      </c>
      <c r="AD230" t="s">
        <v>4727</v>
      </c>
      <c r="AE230" t="s">
        <v>4728</v>
      </c>
      <c r="AF230" t="s">
        <v>74</v>
      </c>
      <c r="AG230">
        <v>72</v>
      </c>
      <c r="AH230">
        <v>21</v>
      </c>
      <c r="AI230">
        <v>21</v>
      </c>
      <c r="AJ230">
        <v>5</v>
      </c>
      <c r="AK230">
        <v>42</v>
      </c>
      <c r="AL230" t="s">
        <v>116</v>
      </c>
      <c r="AM230" t="s">
        <v>117</v>
      </c>
      <c r="AN230" t="s">
        <v>118</v>
      </c>
      <c r="AO230" t="s">
        <v>74</v>
      </c>
      <c r="AP230" t="s">
        <v>1288</v>
      </c>
      <c r="AQ230" t="s">
        <v>74</v>
      </c>
      <c r="AR230" t="s">
        <v>1278</v>
      </c>
      <c r="AS230" t="s">
        <v>1289</v>
      </c>
      <c r="AT230" t="s">
        <v>194</v>
      </c>
      <c r="AU230">
        <v>2020</v>
      </c>
      <c r="AV230">
        <v>8</v>
      </c>
      <c r="AW230">
        <v>11</v>
      </c>
      <c r="AX230" t="s">
        <v>74</v>
      </c>
      <c r="AY230" t="s">
        <v>74</v>
      </c>
      <c r="AZ230" t="s">
        <v>74</v>
      </c>
      <c r="BA230" t="s">
        <v>74</v>
      </c>
      <c r="BB230" t="s">
        <v>74</v>
      </c>
      <c r="BC230" t="s">
        <v>74</v>
      </c>
      <c r="BD230">
        <v>1384</v>
      </c>
      <c r="BE230" t="s">
        <v>4729</v>
      </c>
      <c r="BF230" t="str">
        <f>HYPERLINK("http://dx.doi.org/10.3390/pr8111384","http://dx.doi.org/10.3390/pr8111384")</f>
        <v>http://dx.doi.org/10.3390/pr8111384</v>
      </c>
      <c r="BG230" t="s">
        <v>74</v>
      </c>
      <c r="BH230" t="s">
        <v>74</v>
      </c>
      <c r="BI230">
        <v>20</v>
      </c>
      <c r="BJ230" t="s">
        <v>1291</v>
      </c>
      <c r="BK230" t="s">
        <v>98</v>
      </c>
      <c r="BL230" t="s">
        <v>1292</v>
      </c>
      <c r="BM230" t="s">
        <v>4730</v>
      </c>
      <c r="BN230" t="s">
        <v>74</v>
      </c>
      <c r="BO230" t="s">
        <v>126</v>
      </c>
      <c r="BP230" t="s">
        <v>74</v>
      </c>
      <c r="BQ230" t="s">
        <v>74</v>
      </c>
      <c r="BR230" t="s">
        <v>102</v>
      </c>
      <c r="BS230" t="s">
        <v>4731</v>
      </c>
      <c r="BT230" t="str">
        <f>HYPERLINK("https%3A%2F%2Fwww.webofscience.com%2Fwos%2Fwoscc%2Ffull-record%2FWOS:000594406300001","View Full Record in Web of Science")</f>
        <v>View Full Record in Web of Science</v>
      </c>
    </row>
    <row r="231" spans="1:72" x14ac:dyDescent="0.2">
      <c r="A231" t="s">
        <v>72</v>
      </c>
      <c r="B231" t="s">
        <v>4732</v>
      </c>
      <c r="C231" t="s">
        <v>74</v>
      </c>
      <c r="D231" t="s">
        <v>74</v>
      </c>
      <c r="E231" t="s">
        <v>74</v>
      </c>
      <c r="F231" t="s">
        <v>4733</v>
      </c>
      <c r="G231" t="s">
        <v>74</v>
      </c>
      <c r="H231" t="s">
        <v>74</v>
      </c>
      <c r="I231" t="s">
        <v>4734</v>
      </c>
      <c r="J231" t="s">
        <v>1558</v>
      </c>
      <c r="K231" t="s">
        <v>74</v>
      </c>
      <c r="L231" t="s">
        <v>74</v>
      </c>
      <c r="M231" t="s">
        <v>78</v>
      </c>
      <c r="N231" t="s">
        <v>108</v>
      </c>
      <c r="O231" t="s">
        <v>74</v>
      </c>
      <c r="P231" t="s">
        <v>74</v>
      </c>
      <c r="Q231" t="s">
        <v>74</v>
      </c>
      <c r="R231" t="s">
        <v>74</v>
      </c>
      <c r="S231" t="s">
        <v>74</v>
      </c>
      <c r="T231" t="s">
        <v>4735</v>
      </c>
      <c r="U231" t="s">
        <v>4736</v>
      </c>
      <c r="V231" t="s">
        <v>4737</v>
      </c>
      <c r="W231" t="s">
        <v>4738</v>
      </c>
      <c r="X231" t="s">
        <v>4739</v>
      </c>
      <c r="Y231" t="s">
        <v>4740</v>
      </c>
      <c r="Z231" t="s">
        <v>4741</v>
      </c>
      <c r="AA231" t="s">
        <v>74</v>
      </c>
      <c r="AB231" t="s">
        <v>4742</v>
      </c>
      <c r="AC231" t="s">
        <v>4743</v>
      </c>
      <c r="AD231" t="s">
        <v>4744</v>
      </c>
      <c r="AE231" t="s">
        <v>4745</v>
      </c>
      <c r="AF231" t="s">
        <v>74</v>
      </c>
      <c r="AG231">
        <v>61</v>
      </c>
      <c r="AH231">
        <v>5</v>
      </c>
      <c r="AI231">
        <v>5</v>
      </c>
      <c r="AJ231">
        <v>14</v>
      </c>
      <c r="AK231">
        <v>18</v>
      </c>
      <c r="AL231" t="s">
        <v>437</v>
      </c>
      <c r="AM231" t="s">
        <v>438</v>
      </c>
      <c r="AN231" t="s">
        <v>439</v>
      </c>
      <c r="AO231" t="s">
        <v>1567</v>
      </c>
      <c r="AP231" t="s">
        <v>1568</v>
      </c>
      <c r="AQ231" t="s">
        <v>74</v>
      </c>
      <c r="AR231" t="s">
        <v>1569</v>
      </c>
      <c r="AS231" t="s">
        <v>1570</v>
      </c>
      <c r="AT231" t="s">
        <v>1796</v>
      </c>
      <c r="AU231">
        <v>2023</v>
      </c>
      <c r="AV231">
        <v>35</v>
      </c>
      <c r="AW231">
        <v>1</v>
      </c>
      <c r="AX231" t="s">
        <v>74</v>
      </c>
      <c r="AY231" t="s">
        <v>74</v>
      </c>
      <c r="AZ231" t="s">
        <v>570</v>
      </c>
      <c r="BA231" t="s">
        <v>74</v>
      </c>
      <c r="BB231">
        <v>51</v>
      </c>
      <c r="BC231">
        <v>72</v>
      </c>
      <c r="BD231" t="s">
        <v>74</v>
      </c>
      <c r="BE231" t="s">
        <v>4746</v>
      </c>
      <c r="BF231" t="str">
        <f>HYPERLINK("http://dx.doi.org/10.1108/TQM-02-2021-0061","http://dx.doi.org/10.1108/TQM-02-2021-0061")</f>
        <v>http://dx.doi.org/10.1108/TQM-02-2021-0061</v>
      </c>
      <c r="BG231" t="s">
        <v>74</v>
      </c>
      <c r="BH231" t="s">
        <v>74</v>
      </c>
      <c r="BI231">
        <v>22</v>
      </c>
      <c r="BJ231" t="s">
        <v>418</v>
      </c>
      <c r="BK231" t="s">
        <v>124</v>
      </c>
      <c r="BL231" t="s">
        <v>419</v>
      </c>
      <c r="BM231" t="s">
        <v>4747</v>
      </c>
      <c r="BN231" t="s">
        <v>74</v>
      </c>
      <c r="BO231" t="s">
        <v>74</v>
      </c>
      <c r="BP231" t="s">
        <v>74</v>
      </c>
      <c r="BQ231" t="s">
        <v>74</v>
      </c>
      <c r="BR231" t="s">
        <v>102</v>
      </c>
      <c r="BS231" t="s">
        <v>4748</v>
      </c>
      <c r="BT231" t="str">
        <f>HYPERLINK("https%3A%2F%2Fwww.webofscience.com%2Fwos%2Fwoscc%2Ffull-record%2FWOS:000918910000004","View Full Record in Web of Science")</f>
        <v>View Full Record in Web of Science</v>
      </c>
    </row>
    <row r="232" spans="1:72" x14ac:dyDescent="0.2">
      <c r="A232" t="s">
        <v>72</v>
      </c>
      <c r="B232" t="s">
        <v>4749</v>
      </c>
      <c r="C232" t="s">
        <v>74</v>
      </c>
      <c r="D232" t="s">
        <v>74</v>
      </c>
      <c r="E232" t="s">
        <v>74</v>
      </c>
      <c r="F232" t="s">
        <v>4749</v>
      </c>
      <c r="G232" t="s">
        <v>74</v>
      </c>
      <c r="H232" t="s">
        <v>74</v>
      </c>
      <c r="I232" t="s">
        <v>4750</v>
      </c>
      <c r="J232" t="s">
        <v>2042</v>
      </c>
      <c r="K232" t="s">
        <v>74</v>
      </c>
      <c r="L232" t="s">
        <v>74</v>
      </c>
      <c r="M232" t="s">
        <v>78</v>
      </c>
      <c r="N232" t="s">
        <v>108</v>
      </c>
      <c r="O232" t="s">
        <v>74</v>
      </c>
      <c r="P232" t="s">
        <v>74</v>
      </c>
      <c r="Q232" t="s">
        <v>74</v>
      </c>
      <c r="R232" t="s">
        <v>74</v>
      </c>
      <c r="S232" t="s">
        <v>74</v>
      </c>
      <c r="T232" t="s">
        <v>4751</v>
      </c>
      <c r="U232" t="s">
        <v>2570</v>
      </c>
      <c r="V232" t="s">
        <v>4752</v>
      </c>
      <c r="W232" t="s">
        <v>4753</v>
      </c>
      <c r="X232" t="s">
        <v>4754</v>
      </c>
      <c r="Y232" t="s">
        <v>4755</v>
      </c>
      <c r="Z232" t="s">
        <v>4756</v>
      </c>
      <c r="AA232" t="s">
        <v>4757</v>
      </c>
      <c r="AB232" t="s">
        <v>4758</v>
      </c>
      <c r="AC232" t="s">
        <v>74</v>
      </c>
      <c r="AD232" t="s">
        <v>74</v>
      </c>
      <c r="AE232" t="s">
        <v>74</v>
      </c>
      <c r="AF232" t="s">
        <v>74</v>
      </c>
      <c r="AG232">
        <v>33</v>
      </c>
      <c r="AH232">
        <v>34</v>
      </c>
      <c r="AI232">
        <v>34</v>
      </c>
      <c r="AJ232">
        <v>0</v>
      </c>
      <c r="AK232">
        <v>15</v>
      </c>
      <c r="AL232" t="s">
        <v>543</v>
      </c>
      <c r="AM232" t="s">
        <v>260</v>
      </c>
      <c r="AN232" t="s">
        <v>544</v>
      </c>
      <c r="AO232" t="s">
        <v>2054</v>
      </c>
      <c r="AP232" t="s">
        <v>2055</v>
      </c>
      <c r="AQ232" t="s">
        <v>74</v>
      </c>
      <c r="AR232" t="s">
        <v>2056</v>
      </c>
      <c r="AS232" t="s">
        <v>2057</v>
      </c>
      <c r="AT232" t="s">
        <v>194</v>
      </c>
      <c r="AU232">
        <v>2003</v>
      </c>
      <c r="AV232">
        <v>25</v>
      </c>
      <c r="AW232">
        <v>4</v>
      </c>
      <c r="AX232" t="s">
        <v>74</v>
      </c>
      <c r="AY232" t="s">
        <v>74</v>
      </c>
      <c r="AZ232" t="s">
        <v>74</v>
      </c>
      <c r="BA232" t="s">
        <v>74</v>
      </c>
      <c r="BB232">
        <v>589</v>
      </c>
      <c r="BC232">
        <v>602</v>
      </c>
      <c r="BD232" t="s">
        <v>74</v>
      </c>
      <c r="BE232" t="s">
        <v>4759</v>
      </c>
      <c r="BF232" t="str">
        <f>HYPERLINK("http://dx.doi.org/10.1016/S0957-4174(03)00099-X","http://dx.doi.org/10.1016/S0957-4174(03)00099-X")</f>
        <v>http://dx.doi.org/10.1016/S0957-4174(03)00099-X</v>
      </c>
      <c r="BG232" t="s">
        <v>74</v>
      </c>
      <c r="BH232" t="s">
        <v>74</v>
      </c>
      <c r="BI232">
        <v>14</v>
      </c>
      <c r="BJ232" t="s">
        <v>2059</v>
      </c>
      <c r="BK232" t="s">
        <v>98</v>
      </c>
      <c r="BL232" t="s">
        <v>2060</v>
      </c>
      <c r="BM232" t="s">
        <v>4760</v>
      </c>
      <c r="BN232" t="s">
        <v>74</v>
      </c>
      <c r="BO232" t="s">
        <v>74</v>
      </c>
      <c r="BP232" t="s">
        <v>74</v>
      </c>
      <c r="BQ232" t="s">
        <v>74</v>
      </c>
      <c r="BR232" t="s">
        <v>102</v>
      </c>
      <c r="BS232" t="s">
        <v>4761</v>
      </c>
      <c r="BT232" t="str">
        <f>HYPERLINK("https%3A%2F%2Fwww.webofscience.com%2Fwos%2Fwoscc%2Ffull-record%2FWOS:000185243400009","View Full Record in Web of Science")</f>
        <v>View Full Record in Web of Science</v>
      </c>
    </row>
    <row r="233" spans="1:72" x14ac:dyDescent="0.2">
      <c r="A233" t="s">
        <v>72</v>
      </c>
      <c r="B233" t="s">
        <v>4762</v>
      </c>
      <c r="C233" t="s">
        <v>74</v>
      </c>
      <c r="D233" t="s">
        <v>74</v>
      </c>
      <c r="E233" t="s">
        <v>74</v>
      </c>
      <c r="F233" t="s">
        <v>4763</v>
      </c>
      <c r="G233" t="s">
        <v>74</v>
      </c>
      <c r="H233" t="s">
        <v>74</v>
      </c>
      <c r="I233" t="s">
        <v>4764</v>
      </c>
      <c r="J233" t="s">
        <v>4765</v>
      </c>
      <c r="K233" t="s">
        <v>74</v>
      </c>
      <c r="L233" t="s">
        <v>74</v>
      </c>
      <c r="M233" t="s">
        <v>78</v>
      </c>
      <c r="N233" t="s">
        <v>108</v>
      </c>
      <c r="O233" t="s">
        <v>74</v>
      </c>
      <c r="P233" t="s">
        <v>74</v>
      </c>
      <c r="Q233" t="s">
        <v>74</v>
      </c>
      <c r="R233" t="s">
        <v>74</v>
      </c>
      <c r="S233" t="s">
        <v>74</v>
      </c>
      <c r="T233" t="s">
        <v>4766</v>
      </c>
      <c r="U233" t="s">
        <v>74</v>
      </c>
      <c r="V233" t="s">
        <v>4767</v>
      </c>
      <c r="W233" t="s">
        <v>4768</v>
      </c>
      <c r="X233" t="s">
        <v>4769</v>
      </c>
      <c r="Y233" t="s">
        <v>4770</v>
      </c>
      <c r="Z233" t="s">
        <v>4771</v>
      </c>
      <c r="AA233" t="s">
        <v>74</v>
      </c>
      <c r="AB233" t="s">
        <v>4772</v>
      </c>
      <c r="AC233" t="s">
        <v>4773</v>
      </c>
      <c r="AD233" t="s">
        <v>4773</v>
      </c>
      <c r="AE233" t="s">
        <v>4774</v>
      </c>
      <c r="AF233" t="s">
        <v>74</v>
      </c>
      <c r="AG233">
        <v>9</v>
      </c>
      <c r="AH233">
        <v>13</v>
      </c>
      <c r="AI233">
        <v>13</v>
      </c>
      <c r="AJ233">
        <v>1</v>
      </c>
      <c r="AK233">
        <v>30</v>
      </c>
      <c r="AL233" t="s">
        <v>2478</v>
      </c>
      <c r="AM233" t="s">
        <v>90</v>
      </c>
      <c r="AN233" t="s">
        <v>2479</v>
      </c>
      <c r="AO233" t="s">
        <v>2480</v>
      </c>
      <c r="AP233" t="s">
        <v>2481</v>
      </c>
      <c r="AQ233" t="s">
        <v>74</v>
      </c>
      <c r="AR233" t="s">
        <v>4775</v>
      </c>
      <c r="AS233" t="s">
        <v>4776</v>
      </c>
      <c r="AT233" t="s">
        <v>216</v>
      </c>
      <c r="AU233">
        <v>2016</v>
      </c>
      <c r="AV233">
        <v>16</v>
      </c>
      <c r="AW233">
        <v>6</v>
      </c>
      <c r="AX233" t="s">
        <v>74</v>
      </c>
      <c r="AY233" t="s">
        <v>74</v>
      </c>
      <c r="AZ233" t="s">
        <v>74</v>
      </c>
      <c r="BA233" t="s">
        <v>74</v>
      </c>
      <c r="BB233">
        <v>1528</v>
      </c>
      <c r="BC233">
        <v>1535</v>
      </c>
      <c r="BD233" t="s">
        <v>74</v>
      </c>
      <c r="BE233" t="s">
        <v>4777</v>
      </c>
      <c r="BF233" t="str">
        <f>HYPERLINK("http://dx.doi.org/10.2166/ws.2016.062","http://dx.doi.org/10.2166/ws.2016.062")</f>
        <v>http://dx.doi.org/10.2166/ws.2016.062</v>
      </c>
      <c r="BG233" t="s">
        <v>74</v>
      </c>
      <c r="BH233" t="s">
        <v>74</v>
      </c>
      <c r="BI233">
        <v>8</v>
      </c>
      <c r="BJ233" t="s">
        <v>2484</v>
      </c>
      <c r="BK233" t="s">
        <v>98</v>
      </c>
      <c r="BL233" t="s">
        <v>2485</v>
      </c>
      <c r="BM233" t="s">
        <v>4778</v>
      </c>
      <c r="BN233" t="s">
        <v>74</v>
      </c>
      <c r="BO233" t="s">
        <v>804</v>
      </c>
      <c r="BP233" t="s">
        <v>74</v>
      </c>
      <c r="BQ233" t="s">
        <v>74</v>
      </c>
      <c r="BR233" t="s">
        <v>102</v>
      </c>
      <c r="BS233" t="s">
        <v>4779</v>
      </c>
      <c r="BT233" t="str">
        <f>HYPERLINK("https%3A%2F%2Fwww.webofscience.com%2Fwos%2Fwoscc%2Ffull-record%2FWOS:000391118500006","View Full Record in Web of Science")</f>
        <v>View Full Record in Web of Science</v>
      </c>
    </row>
    <row r="234" spans="1:72" x14ac:dyDescent="0.2">
      <c r="A234" t="s">
        <v>72</v>
      </c>
      <c r="B234" t="s">
        <v>4780</v>
      </c>
      <c r="C234" t="s">
        <v>74</v>
      </c>
      <c r="D234" t="s">
        <v>74</v>
      </c>
      <c r="E234" t="s">
        <v>74</v>
      </c>
      <c r="F234" t="s">
        <v>4781</v>
      </c>
      <c r="G234" t="s">
        <v>74</v>
      </c>
      <c r="H234" t="s">
        <v>74</v>
      </c>
      <c r="I234" t="s">
        <v>4782</v>
      </c>
      <c r="J234" t="s">
        <v>4783</v>
      </c>
      <c r="K234" t="s">
        <v>74</v>
      </c>
      <c r="L234" t="s">
        <v>74</v>
      </c>
      <c r="M234" t="s">
        <v>78</v>
      </c>
      <c r="N234" t="s">
        <v>108</v>
      </c>
      <c r="O234" t="s">
        <v>74</v>
      </c>
      <c r="P234" t="s">
        <v>74</v>
      </c>
      <c r="Q234" t="s">
        <v>74</v>
      </c>
      <c r="R234" t="s">
        <v>74</v>
      </c>
      <c r="S234" t="s">
        <v>74</v>
      </c>
      <c r="T234" t="s">
        <v>4784</v>
      </c>
      <c r="U234" t="s">
        <v>4785</v>
      </c>
      <c r="V234" t="s">
        <v>4786</v>
      </c>
      <c r="W234" t="s">
        <v>4787</v>
      </c>
      <c r="X234" t="s">
        <v>4788</v>
      </c>
      <c r="Y234" t="s">
        <v>4789</v>
      </c>
      <c r="Z234" t="s">
        <v>4790</v>
      </c>
      <c r="AA234" t="s">
        <v>4791</v>
      </c>
      <c r="AB234" t="s">
        <v>4792</v>
      </c>
      <c r="AC234" t="s">
        <v>4793</v>
      </c>
      <c r="AD234" t="s">
        <v>4794</v>
      </c>
      <c r="AE234" t="s">
        <v>4795</v>
      </c>
      <c r="AF234" t="s">
        <v>74</v>
      </c>
      <c r="AG234">
        <v>106</v>
      </c>
      <c r="AH234">
        <v>0</v>
      </c>
      <c r="AI234">
        <v>0</v>
      </c>
      <c r="AJ234">
        <v>2</v>
      </c>
      <c r="AK234">
        <v>2</v>
      </c>
      <c r="AL234" t="s">
        <v>543</v>
      </c>
      <c r="AM234" t="s">
        <v>260</v>
      </c>
      <c r="AN234" t="s">
        <v>544</v>
      </c>
      <c r="AO234" t="s">
        <v>4796</v>
      </c>
      <c r="AP234" t="s">
        <v>4797</v>
      </c>
      <c r="AQ234" t="s">
        <v>74</v>
      </c>
      <c r="AR234" t="s">
        <v>4798</v>
      </c>
      <c r="AS234" t="s">
        <v>4799</v>
      </c>
      <c r="AT234" t="s">
        <v>174</v>
      </c>
      <c r="AU234">
        <v>2023</v>
      </c>
      <c r="AV234">
        <v>125</v>
      </c>
      <c r="AW234" t="s">
        <v>74</v>
      </c>
      <c r="AX234" t="s">
        <v>74</v>
      </c>
      <c r="AY234" t="s">
        <v>74</v>
      </c>
      <c r="AZ234" t="s">
        <v>74</v>
      </c>
      <c r="BA234" t="s">
        <v>74</v>
      </c>
      <c r="BB234" t="s">
        <v>74</v>
      </c>
      <c r="BC234" t="s">
        <v>74</v>
      </c>
      <c r="BD234">
        <v>106671</v>
      </c>
      <c r="BE234" t="s">
        <v>4800</v>
      </c>
      <c r="BF234" t="str">
        <f>HYPERLINK("http://dx.doi.org/10.1016/j.engappai.2023.106671","http://dx.doi.org/10.1016/j.engappai.2023.106671")</f>
        <v>http://dx.doi.org/10.1016/j.engappai.2023.106671</v>
      </c>
      <c r="BG234" t="s">
        <v>74</v>
      </c>
      <c r="BH234" t="s">
        <v>1331</v>
      </c>
      <c r="BI234">
        <v>16</v>
      </c>
      <c r="BJ234" t="s">
        <v>4801</v>
      </c>
      <c r="BK234" t="s">
        <v>98</v>
      </c>
      <c r="BL234" t="s">
        <v>4802</v>
      </c>
      <c r="BM234" t="s">
        <v>4803</v>
      </c>
      <c r="BN234" t="s">
        <v>74</v>
      </c>
      <c r="BO234" t="s">
        <v>74</v>
      </c>
      <c r="BP234" t="s">
        <v>74</v>
      </c>
      <c r="BQ234" t="s">
        <v>74</v>
      </c>
      <c r="BR234" t="s">
        <v>102</v>
      </c>
      <c r="BS234" t="s">
        <v>4804</v>
      </c>
      <c r="BT234" t="str">
        <f>HYPERLINK("https%3A%2F%2Fwww.webofscience.com%2Fwos%2Fwoscc%2Ffull-record%2FWOS:001036115900001","View Full Record in Web of Science")</f>
        <v>View Full Record in Web of Science</v>
      </c>
    </row>
    <row r="235" spans="1:72" x14ac:dyDescent="0.2">
      <c r="A235" t="s">
        <v>72</v>
      </c>
      <c r="B235" t="s">
        <v>4805</v>
      </c>
      <c r="C235" t="s">
        <v>74</v>
      </c>
      <c r="D235" t="s">
        <v>74</v>
      </c>
      <c r="E235" t="s">
        <v>74</v>
      </c>
      <c r="F235" t="s">
        <v>4806</v>
      </c>
      <c r="G235" t="s">
        <v>74</v>
      </c>
      <c r="H235" t="s">
        <v>74</v>
      </c>
      <c r="I235" t="s">
        <v>4807</v>
      </c>
      <c r="J235" t="s">
        <v>4808</v>
      </c>
      <c r="K235" t="s">
        <v>74</v>
      </c>
      <c r="L235" t="s">
        <v>74</v>
      </c>
      <c r="M235" t="s">
        <v>78</v>
      </c>
      <c r="N235" t="s">
        <v>108</v>
      </c>
      <c r="O235" t="s">
        <v>74</v>
      </c>
      <c r="P235" t="s">
        <v>74</v>
      </c>
      <c r="Q235" t="s">
        <v>74</v>
      </c>
      <c r="R235" t="s">
        <v>74</v>
      </c>
      <c r="S235" t="s">
        <v>74</v>
      </c>
      <c r="T235" t="s">
        <v>4809</v>
      </c>
      <c r="U235" t="s">
        <v>4810</v>
      </c>
      <c r="V235" t="s">
        <v>4811</v>
      </c>
      <c r="W235" t="s">
        <v>4812</v>
      </c>
      <c r="X235" t="s">
        <v>4813</v>
      </c>
      <c r="Y235" t="s">
        <v>4814</v>
      </c>
      <c r="Z235" t="s">
        <v>4815</v>
      </c>
      <c r="AA235" t="s">
        <v>74</v>
      </c>
      <c r="AB235" t="s">
        <v>4816</v>
      </c>
      <c r="AC235" t="s">
        <v>74</v>
      </c>
      <c r="AD235" t="s">
        <v>74</v>
      </c>
      <c r="AE235" t="s">
        <v>74</v>
      </c>
      <c r="AF235" t="s">
        <v>74</v>
      </c>
      <c r="AG235">
        <v>54</v>
      </c>
      <c r="AH235">
        <v>9</v>
      </c>
      <c r="AI235">
        <v>9</v>
      </c>
      <c r="AJ235">
        <v>1</v>
      </c>
      <c r="AK235">
        <v>17</v>
      </c>
      <c r="AL235" t="s">
        <v>4005</v>
      </c>
      <c r="AM235" t="s">
        <v>4006</v>
      </c>
      <c r="AN235" t="s">
        <v>4007</v>
      </c>
      <c r="AO235" t="s">
        <v>4817</v>
      </c>
      <c r="AP235" t="s">
        <v>4818</v>
      </c>
      <c r="AQ235" t="s">
        <v>74</v>
      </c>
      <c r="AR235" t="s">
        <v>4819</v>
      </c>
      <c r="AS235" t="s">
        <v>4820</v>
      </c>
      <c r="AT235" t="s">
        <v>216</v>
      </c>
      <c r="AU235">
        <v>2015</v>
      </c>
      <c r="AV235">
        <v>24</v>
      </c>
      <c r="AW235">
        <v>4</v>
      </c>
      <c r="AX235" t="s">
        <v>74</v>
      </c>
      <c r="AY235" t="s">
        <v>74</v>
      </c>
      <c r="AZ235" t="s">
        <v>74</v>
      </c>
      <c r="BA235" t="s">
        <v>74</v>
      </c>
      <c r="BB235">
        <v>486</v>
      </c>
      <c r="BC235">
        <v>499</v>
      </c>
      <c r="BD235" t="s">
        <v>74</v>
      </c>
      <c r="BE235" t="s">
        <v>4821</v>
      </c>
      <c r="BF235" t="str">
        <f>HYPERLINK("http://dx.doi.org/10.1007/s11518-015-5290-0","http://dx.doi.org/10.1007/s11518-015-5290-0")</f>
        <v>http://dx.doi.org/10.1007/s11518-015-5290-0</v>
      </c>
      <c r="BG235" t="s">
        <v>74</v>
      </c>
      <c r="BH235" t="s">
        <v>74</v>
      </c>
      <c r="BI235">
        <v>14</v>
      </c>
      <c r="BJ235" t="s">
        <v>330</v>
      </c>
      <c r="BK235" t="s">
        <v>98</v>
      </c>
      <c r="BL235" t="s">
        <v>330</v>
      </c>
      <c r="BM235" t="s">
        <v>4822</v>
      </c>
      <c r="BN235" t="s">
        <v>74</v>
      </c>
      <c r="BO235" t="s">
        <v>74</v>
      </c>
      <c r="BP235" t="s">
        <v>74</v>
      </c>
      <c r="BQ235" t="s">
        <v>74</v>
      </c>
      <c r="BR235" t="s">
        <v>102</v>
      </c>
      <c r="BS235" t="s">
        <v>4823</v>
      </c>
      <c r="BT235" t="str">
        <f>HYPERLINK("https%3A%2F%2Fwww.webofscience.com%2Fwos%2Fwoscc%2Ffull-record%2FWOS:000368517400005","View Full Record in Web of Science")</f>
        <v>View Full Record in Web of Science</v>
      </c>
    </row>
    <row r="236" spans="1:72" x14ac:dyDescent="0.2">
      <c r="A236" t="s">
        <v>72</v>
      </c>
      <c r="B236" t="s">
        <v>4824</v>
      </c>
      <c r="C236" t="s">
        <v>74</v>
      </c>
      <c r="D236" t="s">
        <v>74</v>
      </c>
      <c r="E236" t="s">
        <v>74</v>
      </c>
      <c r="F236" t="s">
        <v>4825</v>
      </c>
      <c r="G236" t="s">
        <v>74</v>
      </c>
      <c r="H236" t="s">
        <v>74</v>
      </c>
      <c r="I236" t="s">
        <v>4826</v>
      </c>
      <c r="J236" t="s">
        <v>4827</v>
      </c>
      <c r="K236" t="s">
        <v>74</v>
      </c>
      <c r="L236" t="s">
        <v>74</v>
      </c>
      <c r="M236" t="s">
        <v>78</v>
      </c>
      <c r="N236" t="s">
        <v>108</v>
      </c>
      <c r="O236" t="s">
        <v>74</v>
      </c>
      <c r="P236" t="s">
        <v>74</v>
      </c>
      <c r="Q236" t="s">
        <v>74</v>
      </c>
      <c r="R236" t="s">
        <v>74</v>
      </c>
      <c r="S236" t="s">
        <v>74</v>
      </c>
      <c r="T236" t="s">
        <v>4828</v>
      </c>
      <c r="U236" t="s">
        <v>74</v>
      </c>
      <c r="V236" t="s">
        <v>4829</v>
      </c>
      <c r="W236" t="s">
        <v>4830</v>
      </c>
      <c r="X236" t="s">
        <v>4831</v>
      </c>
      <c r="Y236" t="s">
        <v>4832</v>
      </c>
      <c r="Z236" t="s">
        <v>4833</v>
      </c>
      <c r="AA236" t="s">
        <v>4834</v>
      </c>
      <c r="AB236" t="s">
        <v>4835</v>
      </c>
      <c r="AC236" t="s">
        <v>74</v>
      </c>
      <c r="AD236" t="s">
        <v>74</v>
      </c>
      <c r="AE236" t="s">
        <v>74</v>
      </c>
      <c r="AF236" t="s">
        <v>74</v>
      </c>
      <c r="AG236">
        <v>40</v>
      </c>
      <c r="AH236">
        <v>0</v>
      </c>
      <c r="AI236">
        <v>0</v>
      </c>
      <c r="AJ236">
        <v>1</v>
      </c>
      <c r="AK236">
        <v>1</v>
      </c>
      <c r="AL236" t="s">
        <v>116</v>
      </c>
      <c r="AM236" t="s">
        <v>117</v>
      </c>
      <c r="AN236" t="s">
        <v>118</v>
      </c>
      <c r="AO236" t="s">
        <v>74</v>
      </c>
      <c r="AP236" t="s">
        <v>4836</v>
      </c>
      <c r="AQ236" t="s">
        <v>74</v>
      </c>
      <c r="AR236" t="s">
        <v>4827</v>
      </c>
      <c r="AS236" t="s">
        <v>4837</v>
      </c>
      <c r="AT236" t="s">
        <v>616</v>
      </c>
      <c r="AU236">
        <v>2023</v>
      </c>
      <c r="AV236">
        <v>15</v>
      </c>
      <c r="AW236">
        <v>3</v>
      </c>
      <c r="AX236" t="s">
        <v>74</v>
      </c>
      <c r="AY236" t="s">
        <v>74</v>
      </c>
      <c r="AZ236" t="s">
        <v>74</v>
      </c>
      <c r="BA236" t="s">
        <v>74</v>
      </c>
      <c r="BB236" t="s">
        <v>74</v>
      </c>
      <c r="BC236" t="s">
        <v>74</v>
      </c>
      <c r="BD236">
        <v>103</v>
      </c>
      <c r="BE236" t="s">
        <v>4838</v>
      </c>
      <c r="BF236" t="str">
        <f>HYPERLINK("http://dx.doi.org/10.3390/fi15030103","http://dx.doi.org/10.3390/fi15030103")</f>
        <v>http://dx.doi.org/10.3390/fi15030103</v>
      </c>
      <c r="BG236" t="s">
        <v>74</v>
      </c>
      <c r="BH236" t="s">
        <v>74</v>
      </c>
      <c r="BI236">
        <v>16</v>
      </c>
      <c r="BJ236" t="s">
        <v>123</v>
      </c>
      <c r="BK236" t="s">
        <v>124</v>
      </c>
      <c r="BL236" t="s">
        <v>99</v>
      </c>
      <c r="BM236" t="s">
        <v>4839</v>
      </c>
      <c r="BN236" t="s">
        <v>74</v>
      </c>
      <c r="BO236" t="s">
        <v>126</v>
      </c>
      <c r="BP236" t="s">
        <v>74</v>
      </c>
      <c r="BQ236" t="s">
        <v>74</v>
      </c>
      <c r="BR236" t="s">
        <v>102</v>
      </c>
      <c r="BS236" t="s">
        <v>4840</v>
      </c>
      <c r="BT236" t="str">
        <f>HYPERLINK("https%3A%2F%2Fwww.webofscience.com%2Fwos%2Fwoscc%2Ffull-record%2FWOS:000956196200001","View Full Record in Web of Science")</f>
        <v>View Full Record in Web of Science</v>
      </c>
    </row>
    <row r="237" spans="1:72" x14ac:dyDescent="0.2">
      <c r="A237" t="s">
        <v>72</v>
      </c>
      <c r="B237" t="s">
        <v>4841</v>
      </c>
      <c r="C237" t="s">
        <v>74</v>
      </c>
      <c r="D237" t="s">
        <v>74</v>
      </c>
      <c r="E237" t="s">
        <v>74</v>
      </c>
      <c r="F237" t="s">
        <v>4842</v>
      </c>
      <c r="G237" t="s">
        <v>74</v>
      </c>
      <c r="H237" t="s">
        <v>74</v>
      </c>
      <c r="I237" t="s">
        <v>4843</v>
      </c>
      <c r="J237" t="s">
        <v>4844</v>
      </c>
      <c r="K237" t="s">
        <v>74</v>
      </c>
      <c r="L237" t="s">
        <v>74</v>
      </c>
      <c r="M237" t="s">
        <v>78</v>
      </c>
      <c r="N237" t="s">
        <v>108</v>
      </c>
      <c r="O237" t="s">
        <v>74</v>
      </c>
      <c r="P237" t="s">
        <v>74</v>
      </c>
      <c r="Q237" t="s">
        <v>74</v>
      </c>
      <c r="R237" t="s">
        <v>74</v>
      </c>
      <c r="S237" t="s">
        <v>74</v>
      </c>
      <c r="T237" t="s">
        <v>4845</v>
      </c>
      <c r="U237" t="s">
        <v>4846</v>
      </c>
      <c r="V237" t="s">
        <v>4847</v>
      </c>
      <c r="W237" t="s">
        <v>4848</v>
      </c>
      <c r="X237" t="s">
        <v>4849</v>
      </c>
      <c r="Y237" t="s">
        <v>4850</v>
      </c>
      <c r="Z237" t="s">
        <v>4851</v>
      </c>
      <c r="AA237" t="s">
        <v>4852</v>
      </c>
      <c r="AB237" t="s">
        <v>4853</v>
      </c>
      <c r="AC237" t="s">
        <v>4854</v>
      </c>
      <c r="AD237" t="s">
        <v>4855</v>
      </c>
      <c r="AE237" t="s">
        <v>4856</v>
      </c>
      <c r="AF237" t="s">
        <v>74</v>
      </c>
      <c r="AG237">
        <v>92</v>
      </c>
      <c r="AH237">
        <v>2</v>
      </c>
      <c r="AI237">
        <v>2</v>
      </c>
      <c r="AJ237">
        <v>3</v>
      </c>
      <c r="AK237">
        <v>4</v>
      </c>
      <c r="AL237" t="s">
        <v>116</v>
      </c>
      <c r="AM237" t="s">
        <v>117</v>
      </c>
      <c r="AN237" t="s">
        <v>118</v>
      </c>
      <c r="AO237" t="s">
        <v>74</v>
      </c>
      <c r="AP237" t="s">
        <v>4857</v>
      </c>
      <c r="AQ237" t="s">
        <v>74</v>
      </c>
      <c r="AR237" t="s">
        <v>4858</v>
      </c>
      <c r="AS237" t="s">
        <v>4859</v>
      </c>
      <c r="AT237" t="s">
        <v>616</v>
      </c>
      <c r="AU237">
        <v>2023</v>
      </c>
      <c r="AV237">
        <v>23</v>
      </c>
      <c r="AW237">
        <v>5</v>
      </c>
      <c r="AX237" t="s">
        <v>74</v>
      </c>
      <c r="AY237" t="s">
        <v>74</v>
      </c>
      <c r="AZ237" t="s">
        <v>74</v>
      </c>
      <c r="BA237" t="s">
        <v>74</v>
      </c>
      <c r="BB237" t="s">
        <v>74</v>
      </c>
      <c r="BC237" t="s">
        <v>74</v>
      </c>
      <c r="BD237">
        <v>2421</v>
      </c>
      <c r="BE237" t="s">
        <v>4860</v>
      </c>
      <c r="BF237" t="str">
        <f>HYPERLINK("http://dx.doi.org/10.3390/s23052421","http://dx.doi.org/10.3390/s23052421")</f>
        <v>http://dx.doi.org/10.3390/s23052421</v>
      </c>
      <c r="BG237" t="s">
        <v>74</v>
      </c>
      <c r="BH237" t="s">
        <v>74</v>
      </c>
      <c r="BI237">
        <v>19</v>
      </c>
      <c r="BJ237" t="s">
        <v>4861</v>
      </c>
      <c r="BK237" t="s">
        <v>98</v>
      </c>
      <c r="BL237" t="s">
        <v>4862</v>
      </c>
      <c r="BM237" t="s">
        <v>4863</v>
      </c>
      <c r="BN237">
        <v>36904624</v>
      </c>
      <c r="BO237" t="s">
        <v>623</v>
      </c>
      <c r="BP237" t="s">
        <v>74</v>
      </c>
      <c r="BQ237" t="s">
        <v>74</v>
      </c>
      <c r="BR237" t="s">
        <v>102</v>
      </c>
      <c r="BS237" t="s">
        <v>4864</v>
      </c>
      <c r="BT237" t="str">
        <f>HYPERLINK("https%3A%2F%2Fwww.webofscience.com%2Fwos%2Fwoscc%2Ffull-record%2FWOS:000947979400001","View Full Record in Web of Science")</f>
        <v>View Full Record in Web of Science</v>
      </c>
    </row>
    <row r="238" spans="1:72" x14ac:dyDescent="0.2">
      <c r="A238" t="s">
        <v>72</v>
      </c>
      <c r="B238" t="s">
        <v>4865</v>
      </c>
      <c r="C238" t="s">
        <v>74</v>
      </c>
      <c r="D238" t="s">
        <v>74</v>
      </c>
      <c r="E238" t="s">
        <v>74</v>
      </c>
      <c r="F238" t="s">
        <v>4866</v>
      </c>
      <c r="G238" t="s">
        <v>74</v>
      </c>
      <c r="H238" t="s">
        <v>74</v>
      </c>
      <c r="I238" t="s">
        <v>4867</v>
      </c>
      <c r="J238" t="s">
        <v>2249</v>
      </c>
      <c r="K238" t="s">
        <v>74</v>
      </c>
      <c r="L238" t="s">
        <v>74</v>
      </c>
      <c r="M238" t="s">
        <v>78</v>
      </c>
      <c r="N238" t="s">
        <v>108</v>
      </c>
      <c r="O238" t="s">
        <v>74</v>
      </c>
      <c r="P238" t="s">
        <v>74</v>
      </c>
      <c r="Q238" t="s">
        <v>74</v>
      </c>
      <c r="R238" t="s">
        <v>74</v>
      </c>
      <c r="S238" t="s">
        <v>74</v>
      </c>
      <c r="T238" t="s">
        <v>4868</v>
      </c>
      <c r="U238" t="s">
        <v>4869</v>
      </c>
      <c r="V238" t="s">
        <v>4870</v>
      </c>
      <c r="W238" t="s">
        <v>4871</v>
      </c>
      <c r="X238" t="s">
        <v>4872</v>
      </c>
      <c r="Y238" t="s">
        <v>4873</v>
      </c>
      <c r="Z238" t="s">
        <v>4874</v>
      </c>
      <c r="AA238" t="s">
        <v>4875</v>
      </c>
      <c r="AB238" t="s">
        <v>4876</v>
      </c>
      <c r="AC238" t="s">
        <v>4877</v>
      </c>
      <c r="AD238" t="s">
        <v>4878</v>
      </c>
      <c r="AE238" t="s">
        <v>4879</v>
      </c>
      <c r="AF238" t="s">
        <v>74</v>
      </c>
      <c r="AG238">
        <v>52</v>
      </c>
      <c r="AH238">
        <v>33</v>
      </c>
      <c r="AI238">
        <v>33</v>
      </c>
      <c r="AJ238">
        <v>1</v>
      </c>
      <c r="AK238">
        <v>53</v>
      </c>
      <c r="AL238" t="s">
        <v>543</v>
      </c>
      <c r="AM238" t="s">
        <v>260</v>
      </c>
      <c r="AN238" t="s">
        <v>544</v>
      </c>
      <c r="AO238" t="s">
        <v>2257</v>
      </c>
      <c r="AP238" t="s">
        <v>4880</v>
      </c>
      <c r="AQ238" t="s">
        <v>74</v>
      </c>
      <c r="AR238" t="s">
        <v>2258</v>
      </c>
      <c r="AS238" t="s">
        <v>2259</v>
      </c>
      <c r="AT238" t="s">
        <v>800</v>
      </c>
      <c r="AU238">
        <v>2019</v>
      </c>
      <c r="AV238">
        <v>84</v>
      </c>
      <c r="AW238" t="s">
        <v>74</v>
      </c>
      <c r="AX238" t="s">
        <v>74</v>
      </c>
      <c r="AY238" t="s">
        <v>74</v>
      </c>
      <c r="AZ238" t="s">
        <v>74</v>
      </c>
      <c r="BA238" t="s">
        <v>74</v>
      </c>
      <c r="BB238">
        <v>199</v>
      </c>
      <c r="BC238">
        <v>211</v>
      </c>
      <c r="BD238" t="s">
        <v>74</v>
      </c>
      <c r="BE238" t="s">
        <v>4881</v>
      </c>
      <c r="BF238" t="str">
        <f>HYPERLINK("http://dx.doi.org/10.1016/j.omega.2018.05.004","http://dx.doi.org/10.1016/j.omega.2018.05.004")</f>
        <v>http://dx.doi.org/10.1016/j.omega.2018.05.004</v>
      </c>
      <c r="BG238" t="s">
        <v>74</v>
      </c>
      <c r="BH238" t="s">
        <v>74</v>
      </c>
      <c r="BI238">
        <v>13</v>
      </c>
      <c r="BJ238" t="s">
        <v>524</v>
      </c>
      <c r="BK238" t="s">
        <v>147</v>
      </c>
      <c r="BL238" t="s">
        <v>525</v>
      </c>
      <c r="BM238" t="s">
        <v>4882</v>
      </c>
      <c r="BN238" t="s">
        <v>74</v>
      </c>
      <c r="BO238" t="s">
        <v>4883</v>
      </c>
      <c r="BP238" t="s">
        <v>74</v>
      </c>
      <c r="BQ238" t="s">
        <v>74</v>
      </c>
      <c r="BR238" t="s">
        <v>102</v>
      </c>
      <c r="BS238" t="s">
        <v>4884</v>
      </c>
      <c r="BT238" t="str">
        <f>HYPERLINK("https%3A%2F%2Fwww.webofscience.com%2Fwos%2Fwoscc%2Ffull-record%2FWOS:000456760200014","View Full Record in Web of Science")</f>
        <v>View Full Record in Web of Science</v>
      </c>
    </row>
    <row r="239" spans="1:72" x14ac:dyDescent="0.2">
      <c r="A239" t="s">
        <v>72</v>
      </c>
      <c r="B239" t="s">
        <v>4885</v>
      </c>
      <c r="C239" t="s">
        <v>74</v>
      </c>
      <c r="D239" t="s">
        <v>74</v>
      </c>
      <c r="E239" t="s">
        <v>74</v>
      </c>
      <c r="F239" t="s">
        <v>4886</v>
      </c>
      <c r="G239" t="s">
        <v>74</v>
      </c>
      <c r="H239" t="s">
        <v>74</v>
      </c>
      <c r="I239" t="s">
        <v>4887</v>
      </c>
      <c r="J239" t="s">
        <v>4888</v>
      </c>
      <c r="K239" t="s">
        <v>74</v>
      </c>
      <c r="L239" t="s">
        <v>74</v>
      </c>
      <c r="M239" t="s">
        <v>78</v>
      </c>
      <c r="N239" t="s">
        <v>108</v>
      </c>
      <c r="O239" t="s">
        <v>74</v>
      </c>
      <c r="P239" t="s">
        <v>74</v>
      </c>
      <c r="Q239" t="s">
        <v>74</v>
      </c>
      <c r="R239" t="s">
        <v>74</v>
      </c>
      <c r="S239" t="s">
        <v>74</v>
      </c>
      <c r="T239" t="s">
        <v>4889</v>
      </c>
      <c r="U239" t="s">
        <v>4890</v>
      </c>
      <c r="V239" t="s">
        <v>4891</v>
      </c>
      <c r="W239" t="s">
        <v>4892</v>
      </c>
      <c r="X239" t="s">
        <v>4893</v>
      </c>
      <c r="Y239" t="s">
        <v>4894</v>
      </c>
      <c r="Z239" t="s">
        <v>4895</v>
      </c>
      <c r="AA239" t="s">
        <v>4896</v>
      </c>
      <c r="AB239" t="s">
        <v>4897</v>
      </c>
      <c r="AC239" t="s">
        <v>4898</v>
      </c>
      <c r="AD239" t="s">
        <v>4899</v>
      </c>
      <c r="AE239" t="s">
        <v>4900</v>
      </c>
      <c r="AF239" t="s">
        <v>74</v>
      </c>
      <c r="AG239">
        <v>48</v>
      </c>
      <c r="AH239">
        <v>6</v>
      </c>
      <c r="AI239">
        <v>7</v>
      </c>
      <c r="AJ239">
        <v>5</v>
      </c>
      <c r="AK239">
        <v>28</v>
      </c>
      <c r="AL239" t="s">
        <v>4901</v>
      </c>
      <c r="AM239" t="s">
        <v>4902</v>
      </c>
      <c r="AN239" t="s">
        <v>4903</v>
      </c>
      <c r="AO239" t="s">
        <v>4904</v>
      </c>
      <c r="AP239" t="s">
        <v>4905</v>
      </c>
      <c r="AQ239" t="s">
        <v>74</v>
      </c>
      <c r="AR239" t="s">
        <v>4906</v>
      </c>
      <c r="AS239" t="s">
        <v>4907</v>
      </c>
      <c r="AT239" t="s">
        <v>74</v>
      </c>
      <c r="AU239">
        <v>2018</v>
      </c>
      <c r="AV239">
        <v>19</v>
      </c>
      <c r="AW239">
        <v>5</v>
      </c>
      <c r="AX239" t="s">
        <v>74</v>
      </c>
      <c r="AY239" t="s">
        <v>74</v>
      </c>
      <c r="AZ239" t="s">
        <v>74</v>
      </c>
      <c r="BA239" t="s">
        <v>74</v>
      </c>
      <c r="BB239">
        <v>759</v>
      </c>
      <c r="BC239">
        <v>776</v>
      </c>
      <c r="BD239" t="s">
        <v>74</v>
      </c>
      <c r="BE239" t="s">
        <v>4908</v>
      </c>
      <c r="BF239" t="str">
        <f>HYPERLINK("http://dx.doi.org/10.3846/jbem.2018.6359","http://dx.doi.org/10.3846/jbem.2018.6359")</f>
        <v>http://dx.doi.org/10.3846/jbem.2018.6359</v>
      </c>
      <c r="BG239" t="s">
        <v>74</v>
      </c>
      <c r="BH239" t="s">
        <v>74</v>
      </c>
      <c r="BI239">
        <v>18</v>
      </c>
      <c r="BJ239" t="s">
        <v>4909</v>
      </c>
      <c r="BK239" t="s">
        <v>242</v>
      </c>
      <c r="BL239" t="s">
        <v>419</v>
      </c>
      <c r="BM239" t="s">
        <v>4910</v>
      </c>
      <c r="BN239" t="s">
        <v>74</v>
      </c>
      <c r="BO239" t="s">
        <v>126</v>
      </c>
      <c r="BP239" t="s">
        <v>74</v>
      </c>
      <c r="BQ239" t="s">
        <v>74</v>
      </c>
      <c r="BR239" t="s">
        <v>102</v>
      </c>
      <c r="BS239" t="s">
        <v>4911</v>
      </c>
      <c r="BT239" t="str">
        <f>HYPERLINK("https%3A%2F%2Fwww.webofscience.com%2Fwos%2Fwoscc%2Ffull-record%2FWOS:000454434100005","View Full Record in Web of Science")</f>
        <v>View Full Record in Web of Science</v>
      </c>
    </row>
    <row r="240" spans="1:72" x14ac:dyDescent="0.2">
      <c r="A240" t="s">
        <v>72</v>
      </c>
      <c r="B240" t="s">
        <v>4912</v>
      </c>
      <c r="C240" t="s">
        <v>74</v>
      </c>
      <c r="D240" t="s">
        <v>74</v>
      </c>
      <c r="E240" t="s">
        <v>74</v>
      </c>
      <c r="F240" t="s">
        <v>4913</v>
      </c>
      <c r="G240" t="s">
        <v>74</v>
      </c>
      <c r="H240" t="s">
        <v>74</v>
      </c>
      <c r="I240" t="s">
        <v>4914</v>
      </c>
      <c r="J240" t="s">
        <v>2886</v>
      </c>
      <c r="K240" t="s">
        <v>74</v>
      </c>
      <c r="L240" t="s">
        <v>74</v>
      </c>
      <c r="M240" t="s">
        <v>78</v>
      </c>
      <c r="N240" t="s">
        <v>108</v>
      </c>
      <c r="O240" t="s">
        <v>74</v>
      </c>
      <c r="P240" t="s">
        <v>74</v>
      </c>
      <c r="Q240" t="s">
        <v>74</v>
      </c>
      <c r="R240" t="s">
        <v>74</v>
      </c>
      <c r="S240" t="s">
        <v>74</v>
      </c>
      <c r="T240" t="s">
        <v>4915</v>
      </c>
      <c r="U240" t="s">
        <v>4916</v>
      </c>
      <c r="V240" t="s">
        <v>4917</v>
      </c>
      <c r="W240" t="s">
        <v>4918</v>
      </c>
      <c r="X240" t="s">
        <v>4919</v>
      </c>
      <c r="Y240" t="s">
        <v>4920</v>
      </c>
      <c r="Z240" t="s">
        <v>4921</v>
      </c>
      <c r="AA240" t="s">
        <v>4922</v>
      </c>
      <c r="AB240" t="s">
        <v>4923</v>
      </c>
      <c r="AC240" t="s">
        <v>4924</v>
      </c>
      <c r="AD240" t="s">
        <v>4925</v>
      </c>
      <c r="AE240" t="s">
        <v>4926</v>
      </c>
      <c r="AF240" t="s">
        <v>74</v>
      </c>
      <c r="AG240">
        <v>101</v>
      </c>
      <c r="AH240">
        <v>10</v>
      </c>
      <c r="AI240">
        <v>10</v>
      </c>
      <c r="AJ240">
        <v>13</v>
      </c>
      <c r="AK240">
        <v>73</v>
      </c>
      <c r="AL240" t="s">
        <v>116</v>
      </c>
      <c r="AM240" t="s">
        <v>117</v>
      </c>
      <c r="AN240" t="s">
        <v>118</v>
      </c>
      <c r="AO240" t="s">
        <v>74</v>
      </c>
      <c r="AP240" t="s">
        <v>2897</v>
      </c>
      <c r="AQ240" t="s">
        <v>74</v>
      </c>
      <c r="AR240" t="s">
        <v>2898</v>
      </c>
      <c r="AS240" t="s">
        <v>2899</v>
      </c>
      <c r="AT240" t="s">
        <v>616</v>
      </c>
      <c r="AU240">
        <v>2021</v>
      </c>
      <c r="AV240">
        <v>11</v>
      </c>
      <c r="AW240">
        <v>5</v>
      </c>
      <c r="AX240" t="s">
        <v>74</v>
      </c>
      <c r="AY240" t="s">
        <v>74</v>
      </c>
      <c r="AZ240" t="s">
        <v>74</v>
      </c>
      <c r="BA240" t="s">
        <v>74</v>
      </c>
      <c r="BB240" t="s">
        <v>74</v>
      </c>
      <c r="BC240" t="s">
        <v>74</v>
      </c>
      <c r="BD240">
        <v>2323</v>
      </c>
      <c r="BE240" t="s">
        <v>4927</v>
      </c>
      <c r="BF240" t="str">
        <f>HYPERLINK("http://dx.doi.org/10.3390/app11052323","http://dx.doi.org/10.3390/app11052323")</f>
        <v>http://dx.doi.org/10.3390/app11052323</v>
      </c>
      <c r="BG240" t="s">
        <v>74</v>
      </c>
      <c r="BH240" t="s">
        <v>74</v>
      </c>
      <c r="BI240">
        <v>19</v>
      </c>
      <c r="BJ240" t="s">
        <v>2902</v>
      </c>
      <c r="BK240" t="s">
        <v>147</v>
      </c>
      <c r="BL240" t="s">
        <v>2903</v>
      </c>
      <c r="BM240" t="s">
        <v>4928</v>
      </c>
      <c r="BN240" t="s">
        <v>74</v>
      </c>
      <c r="BO240" t="s">
        <v>126</v>
      </c>
      <c r="BP240" t="s">
        <v>74</v>
      </c>
      <c r="BQ240" t="s">
        <v>74</v>
      </c>
      <c r="BR240" t="s">
        <v>102</v>
      </c>
      <c r="BS240" t="s">
        <v>4929</v>
      </c>
      <c r="BT240" t="str">
        <f>HYPERLINK("https%3A%2F%2Fwww.webofscience.com%2Fwos%2Fwoscc%2Ffull-record%2FWOS:000627984300001","View Full Record in Web of Science")</f>
        <v>View Full Record in Web of Science</v>
      </c>
    </row>
    <row r="241" spans="1:72" x14ac:dyDescent="0.2">
      <c r="A241" t="s">
        <v>72</v>
      </c>
      <c r="B241" t="s">
        <v>4930</v>
      </c>
      <c r="C241" t="s">
        <v>74</v>
      </c>
      <c r="D241" t="s">
        <v>74</v>
      </c>
      <c r="E241" t="s">
        <v>74</v>
      </c>
      <c r="F241" t="s">
        <v>4930</v>
      </c>
      <c r="G241" t="s">
        <v>74</v>
      </c>
      <c r="H241" t="s">
        <v>74</v>
      </c>
      <c r="I241" t="s">
        <v>4931</v>
      </c>
      <c r="J241" t="s">
        <v>762</v>
      </c>
      <c r="K241" t="s">
        <v>74</v>
      </c>
      <c r="L241" t="s">
        <v>74</v>
      </c>
      <c r="M241" t="s">
        <v>78</v>
      </c>
      <c r="N241" t="s">
        <v>108</v>
      </c>
      <c r="O241" t="s">
        <v>74</v>
      </c>
      <c r="P241" t="s">
        <v>74</v>
      </c>
      <c r="Q241" t="s">
        <v>74</v>
      </c>
      <c r="R241" t="s">
        <v>74</v>
      </c>
      <c r="S241" t="s">
        <v>74</v>
      </c>
      <c r="T241" t="s">
        <v>74</v>
      </c>
      <c r="U241" t="s">
        <v>74</v>
      </c>
      <c r="V241" t="s">
        <v>4932</v>
      </c>
      <c r="W241" t="s">
        <v>4933</v>
      </c>
      <c r="X241" t="s">
        <v>4934</v>
      </c>
      <c r="Y241" t="s">
        <v>4935</v>
      </c>
      <c r="Z241" t="s">
        <v>4936</v>
      </c>
      <c r="AA241" t="s">
        <v>4937</v>
      </c>
      <c r="AB241" t="s">
        <v>4938</v>
      </c>
      <c r="AC241" t="s">
        <v>74</v>
      </c>
      <c r="AD241" t="s">
        <v>74</v>
      </c>
      <c r="AE241" t="s">
        <v>74</v>
      </c>
      <c r="AF241" t="s">
        <v>74</v>
      </c>
      <c r="AG241">
        <v>46</v>
      </c>
      <c r="AH241">
        <v>14</v>
      </c>
      <c r="AI241">
        <v>15</v>
      </c>
      <c r="AJ241">
        <v>0</v>
      </c>
      <c r="AK241">
        <v>11</v>
      </c>
      <c r="AL241" t="s">
        <v>279</v>
      </c>
      <c r="AM241" t="s">
        <v>280</v>
      </c>
      <c r="AN241" t="s">
        <v>281</v>
      </c>
      <c r="AO241" t="s">
        <v>773</v>
      </c>
      <c r="AP241" t="s">
        <v>774</v>
      </c>
      <c r="AQ241" t="s">
        <v>74</v>
      </c>
      <c r="AR241" t="s">
        <v>775</v>
      </c>
      <c r="AS241" t="s">
        <v>776</v>
      </c>
      <c r="AT241" t="s">
        <v>74</v>
      </c>
      <c r="AU241">
        <v>2003</v>
      </c>
      <c r="AV241">
        <v>41</v>
      </c>
      <c r="AW241">
        <v>1</v>
      </c>
      <c r="AX241" t="s">
        <v>74</v>
      </c>
      <c r="AY241" t="s">
        <v>74</v>
      </c>
      <c r="AZ241" t="s">
        <v>74</v>
      </c>
      <c r="BA241" t="s">
        <v>74</v>
      </c>
      <c r="BB241">
        <v>97</v>
      </c>
      <c r="BC241">
        <v>119</v>
      </c>
      <c r="BD241" t="s">
        <v>74</v>
      </c>
      <c r="BE241" t="s">
        <v>4939</v>
      </c>
      <c r="BF241" t="str">
        <f>HYPERLINK("http://dx.doi.org/10.1080/00207540210159662","http://dx.doi.org/10.1080/00207540210159662")</f>
        <v>http://dx.doi.org/10.1080/00207540210159662</v>
      </c>
      <c r="BG241" t="s">
        <v>74</v>
      </c>
      <c r="BH241" t="s">
        <v>74</v>
      </c>
      <c r="BI241">
        <v>23</v>
      </c>
      <c r="BJ241" t="s">
        <v>780</v>
      </c>
      <c r="BK241" t="s">
        <v>98</v>
      </c>
      <c r="BL241" t="s">
        <v>781</v>
      </c>
      <c r="BM241" t="s">
        <v>4940</v>
      </c>
      <c r="BN241" t="s">
        <v>74</v>
      </c>
      <c r="BO241" t="s">
        <v>74</v>
      </c>
      <c r="BP241" t="s">
        <v>74</v>
      </c>
      <c r="BQ241" t="s">
        <v>74</v>
      </c>
      <c r="BR241" t="s">
        <v>102</v>
      </c>
      <c r="BS241" t="s">
        <v>4941</v>
      </c>
      <c r="BT241" t="str">
        <f>HYPERLINK("https%3A%2F%2Fwww.webofscience.com%2Fwos%2Fwoscc%2Ffull-record%2FWOS:000180296100007","View Full Record in Web of Science")</f>
        <v>View Full Record in Web of Science</v>
      </c>
    </row>
    <row r="242" spans="1:72" x14ac:dyDescent="0.2">
      <c r="A242" t="s">
        <v>72</v>
      </c>
      <c r="B242" t="s">
        <v>4942</v>
      </c>
      <c r="C242" t="s">
        <v>74</v>
      </c>
      <c r="D242" t="s">
        <v>74</v>
      </c>
      <c r="E242" t="s">
        <v>74</v>
      </c>
      <c r="F242" t="s">
        <v>4943</v>
      </c>
      <c r="G242" t="s">
        <v>74</v>
      </c>
      <c r="H242" t="s">
        <v>74</v>
      </c>
      <c r="I242" t="s">
        <v>4944</v>
      </c>
      <c r="J242" t="s">
        <v>4945</v>
      </c>
      <c r="K242" t="s">
        <v>74</v>
      </c>
      <c r="L242" t="s">
        <v>74</v>
      </c>
      <c r="M242" t="s">
        <v>78</v>
      </c>
      <c r="N242" t="s">
        <v>108</v>
      </c>
      <c r="O242" t="s">
        <v>74</v>
      </c>
      <c r="P242" t="s">
        <v>74</v>
      </c>
      <c r="Q242" t="s">
        <v>74</v>
      </c>
      <c r="R242" t="s">
        <v>74</v>
      </c>
      <c r="S242" t="s">
        <v>74</v>
      </c>
      <c r="T242" t="s">
        <v>4946</v>
      </c>
      <c r="U242" t="s">
        <v>4947</v>
      </c>
      <c r="V242" t="s">
        <v>4948</v>
      </c>
      <c r="W242" t="s">
        <v>4949</v>
      </c>
      <c r="X242" t="s">
        <v>4950</v>
      </c>
      <c r="Y242" t="s">
        <v>4951</v>
      </c>
      <c r="Z242" t="s">
        <v>4952</v>
      </c>
      <c r="AA242" t="s">
        <v>4953</v>
      </c>
      <c r="AB242" t="s">
        <v>4954</v>
      </c>
      <c r="AC242" t="s">
        <v>74</v>
      </c>
      <c r="AD242" t="s">
        <v>74</v>
      </c>
      <c r="AE242" t="s">
        <v>74</v>
      </c>
      <c r="AF242" t="s">
        <v>74</v>
      </c>
      <c r="AG242">
        <v>59</v>
      </c>
      <c r="AH242">
        <v>22</v>
      </c>
      <c r="AI242">
        <v>22</v>
      </c>
      <c r="AJ242">
        <v>4</v>
      </c>
      <c r="AK242">
        <v>17</v>
      </c>
      <c r="AL242" t="s">
        <v>279</v>
      </c>
      <c r="AM242" t="s">
        <v>280</v>
      </c>
      <c r="AN242" t="s">
        <v>281</v>
      </c>
      <c r="AO242" t="s">
        <v>4955</v>
      </c>
      <c r="AP242" t="s">
        <v>4956</v>
      </c>
      <c r="AQ242" t="s">
        <v>74</v>
      </c>
      <c r="AR242" t="s">
        <v>4957</v>
      </c>
      <c r="AS242" t="s">
        <v>4958</v>
      </c>
      <c r="AT242" t="s">
        <v>74</v>
      </c>
      <c r="AU242">
        <v>2021</v>
      </c>
      <c r="AV242">
        <v>16</v>
      </c>
      <c r="AW242">
        <v>1</v>
      </c>
      <c r="AX242" t="s">
        <v>74</v>
      </c>
      <c r="AY242" t="s">
        <v>74</v>
      </c>
      <c r="AZ242" t="s">
        <v>74</v>
      </c>
      <c r="BA242" t="s">
        <v>74</v>
      </c>
      <c r="BB242">
        <v>14</v>
      </c>
      <c r="BC242">
        <v>26</v>
      </c>
      <c r="BD242" t="s">
        <v>74</v>
      </c>
      <c r="BE242" t="s">
        <v>4959</v>
      </c>
      <c r="BF242" t="str">
        <f>HYPERLINK("http://dx.doi.org/10.1080/17509653.2020.1811794","http://dx.doi.org/10.1080/17509653.2020.1811794")</f>
        <v>http://dx.doi.org/10.1080/17509653.2020.1811794</v>
      </c>
      <c r="BG242" t="s">
        <v>74</v>
      </c>
      <c r="BH242" t="s">
        <v>74</v>
      </c>
      <c r="BI242">
        <v>13</v>
      </c>
      <c r="BJ242" t="s">
        <v>330</v>
      </c>
      <c r="BK242" t="s">
        <v>124</v>
      </c>
      <c r="BL242" t="s">
        <v>330</v>
      </c>
      <c r="BM242" t="s">
        <v>4960</v>
      </c>
      <c r="BN242" t="s">
        <v>74</v>
      </c>
      <c r="BO242" t="s">
        <v>74</v>
      </c>
      <c r="BP242" t="s">
        <v>74</v>
      </c>
      <c r="BQ242" t="s">
        <v>74</v>
      </c>
      <c r="BR242" t="s">
        <v>102</v>
      </c>
      <c r="BS242" t="s">
        <v>4961</v>
      </c>
      <c r="BT242" t="str">
        <f>HYPERLINK("https%3A%2F%2Fwww.webofscience.com%2Fwos%2Fwoscc%2Ffull-record%2FWOS:000634775600002","View Full Record in Web of Science")</f>
        <v>View Full Record in Web of Science</v>
      </c>
    </row>
    <row r="243" spans="1:72" x14ac:dyDescent="0.2">
      <c r="A243" t="s">
        <v>72</v>
      </c>
      <c r="B243" t="s">
        <v>4962</v>
      </c>
      <c r="C243" t="s">
        <v>74</v>
      </c>
      <c r="D243" t="s">
        <v>74</v>
      </c>
      <c r="E243" t="s">
        <v>74</v>
      </c>
      <c r="F243" t="s">
        <v>4963</v>
      </c>
      <c r="G243" t="s">
        <v>74</v>
      </c>
      <c r="H243" t="s">
        <v>74</v>
      </c>
      <c r="I243" t="s">
        <v>4964</v>
      </c>
      <c r="J243" t="s">
        <v>4965</v>
      </c>
      <c r="K243" t="s">
        <v>74</v>
      </c>
      <c r="L243" t="s">
        <v>74</v>
      </c>
      <c r="M243" t="s">
        <v>78</v>
      </c>
      <c r="N243" t="s">
        <v>108</v>
      </c>
      <c r="O243" t="s">
        <v>74</v>
      </c>
      <c r="P243" t="s">
        <v>74</v>
      </c>
      <c r="Q243" t="s">
        <v>74</v>
      </c>
      <c r="R243" t="s">
        <v>74</v>
      </c>
      <c r="S243" t="s">
        <v>74</v>
      </c>
      <c r="T243" t="s">
        <v>4966</v>
      </c>
      <c r="U243" t="s">
        <v>4967</v>
      </c>
      <c r="V243" t="s">
        <v>4968</v>
      </c>
      <c r="W243" t="s">
        <v>4969</v>
      </c>
      <c r="X243" t="s">
        <v>4970</v>
      </c>
      <c r="Y243" t="s">
        <v>4971</v>
      </c>
      <c r="Z243" t="s">
        <v>4972</v>
      </c>
      <c r="AA243" t="s">
        <v>74</v>
      </c>
      <c r="AB243" t="s">
        <v>4973</v>
      </c>
      <c r="AC243" t="s">
        <v>4974</v>
      </c>
      <c r="AD243" t="s">
        <v>4975</v>
      </c>
      <c r="AE243" t="s">
        <v>4976</v>
      </c>
      <c r="AF243" t="s">
        <v>74</v>
      </c>
      <c r="AG243">
        <v>53</v>
      </c>
      <c r="AH243">
        <v>6</v>
      </c>
      <c r="AI243">
        <v>6</v>
      </c>
      <c r="AJ243">
        <v>20</v>
      </c>
      <c r="AK243">
        <v>174</v>
      </c>
      <c r="AL243" t="s">
        <v>409</v>
      </c>
      <c r="AM243" t="s">
        <v>410</v>
      </c>
      <c r="AN243" t="s">
        <v>411</v>
      </c>
      <c r="AO243" t="s">
        <v>4977</v>
      </c>
      <c r="AP243" t="s">
        <v>4978</v>
      </c>
      <c r="AQ243" t="s">
        <v>74</v>
      </c>
      <c r="AR243" t="s">
        <v>4979</v>
      </c>
      <c r="AS243" t="s">
        <v>4980</v>
      </c>
      <c r="AT243" t="s">
        <v>194</v>
      </c>
      <c r="AU243">
        <v>2020</v>
      </c>
      <c r="AV243">
        <v>36</v>
      </c>
      <c r="AW243">
        <v>4</v>
      </c>
      <c r="AX243" t="s">
        <v>74</v>
      </c>
      <c r="AY243" t="s">
        <v>74</v>
      </c>
      <c r="AZ243" t="s">
        <v>74</v>
      </c>
      <c r="BA243" t="s">
        <v>74</v>
      </c>
      <c r="BB243">
        <v>1686</v>
      </c>
      <c r="BC243">
        <v>1703</v>
      </c>
      <c r="BD243" t="s">
        <v>74</v>
      </c>
      <c r="BE243" t="s">
        <v>4981</v>
      </c>
      <c r="BF243" t="str">
        <f>HYPERLINK("http://dx.doi.org/10.1111/coin.12306","http://dx.doi.org/10.1111/coin.12306")</f>
        <v>http://dx.doi.org/10.1111/coin.12306</v>
      </c>
      <c r="BG243" t="s">
        <v>74</v>
      </c>
      <c r="BH243" t="s">
        <v>288</v>
      </c>
      <c r="BI243">
        <v>18</v>
      </c>
      <c r="BJ243" t="s">
        <v>2017</v>
      </c>
      <c r="BK243" t="s">
        <v>147</v>
      </c>
      <c r="BL243" t="s">
        <v>99</v>
      </c>
      <c r="BM243" t="s">
        <v>4982</v>
      </c>
      <c r="BN243" t="s">
        <v>74</v>
      </c>
      <c r="BO243" t="s">
        <v>74</v>
      </c>
      <c r="BP243" t="s">
        <v>74</v>
      </c>
      <c r="BQ243" t="s">
        <v>74</v>
      </c>
      <c r="BR243" t="s">
        <v>102</v>
      </c>
      <c r="BS243" t="s">
        <v>4983</v>
      </c>
      <c r="BT243" t="str">
        <f>HYPERLINK("https%3A%2F%2Fwww.webofscience.com%2Fwos%2Fwoscc%2Ffull-record%2FWOS:000561633100001","View Full Record in Web of Science")</f>
        <v>View Full Record in Web of Science</v>
      </c>
    </row>
    <row r="244" spans="1:72" x14ac:dyDescent="0.2">
      <c r="A244" t="s">
        <v>72</v>
      </c>
      <c r="B244" t="s">
        <v>4984</v>
      </c>
      <c r="C244" t="s">
        <v>74</v>
      </c>
      <c r="D244" t="s">
        <v>74</v>
      </c>
      <c r="E244" t="s">
        <v>74</v>
      </c>
      <c r="F244" t="s">
        <v>4985</v>
      </c>
      <c r="G244" t="s">
        <v>74</v>
      </c>
      <c r="H244" t="s">
        <v>74</v>
      </c>
      <c r="I244" t="s">
        <v>4986</v>
      </c>
      <c r="J244" t="s">
        <v>4673</v>
      </c>
      <c r="K244" t="s">
        <v>74</v>
      </c>
      <c r="L244" t="s">
        <v>74</v>
      </c>
      <c r="M244" t="s">
        <v>78</v>
      </c>
      <c r="N244" t="s">
        <v>108</v>
      </c>
      <c r="O244" t="s">
        <v>74</v>
      </c>
      <c r="P244" t="s">
        <v>74</v>
      </c>
      <c r="Q244" t="s">
        <v>74</v>
      </c>
      <c r="R244" t="s">
        <v>74</v>
      </c>
      <c r="S244" t="s">
        <v>74</v>
      </c>
      <c r="T244" t="s">
        <v>4987</v>
      </c>
      <c r="U244" t="s">
        <v>4988</v>
      </c>
      <c r="V244" t="s">
        <v>4989</v>
      </c>
      <c r="W244" t="s">
        <v>4990</v>
      </c>
      <c r="X244" t="s">
        <v>4991</v>
      </c>
      <c r="Y244" t="s">
        <v>4992</v>
      </c>
      <c r="Z244" t="s">
        <v>4993</v>
      </c>
      <c r="AA244" t="s">
        <v>4994</v>
      </c>
      <c r="AB244" t="s">
        <v>4995</v>
      </c>
      <c r="AC244" t="s">
        <v>4996</v>
      </c>
      <c r="AD244" t="s">
        <v>4997</v>
      </c>
      <c r="AE244" t="s">
        <v>4998</v>
      </c>
      <c r="AF244" t="s">
        <v>74</v>
      </c>
      <c r="AG244">
        <v>71</v>
      </c>
      <c r="AH244">
        <v>140</v>
      </c>
      <c r="AI244">
        <v>140</v>
      </c>
      <c r="AJ244">
        <v>10</v>
      </c>
      <c r="AK244">
        <v>161</v>
      </c>
      <c r="AL244" t="s">
        <v>543</v>
      </c>
      <c r="AM244" t="s">
        <v>260</v>
      </c>
      <c r="AN244" t="s">
        <v>544</v>
      </c>
      <c r="AO244" t="s">
        <v>4682</v>
      </c>
      <c r="AP244" t="s">
        <v>74</v>
      </c>
      <c r="AQ244" t="s">
        <v>74</v>
      </c>
      <c r="AR244" t="s">
        <v>4683</v>
      </c>
      <c r="AS244" t="s">
        <v>4684</v>
      </c>
      <c r="AT244" t="s">
        <v>416</v>
      </c>
      <c r="AU244">
        <v>2018</v>
      </c>
      <c r="AV244">
        <v>114</v>
      </c>
      <c r="AW244" t="s">
        <v>74</v>
      </c>
      <c r="AX244" t="s">
        <v>74</v>
      </c>
      <c r="AY244" t="s">
        <v>74</v>
      </c>
      <c r="AZ244" t="s">
        <v>74</v>
      </c>
      <c r="BA244" t="s">
        <v>74</v>
      </c>
      <c r="BB244">
        <v>398</v>
      </c>
      <c r="BC244">
        <v>415</v>
      </c>
      <c r="BD244" t="s">
        <v>74</v>
      </c>
      <c r="BE244" t="s">
        <v>4999</v>
      </c>
      <c r="BF244" t="str">
        <f>HYPERLINK("http://dx.doi.org/10.1016/j.tre.2017.05.008","http://dx.doi.org/10.1016/j.tre.2017.05.008")</f>
        <v>http://dx.doi.org/10.1016/j.tre.2017.05.008</v>
      </c>
      <c r="BG244" t="s">
        <v>74</v>
      </c>
      <c r="BH244" t="s">
        <v>74</v>
      </c>
      <c r="BI244">
        <v>18</v>
      </c>
      <c r="BJ244" t="s">
        <v>4686</v>
      </c>
      <c r="BK244" t="s">
        <v>147</v>
      </c>
      <c r="BL244" t="s">
        <v>4687</v>
      </c>
      <c r="BM244" t="s">
        <v>5000</v>
      </c>
      <c r="BN244" t="s">
        <v>74</v>
      </c>
      <c r="BO244" t="s">
        <v>375</v>
      </c>
      <c r="BP244" t="s">
        <v>74</v>
      </c>
      <c r="BQ244" t="s">
        <v>74</v>
      </c>
      <c r="BR244" t="s">
        <v>102</v>
      </c>
      <c r="BS244" t="s">
        <v>5001</v>
      </c>
      <c r="BT244" t="str">
        <f>HYPERLINK("https%3A%2F%2Fwww.webofscience.com%2Fwos%2Fwoscc%2Ffull-record%2FWOS:000436214900022","View Full Record in Web of Science")</f>
        <v>View Full Record in Web of Science</v>
      </c>
    </row>
    <row r="245" spans="1:72" x14ac:dyDescent="0.2">
      <c r="A245" t="s">
        <v>72</v>
      </c>
      <c r="B245" t="s">
        <v>5002</v>
      </c>
      <c r="C245" t="s">
        <v>74</v>
      </c>
      <c r="D245" t="s">
        <v>74</v>
      </c>
      <c r="E245" t="s">
        <v>74</v>
      </c>
      <c r="F245" t="s">
        <v>5003</v>
      </c>
      <c r="G245" t="s">
        <v>74</v>
      </c>
      <c r="H245" t="s">
        <v>74</v>
      </c>
      <c r="I245" t="s">
        <v>5004</v>
      </c>
      <c r="J245" t="s">
        <v>976</v>
      </c>
      <c r="K245" t="s">
        <v>74</v>
      </c>
      <c r="L245" t="s">
        <v>74</v>
      </c>
      <c r="M245" t="s">
        <v>78</v>
      </c>
      <c r="N245" t="s">
        <v>108</v>
      </c>
      <c r="O245" t="s">
        <v>74</v>
      </c>
      <c r="P245" t="s">
        <v>74</v>
      </c>
      <c r="Q245" t="s">
        <v>74</v>
      </c>
      <c r="R245" t="s">
        <v>74</v>
      </c>
      <c r="S245" t="s">
        <v>74</v>
      </c>
      <c r="T245" t="s">
        <v>5005</v>
      </c>
      <c r="U245" t="s">
        <v>5006</v>
      </c>
      <c r="V245" t="s">
        <v>5007</v>
      </c>
      <c r="W245" t="s">
        <v>5008</v>
      </c>
      <c r="X245" t="s">
        <v>5009</v>
      </c>
      <c r="Y245" t="s">
        <v>5010</v>
      </c>
      <c r="Z245" t="s">
        <v>5011</v>
      </c>
      <c r="AA245" t="s">
        <v>74</v>
      </c>
      <c r="AB245" t="s">
        <v>74</v>
      </c>
      <c r="AC245" t="s">
        <v>5012</v>
      </c>
      <c r="AD245" t="s">
        <v>5013</v>
      </c>
      <c r="AE245" t="s">
        <v>5014</v>
      </c>
      <c r="AF245" t="s">
        <v>74</v>
      </c>
      <c r="AG245">
        <v>31</v>
      </c>
      <c r="AH245">
        <v>0</v>
      </c>
      <c r="AI245">
        <v>0</v>
      </c>
      <c r="AJ245">
        <v>2</v>
      </c>
      <c r="AK245">
        <v>2</v>
      </c>
      <c r="AL245" t="s">
        <v>259</v>
      </c>
      <c r="AM245" t="s">
        <v>260</v>
      </c>
      <c r="AN245" t="s">
        <v>261</v>
      </c>
      <c r="AO245" t="s">
        <v>989</v>
      </c>
      <c r="AP245" t="s">
        <v>990</v>
      </c>
      <c r="AQ245" t="s">
        <v>74</v>
      </c>
      <c r="AR245" t="s">
        <v>991</v>
      </c>
      <c r="AS245" t="s">
        <v>992</v>
      </c>
      <c r="AT245" t="s">
        <v>5015</v>
      </c>
      <c r="AU245">
        <v>2023</v>
      </c>
      <c r="AV245">
        <v>414</v>
      </c>
      <c r="AW245" t="s">
        <v>74</v>
      </c>
      <c r="AX245" t="s">
        <v>74</v>
      </c>
      <c r="AY245" t="s">
        <v>74</v>
      </c>
      <c r="AZ245" t="s">
        <v>74</v>
      </c>
      <c r="BA245" t="s">
        <v>74</v>
      </c>
      <c r="BB245" t="s">
        <v>74</v>
      </c>
      <c r="BC245" t="s">
        <v>74</v>
      </c>
      <c r="BD245">
        <v>137612</v>
      </c>
      <c r="BE245" t="s">
        <v>5016</v>
      </c>
      <c r="BF245" t="str">
        <f>HYPERLINK("http://dx.doi.org/10.1016/j.jclepro.2023.137612","http://dx.doi.org/10.1016/j.jclepro.2023.137612")</f>
        <v>http://dx.doi.org/10.1016/j.jclepro.2023.137612</v>
      </c>
      <c r="BG245" t="s">
        <v>74</v>
      </c>
      <c r="BH245" t="s">
        <v>396</v>
      </c>
      <c r="BI245">
        <v>12</v>
      </c>
      <c r="BJ245" t="s">
        <v>995</v>
      </c>
      <c r="BK245" t="s">
        <v>98</v>
      </c>
      <c r="BL245" t="s">
        <v>996</v>
      </c>
      <c r="BM245" t="s">
        <v>5017</v>
      </c>
      <c r="BN245" t="s">
        <v>74</v>
      </c>
      <c r="BO245" t="s">
        <v>359</v>
      </c>
      <c r="BP245" t="s">
        <v>74</v>
      </c>
      <c r="BQ245" t="s">
        <v>74</v>
      </c>
      <c r="BR245" t="s">
        <v>102</v>
      </c>
      <c r="BS245" t="s">
        <v>5018</v>
      </c>
      <c r="BT245" t="str">
        <f>HYPERLINK("https%3A%2F%2Fwww.webofscience.com%2Fwos%2Fwoscc%2Ffull-record%2FWOS:001023600800001","View Full Record in Web of Science")</f>
        <v>View Full Record in Web of Science</v>
      </c>
    </row>
    <row r="246" spans="1:72" x14ac:dyDescent="0.2">
      <c r="A246" t="s">
        <v>72</v>
      </c>
      <c r="B246" t="s">
        <v>5019</v>
      </c>
      <c r="C246" t="s">
        <v>74</v>
      </c>
      <c r="D246" t="s">
        <v>74</v>
      </c>
      <c r="E246" t="s">
        <v>74</v>
      </c>
      <c r="F246" t="s">
        <v>5020</v>
      </c>
      <c r="G246" t="s">
        <v>74</v>
      </c>
      <c r="H246" t="s">
        <v>74</v>
      </c>
      <c r="I246" t="s">
        <v>5021</v>
      </c>
      <c r="J246" t="s">
        <v>5022</v>
      </c>
      <c r="K246" t="s">
        <v>74</v>
      </c>
      <c r="L246" t="s">
        <v>74</v>
      </c>
      <c r="M246" t="s">
        <v>78</v>
      </c>
      <c r="N246" t="s">
        <v>108</v>
      </c>
      <c r="O246" t="s">
        <v>74</v>
      </c>
      <c r="P246" t="s">
        <v>74</v>
      </c>
      <c r="Q246" t="s">
        <v>74</v>
      </c>
      <c r="R246" t="s">
        <v>74</v>
      </c>
      <c r="S246" t="s">
        <v>74</v>
      </c>
      <c r="T246" t="s">
        <v>5023</v>
      </c>
      <c r="U246" t="s">
        <v>5024</v>
      </c>
      <c r="V246" t="s">
        <v>5025</v>
      </c>
      <c r="W246" t="s">
        <v>5026</v>
      </c>
      <c r="X246" t="s">
        <v>5027</v>
      </c>
      <c r="Y246" t="s">
        <v>5028</v>
      </c>
      <c r="Z246" t="s">
        <v>5029</v>
      </c>
      <c r="AA246" t="s">
        <v>5030</v>
      </c>
      <c r="AB246" t="s">
        <v>5031</v>
      </c>
      <c r="AC246" t="s">
        <v>5032</v>
      </c>
      <c r="AD246" t="s">
        <v>5032</v>
      </c>
      <c r="AE246" t="s">
        <v>5033</v>
      </c>
      <c r="AF246" t="s">
        <v>74</v>
      </c>
      <c r="AG246">
        <v>56</v>
      </c>
      <c r="AH246">
        <v>0</v>
      </c>
      <c r="AI246">
        <v>0</v>
      </c>
      <c r="AJ246">
        <v>0</v>
      </c>
      <c r="AK246">
        <v>0</v>
      </c>
      <c r="AL246" t="s">
        <v>116</v>
      </c>
      <c r="AM246" t="s">
        <v>117</v>
      </c>
      <c r="AN246" t="s">
        <v>118</v>
      </c>
      <c r="AO246" t="s">
        <v>74</v>
      </c>
      <c r="AP246" t="s">
        <v>5034</v>
      </c>
      <c r="AQ246" t="s">
        <v>74</v>
      </c>
      <c r="AR246" t="s">
        <v>5022</v>
      </c>
      <c r="AS246" t="s">
        <v>5035</v>
      </c>
      <c r="AT246" t="s">
        <v>239</v>
      </c>
      <c r="AU246">
        <v>2023</v>
      </c>
      <c r="AV246">
        <v>16</v>
      </c>
      <c r="AW246">
        <v>8</v>
      </c>
      <c r="AX246" t="s">
        <v>74</v>
      </c>
      <c r="AY246" t="s">
        <v>74</v>
      </c>
      <c r="AZ246" t="s">
        <v>74</v>
      </c>
      <c r="BA246" t="s">
        <v>74</v>
      </c>
      <c r="BB246" t="s">
        <v>74</v>
      </c>
      <c r="BC246" t="s">
        <v>74</v>
      </c>
      <c r="BD246">
        <v>373</v>
      </c>
      <c r="BE246" t="s">
        <v>5036</v>
      </c>
      <c r="BF246" t="str">
        <f>HYPERLINK("http://dx.doi.org/10.3390/a16080373","http://dx.doi.org/10.3390/a16080373")</f>
        <v>http://dx.doi.org/10.3390/a16080373</v>
      </c>
      <c r="BG246" t="s">
        <v>74</v>
      </c>
      <c r="BH246" t="s">
        <v>74</v>
      </c>
      <c r="BI246">
        <v>16</v>
      </c>
      <c r="BJ246" t="s">
        <v>5037</v>
      </c>
      <c r="BK246" t="s">
        <v>124</v>
      </c>
      <c r="BL246" t="s">
        <v>99</v>
      </c>
      <c r="BM246" t="s">
        <v>5038</v>
      </c>
      <c r="BN246" t="s">
        <v>74</v>
      </c>
      <c r="BO246" t="s">
        <v>126</v>
      </c>
      <c r="BP246" t="s">
        <v>74</v>
      </c>
      <c r="BQ246" t="s">
        <v>74</v>
      </c>
      <c r="BR246" t="s">
        <v>102</v>
      </c>
      <c r="BS246" t="s">
        <v>5039</v>
      </c>
      <c r="BT246" t="str">
        <f>HYPERLINK("https%3A%2F%2Fwww.webofscience.com%2Fwos%2Fwoscc%2Ffull-record%2FWOS:001057263800001","View Full Record in Web of Science")</f>
        <v>View Full Record in Web of Science</v>
      </c>
    </row>
    <row r="247" spans="1:72" x14ac:dyDescent="0.2">
      <c r="A247" t="s">
        <v>72</v>
      </c>
      <c r="B247" t="s">
        <v>5040</v>
      </c>
      <c r="C247" t="s">
        <v>74</v>
      </c>
      <c r="D247" t="s">
        <v>74</v>
      </c>
      <c r="E247" t="s">
        <v>74</v>
      </c>
      <c r="F247" t="s">
        <v>5041</v>
      </c>
      <c r="G247" t="s">
        <v>74</v>
      </c>
      <c r="H247" t="s">
        <v>74</v>
      </c>
      <c r="I247" t="s">
        <v>5042</v>
      </c>
      <c r="J247" t="s">
        <v>5043</v>
      </c>
      <c r="K247" t="s">
        <v>74</v>
      </c>
      <c r="L247" t="s">
        <v>74</v>
      </c>
      <c r="M247" t="s">
        <v>78</v>
      </c>
      <c r="N247" t="s">
        <v>108</v>
      </c>
      <c r="O247" t="s">
        <v>74</v>
      </c>
      <c r="P247" t="s">
        <v>74</v>
      </c>
      <c r="Q247" t="s">
        <v>74</v>
      </c>
      <c r="R247" t="s">
        <v>74</v>
      </c>
      <c r="S247" t="s">
        <v>74</v>
      </c>
      <c r="T247" t="s">
        <v>5044</v>
      </c>
      <c r="U247" t="s">
        <v>5045</v>
      </c>
      <c r="V247" t="s">
        <v>5046</v>
      </c>
      <c r="W247" t="s">
        <v>5047</v>
      </c>
      <c r="X247" t="s">
        <v>2495</v>
      </c>
      <c r="Y247" t="s">
        <v>5048</v>
      </c>
      <c r="Z247" t="s">
        <v>5049</v>
      </c>
      <c r="AA247" t="s">
        <v>5050</v>
      </c>
      <c r="AB247" t="s">
        <v>5051</v>
      </c>
      <c r="AC247" t="s">
        <v>74</v>
      </c>
      <c r="AD247" t="s">
        <v>74</v>
      </c>
      <c r="AE247" t="s">
        <v>74</v>
      </c>
      <c r="AF247" t="s">
        <v>74</v>
      </c>
      <c r="AG247">
        <v>39</v>
      </c>
      <c r="AH247">
        <v>8</v>
      </c>
      <c r="AI247">
        <v>11</v>
      </c>
      <c r="AJ247">
        <v>0</v>
      </c>
      <c r="AK247">
        <v>23</v>
      </c>
      <c r="AL247" t="s">
        <v>321</v>
      </c>
      <c r="AM247" t="s">
        <v>322</v>
      </c>
      <c r="AN247" t="s">
        <v>323</v>
      </c>
      <c r="AO247" t="s">
        <v>5052</v>
      </c>
      <c r="AP247" t="s">
        <v>5053</v>
      </c>
      <c r="AQ247" t="s">
        <v>74</v>
      </c>
      <c r="AR247" t="s">
        <v>5054</v>
      </c>
      <c r="AS247" t="s">
        <v>5055</v>
      </c>
      <c r="AT247" t="s">
        <v>738</v>
      </c>
      <c r="AU247">
        <v>2014</v>
      </c>
      <c r="AV247">
        <v>42</v>
      </c>
      <c r="AW247">
        <v>1</v>
      </c>
      <c r="AX247" t="s">
        <v>74</v>
      </c>
      <c r="AY247" t="s">
        <v>74</v>
      </c>
      <c r="AZ247" t="s">
        <v>74</v>
      </c>
      <c r="BA247" t="s">
        <v>74</v>
      </c>
      <c r="BB247">
        <v>155</v>
      </c>
      <c r="BC247">
        <v>177</v>
      </c>
      <c r="BD247" t="s">
        <v>74</v>
      </c>
      <c r="BE247" t="s">
        <v>5056</v>
      </c>
      <c r="BF247" t="str">
        <f>HYPERLINK("http://dx.doi.org/10.1007/s10844-013-0267-2","http://dx.doi.org/10.1007/s10844-013-0267-2")</f>
        <v>http://dx.doi.org/10.1007/s10844-013-0267-2</v>
      </c>
      <c r="BG247" t="s">
        <v>74</v>
      </c>
      <c r="BH247" t="s">
        <v>74</v>
      </c>
      <c r="BI247">
        <v>23</v>
      </c>
      <c r="BJ247" t="s">
        <v>5057</v>
      </c>
      <c r="BK247" t="s">
        <v>98</v>
      </c>
      <c r="BL247" t="s">
        <v>99</v>
      </c>
      <c r="BM247" t="s">
        <v>5058</v>
      </c>
      <c r="BN247" t="s">
        <v>74</v>
      </c>
      <c r="BO247" t="s">
        <v>74</v>
      </c>
      <c r="BP247" t="s">
        <v>74</v>
      </c>
      <c r="BQ247" t="s">
        <v>74</v>
      </c>
      <c r="BR247" t="s">
        <v>102</v>
      </c>
      <c r="BS247" t="s">
        <v>5059</v>
      </c>
      <c r="BT247" t="str">
        <f>HYPERLINK("https%3A%2F%2Fwww.webofscience.com%2Fwos%2Fwoscc%2Ffull-record%2FWOS:000330743700008","View Full Record in Web of Science")</f>
        <v>View Full Record in Web of Science</v>
      </c>
    </row>
    <row r="248" spans="1:72" x14ac:dyDescent="0.2">
      <c r="A248" t="s">
        <v>72</v>
      </c>
      <c r="B248" t="s">
        <v>5060</v>
      </c>
      <c r="C248" t="s">
        <v>74</v>
      </c>
      <c r="D248" t="s">
        <v>74</v>
      </c>
      <c r="E248" t="s">
        <v>74</v>
      </c>
      <c r="F248" t="s">
        <v>5061</v>
      </c>
      <c r="G248" t="s">
        <v>74</v>
      </c>
      <c r="H248" t="s">
        <v>74</v>
      </c>
      <c r="I248" t="s">
        <v>5062</v>
      </c>
      <c r="J248" t="s">
        <v>5063</v>
      </c>
      <c r="K248" t="s">
        <v>74</v>
      </c>
      <c r="L248" t="s">
        <v>74</v>
      </c>
      <c r="M248" t="s">
        <v>78</v>
      </c>
      <c r="N248" t="s">
        <v>108</v>
      </c>
      <c r="O248" t="s">
        <v>74</v>
      </c>
      <c r="P248" t="s">
        <v>74</v>
      </c>
      <c r="Q248" t="s">
        <v>74</v>
      </c>
      <c r="R248" t="s">
        <v>74</v>
      </c>
      <c r="S248" t="s">
        <v>74</v>
      </c>
      <c r="T248" t="s">
        <v>5064</v>
      </c>
      <c r="U248" t="s">
        <v>5065</v>
      </c>
      <c r="V248" t="s">
        <v>5066</v>
      </c>
      <c r="W248" t="s">
        <v>5067</v>
      </c>
      <c r="X248" t="s">
        <v>5068</v>
      </c>
      <c r="Y248" t="s">
        <v>5069</v>
      </c>
      <c r="Z248" t="s">
        <v>5070</v>
      </c>
      <c r="AA248" t="s">
        <v>5071</v>
      </c>
      <c r="AB248" t="s">
        <v>5072</v>
      </c>
      <c r="AC248" t="s">
        <v>74</v>
      </c>
      <c r="AD248" t="s">
        <v>74</v>
      </c>
      <c r="AE248" t="s">
        <v>74</v>
      </c>
      <c r="AF248" t="s">
        <v>74</v>
      </c>
      <c r="AG248">
        <v>37</v>
      </c>
      <c r="AH248">
        <v>7</v>
      </c>
      <c r="AI248">
        <v>7</v>
      </c>
      <c r="AJ248">
        <v>0</v>
      </c>
      <c r="AK248">
        <v>36</v>
      </c>
      <c r="AL248" t="s">
        <v>4005</v>
      </c>
      <c r="AM248" t="s">
        <v>4006</v>
      </c>
      <c r="AN248" t="s">
        <v>4007</v>
      </c>
      <c r="AO248" t="s">
        <v>5073</v>
      </c>
      <c r="AP248" t="s">
        <v>5074</v>
      </c>
      <c r="AQ248" t="s">
        <v>74</v>
      </c>
      <c r="AR248" t="s">
        <v>5075</v>
      </c>
      <c r="AS248" t="s">
        <v>5076</v>
      </c>
      <c r="AT248" t="s">
        <v>846</v>
      </c>
      <c r="AU248">
        <v>2018</v>
      </c>
      <c r="AV248">
        <v>37</v>
      </c>
      <c r="AW248">
        <v>2</v>
      </c>
      <c r="AX248" t="s">
        <v>74</v>
      </c>
      <c r="AY248" t="s">
        <v>74</v>
      </c>
      <c r="AZ248" t="s">
        <v>74</v>
      </c>
      <c r="BA248" t="s">
        <v>74</v>
      </c>
      <c r="BB248">
        <v>2065</v>
      </c>
      <c r="BC248">
        <v>2093</v>
      </c>
      <c r="BD248" t="s">
        <v>74</v>
      </c>
      <c r="BE248" t="s">
        <v>5077</v>
      </c>
      <c r="BF248" t="str">
        <f>HYPERLINK("http://dx.doi.org/10.1007/s40314-017-0439-8","http://dx.doi.org/10.1007/s40314-017-0439-8")</f>
        <v>http://dx.doi.org/10.1007/s40314-017-0439-8</v>
      </c>
      <c r="BG248" t="s">
        <v>74</v>
      </c>
      <c r="BH248" t="s">
        <v>74</v>
      </c>
      <c r="BI248">
        <v>29</v>
      </c>
      <c r="BJ248" t="s">
        <v>5078</v>
      </c>
      <c r="BK248" t="s">
        <v>98</v>
      </c>
      <c r="BL248" t="s">
        <v>1611</v>
      </c>
      <c r="BM248" t="s">
        <v>5079</v>
      </c>
      <c r="BN248" t="s">
        <v>74</v>
      </c>
      <c r="BO248" t="s">
        <v>74</v>
      </c>
      <c r="BP248" t="s">
        <v>74</v>
      </c>
      <c r="BQ248" t="s">
        <v>74</v>
      </c>
      <c r="BR248" t="s">
        <v>102</v>
      </c>
      <c r="BS248" t="s">
        <v>5080</v>
      </c>
      <c r="BT248" t="str">
        <f>HYPERLINK("https%3A%2F%2Fwww.webofscience.com%2Fwos%2Fwoscc%2Ffull-record%2FWOS:000432815000066","View Full Record in Web of Science")</f>
        <v>View Full Record in Web of Science</v>
      </c>
    </row>
    <row r="249" spans="1:72" x14ac:dyDescent="0.2">
      <c r="A249" t="s">
        <v>72</v>
      </c>
      <c r="B249" t="s">
        <v>5081</v>
      </c>
      <c r="C249" t="s">
        <v>74</v>
      </c>
      <c r="D249" t="s">
        <v>74</v>
      </c>
      <c r="E249" t="s">
        <v>74</v>
      </c>
      <c r="F249" t="s">
        <v>5082</v>
      </c>
      <c r="G249" t="s">
        <v>74</v>
      </c>
      <c r="H249" t="s">
        <v>74</v>
      </c>
      <c r="I249" t="s">
        <v>5083</v>
      </c>
      <c r="J249" t="s">
        <v>5084</v>
      </c>
      <c r="K249" t="s">
        <v>74</v>
      </c>
      <c r="L249" t="s">
        <v>74</v>
      </c>
      <c r="M249" t="s">
        <v>78</v>
      </c>
      <c r="N249" t="s">
        <v>917</v>
      </c>
      <c r="O249" t="s">
        <v>74</v>
      </c>
      <c r="P249" t="s">
        <v>74</v>
      </c>
      <c r="Q249" t="s">
        <v>74</v>
      </c>
      <c r="R249" t="s">
        <v>74</v>
      </c>
      <c r="S249" t="s">
        <v>74</v>
      </c>
      <c r="T249" t="s">
        <v>5085</v>
      </c>
      <c r="U249" t="s">
        <v>5086</v>
      </c>
      <c r="V249" t="s">
        <v>5087</v>
      </c>
      <c r="W249" t="s">
        <v>5088</v>
      </c>
      <c r="X249" t="s">
        <v>5089</v>
      </c>
      <c r="Y249" t="s">
        <v>5090</v>
      </c>
      <c r="Z249" t="s">
        <v>5091</v>
      </c>
      <c r="AA249" t="s">
        <v>74</v>
      </c>
      <c r="AB249" t="s">
        <v>74</v>
      </c>
      <c r="AC249" t="s">
        <v>74</v>
      </c>
      <c r="AD249" t="s">
        <v>74</v>
      </c>
      <c r="AE249" t="s">
        <v>74</v>
      </c>
      <c r="AF249" t="s">
        <v>74</v>
      </c>
      <c r="AG249">
        <v>24</v>
      </c>
      <c r="AH249">
        <v>0</v>
      </c>
      <c r="AI249">
        <v>0</v>
      </c>
      <c r="AJ249">
        <v>19</v>
      </c>
      <c r="AK249">
        <v>29</v>
      </c>
      <c r="AL249" t="s">
        <v>5092</v>
      </c>
      <c r="AM249" t="s">
        <v>5093</v>
      </c>
      <c r="AN249" t="s">
        <v>5094</v>
      </c>
      <c r="AO249" t="s">
        <v>5095</v>
      </c>
      <c r="AP249" t="s">
        <v>5096</v>
      </c>
      <c r="AQ249" t="s">
        <v>74</v>
      </c>
      <c r="AR249" t="s">
        <v>5097</v>
      </c>
      <c r="AS249" t="s">
        <v>5098</v>
      </c>
      <c r="AT249" t="s">
        <v>5099</v>
      </c>
      <c r="AU249">
        <v>2022</v>
      </c>
      <c r="AV249" t="s">
        <v>74</v>
      </c>
      <c r="AW249" t="s">
        <v>74</v>
      </c>
      <c r="AX249" t="s">
        <v>74</v>
      </c>
      <c r="AY249" t="s">
        <v>74</v>
      </c>
      <c r="AZ249" t="s">
        <v>74</v>
      </c>
      <c r="BA249" t="s">
        <v>74</v>
      </c>
      <c r="BB249" t="s">
        <v>74</v>
      </c>
      <c r="BC249" t="s">
        <v>74</v>
      </c>
      <c r="BD249" t="s">
        <v>74</v>
      </c>
      <c r="BE249" t="s">
        <v>5100</v>
      </c>
      <c r="BF249" t="str">
        <f>HYPERLINK("http://dx.doi.org/10.1520/JTE20210449","http://dx.doi.org/10.1520/JTE20210449")</f>
        <v>http://dx.doi.org/10.1520/JTE20210449</v>
      </c>
      <c r="BG249" t="s">
        <v>74</v>
      </c>
      <c r="BH249" t="s">
        <v>470</v>
      </c>
      <c r="BI249">
        <v>15</v>
      </c>
      <c r="BJ249" t="s">
        <v>5101</v>
      </c>
      <c r="BK249" t="s">
        <v>98</v>
      </c>
      <c r="BL249" t="s">
        <v>5102</v>
      </c>
      <c r="BM249" t="s">
        <v>5103</v>
      </c>
      <c r="BN249" t="s">
        <v>74</v>
      </c>
      <c r="BO249" t="s">
        <v>74</v>
      </c>
      <c r="BP249" t="s">
        <v>74</v>
      </c>
      <c r="BQ249" t="s">
        <v>74</v>
      </c>
      <c r="BR249" t="s">
        <v>102</v>
      </c>
      <c r="BS249" t="s">
        <v>5104</v>
      </c>
      <c r="BT249" t="str">
        <f>HYPERLINK("https%3A%2F%2Fwww.webofscience.com%2Fwos%2Fwoscc%2Ffull-record%2FWOS:000882967600001","View Full Record in Web of Science")</f>
        <v>View Full Record in Web of Science</v>
      </c>
    </row>
    <row r="250" spans="1:72" x14ac:dyDescent="0.2">
      <c r="A250" t="s">
        <v>72</v>
      </c>
      <c r="B250" t="s">
        <v>5105</v>
      </c>
      <c r="C250" t="s">
        <v>74</v>
      </c>
      <c r="D250" t="s">
        <v>74</v>
      </c>
      <c r="E250" t="s">
        <v>74</v>
      </c>
      <c r="F250" t="s">
        <v>5106</v>
      </c>
      <c r="G250" t="s">
        <v>74</v>
      </c>
      <c r="H250" t="s">
        <v>74</v>
      </c>
      <c r="I250" t="s">
        <v>5107</v>
      </c>
      <c r="J250" t="s">
        <v>311</v>
      </c>
      <c r="K250" t="s">
        <v>74</v>
      </c>
      <c r="L250" t="s">
        <v>74</v>
      </c>
      <c r="M250" t="s">
        <v>78</v>
      </c>
      <c r="N250" t="s">
        <v>917</v>
      </c>
      <c r="O250" t="s">
        <v>74</v>
      </c>
      <c r="P250" t="s">
        <v>74</v>
      </c>
      <c r="Q250" t="s">
        <v>74</v>
      </c>
      <c r="R250" t="s">
        <v>74</v>
      </c>
      <c r="S250" t="s">
        <v>74</v>
      </c>
      <c r="T250" t="s">
        <v>5108</v>
      </c>
      <c r="U250" t="s">
        <v>5109</v>
      </c>
      <c r="V250" t="s">
        <v>5110</v>
      </c>
      <c r="W250" t="s">
        <v>5111</v>
      </c>
      <c r="X250" t="s">
        <v>5112</v>
      </c>
      <c r="Y250" t="s">
        <v>5113</v>
      </c>
      <c r="Z250" t="s">
        <v>5114</v>
      </c>
      <c r="AA250" t="s">
        <v>5115</v>
      </c>
      <c r="AB250" t="s">
        <v>5116</v>
      </c>
      <c r="AC250" t="s">
        <v>5117</v>
      </c>
      <c r="AD250" t="s">
        <v>5118</v>
      </c>
      <c r="AE250" t="s">
        <v>5119</v>
      </c>
      <c r="AF250" t="s">
        <v>74</v>
      </c>
      <c r="AG250">
        <v>77</v>
      </c>
      <c r="AH250">
        <v>8</v>
      </c>
      <c r="AI250">
        <v>8</v>
      </c>
      <c r="AJ250">
        <v>23</v>
      </c>
      <c r="AK250">
        <v>55</v>
      </c>
      <c r="AL250" t="s">
        <v>321</v>
      </c>
      <c r="AM250" t="s">
        <v>322</v>
      </c>
      <c r="AN250" t="s">
        <v>323</v>
      </c>
      <c r="AO250" t="s">
        <v>324</v>
      </c>
      <c r="AP250" t="s">
        <v>325</v>
      </c>
      <c r="AQ250" t="s">
        <v>74</v>
      </c>
      <c r="AR250" t="s">
        <v>326</v>
      </c>
      <c r="AS250" t="s">
        <v>327</v>
      </c>
      <c r="AT250" t="s">
        <v>5120</v>
      </c>
      <c r="AU250">
        <v>2022</v>
      </c>
      <c r="AV250" t="s">
        <v>74</v>
      </c>
      <c r="AW250" t="s">
        <v>74</v>
      </c>
      <c r="AX250" t="s">
        <v>74</v>
      </c>
      <c r="AY250" t="s">
        <v>74</v>
      </c>
      <c r="AZ250" t="s">
        <v>74</v>
      </c>
      <c r="BA250" t="s">
        <v>74</v>
      </c>
      <c r="BB250" t="s">
        <v>74</v>
      </c>
      <c r="BC250" t="s">
        <v>74</v>
      </c>
      <c r="BD250" t="s">
        <v>74</v>
      </c>
      <c r="BE250" t="s">
        <v>5121</v>
      </c>
      <c r="BF250" t="str">
        <f>HYPERLINK("http://dx.doi.org/10.1007/s10479-022-04749-6","http://dx.doi.org/10.1007/s10479-022-04749-6")</f>
        <v>http://dx.doi.org/10.1007/s10479-022-04749-6</v>
      </c>
      <c r="BG250" t="s">
        <v>74</v>
      </c>
      <c r="BH250" t="s">
        <v>2921</v>
      </c>
      <c r="BI250">
        <v>29</v>
      </c>
      <c r="BJ250" t="s">
        <v>330</v>
      </c>
      <c r="BK250" t="s">
        <v>98</v>
      </c>
      <c r="BL250" t="s">
        <v>330</v>
      </c>
      <c r="BM250" t="s">
        <v>5122</v>
      </c>
      <c r="BN250" t="s">
        <v>74</v>
      </c>
      <c r="BO250" t="s">
        <v>726</v>
      </c>
      <c r="BP250" t="s">
        <v>74</v>
      </c>
      <c r="BQ250" t="s">
        <v>74</v>
      </c>
      <c r="BR250" t="s">
        <v>102</v>
      </c>
      <c r="BS250" t="s">
        <v>5123</v>
      </c>
      <c r="BT250" t="str">
        <f>HYPERLINK("https%3A%2F%2Fwww.webofscience.com%2Fwos%2Fwoscc%2Ffull-record%2FWOS:000805520200001","View Full Record in Web of Science")</f>
        <v>View Full Record in Web of Science</v>
      </c>
    </row>
    <row r="251" spans="1:72" x14ac:dyDescent="0.2">
      <c r="A251" t="s">
        <v>72</v>
      </c>
      <c r="B251" t="s">
        <v>5124</v>
      </c>
      <c r="C251" t="s">
        <v>74</v>
      </c>
      <c r="D251" t="s">
        <v>74</v>
      </c>
      <c r="E251" t="s">
        <v>74</v>
      </c>
      <c r="F251" t="s">
        <v>5125</v>
      </c>
      <c r="G251" t="s">
        <v>74</v>
      </c>
      <c r="H251" t="s">
        <v>74</v>
      </c>
      <c r="I251" t="s">
        <v>5126</v>
      </c>
      <c r="J251" t="s">
        <v>976</v>
      </c>
      <c r="K251" t="s">
        <v>74</v>
      </c>
      <c r="L251" t="s">
        <v>74</v>
      </c>
      <c r="M251" t="s">
        <v>78</v>
      </c>
      <c r="N251" t="s">
        <v>108</v>
      </c>
      <c r="O251" t="s">
        <v>74</v>
      </c>
      <c r="P251" t="s">
        <v>74</v>
      </c>
      <c r="Q251" t="s">
        <v>74</v>
      </c>
      <c r="R251" t="s">
        <v>74</v>
      </c>
      <c r="S251" t="s">
        <v>74</v>
      </c>
      <c r="T251" t="s">
        <v>5127</v>
      </c>
      <c r="U251" t="s">
        <v>5128</v>
      </c>
      <c r="V251" t="s">
        <v>5129</v>
      </c>
      <c r="W251" t="s">
        <v>5130</v>
      </c>
      <c r="X251" t="s">
        <v>5131</v>
      </c>
      <c r="Y251" t="s">
        <v>5132</v>
      </c>
      <c r="Z251" t="s">
        <v>5133</v>
      </c>
      <c r="AA251" t="s">
        <v>74</v>
      </c>
      <c r="AB251" t="s">
        <v>74</v>
      </c>
      <c r="AC251" t="s">
        <v>5134</v>
      </c>
      <c r="AD251" t="s">
        <v>5135</v>
      </c>
      <c r="AE251" t="s">
        <v>5136</v>
      </c>
      <c r="AF251" t="s">
        <v>74</v>
      </c>
      <c r="AG251">
        <v>92</v>
      </c>
      <c r="AH251">
        <v>0</v>
      </c>
      <c r="AI251">
        <v>0</v>
      </c>
      <c r="AJ251">
        <v>1</v>
      </c>
      <c r="AK251">
        <v>1</v>
      </c>
      <c r="AL251" t="s">
        <v>259</v>
      </c>
      <c r="AM251" t="s">
        <v>260</v>
      </c>
      <c r="AN251" t="s">
        <v>261</v>
      </c>
      <c r="AO251" t="s">
        <v>989</v>
      </c>
      <c r="AP251" t="s">
        <v>990</v>
      </c>
      <c r="AQ251" t="s">
        <v>74</v>
      </c>
      <c r="AR251" t="s">
        <v>991</v>
      </c>
      <c r="AS251" t="s">
        <v>992</v>
      </c>
      <c r="AT251" t="s">
        <v>5137</v>
      </c>
      <c r="AU251">
        <v>2023</v>
      </c>
      <c r="AV251">
        <v>412</v>
      </c>
      <c r="AW251" t="s">
        <v>74</v>
      </c>
      <c r="AX251" t="s">
        <v>74</v>
      </c>
      <c r="AY251" t="s">
        <v>74</v>
      </c>
      <c r="AZ251" t="s">
        <v>74</v>
      </c>
      <c r="BA251" t="s">
        <v>74</v>
      </c>
      <c r="BB251" t="s">
        <v>74</v>
      </c>
      <c r="BC251" t="s">
        <v>74</v>
      </c>
      <c r="BD251">
        <v>137251</v>
      </c>
      <c r="BE251" t="s">
        <v>5138</v>
      </c>
      <c r="BF251" t="str">
        <f>HYPERLINK("http://dx.doi.org/10.1016/j.jclepro.2023.137251","http://dx.doi.org/10.1016/j.jclepro.2023.137251")</f>
        <v>http://dx.doi.org/10.1016/j.jclepro.2023.137251</v>
      </c>
      <c r="BG251" t="s">
        <v>74</v>
      </c>
      <c r="BH251" t="s">
        <v>930</v>
      </c>
      <c r="BI251">
        <v>14</v>
      </c>
      <c r="BJ251" t="s">
        <v>995</v>
      </c>
      <c r="BK251" t="s">
        <v>98</v>
      </c>
      <c r="BL251" t="s">
        <v>996</v>
      </c>
      <c r="BM251" t="s">
        <v>5139</v>
      </c>
      <c r="BN251" t="s">
        <v>74</v>
      </c>
      <c r="BO251" t="s">
        <v>702</v>
      </c>
      <c r="BP251" t="s">
        <v>74</v>
      </c>
      <c r="BQ251" t="s">
        <v>74</v>
      </c>
      <c r="BR251" t="s">
        <v>102</v>
      </c>
      <c r="BS251" t="s">
        <v>5140</v>
      </c>
      <c r="BT251" t="str">
        <f>HYPERLINK("https%3A%2F%2Fwww.webofscience.com%2Fwos%2Fwoscc%2Ffull-record%2FWOS:000998920600001","View Full Record in Web of Science")</f>
        <v>View Full Record in Web of Science</v>
      </c>
    </row>
    <row r="252" spans="1:72" x14ac:dyDescent="0.2">
      <c r="A252" t="s">
        <v>72</v>
      </c>
      <c r="B252" t="s">
        <v>5141</v>
      </c>
      <c r="C252" t="s">
        <v>74</v>
      </c>
      <c r="D252" t="s">
        <v>74</v>
      </c>
      <c r="E252" t="s">
        <v>74</v>
      </c>
      <c r="F252" t="s">
        <v>5142</v>
      </c>
      <c r="G252" t="s">
        <v>74</v>
      </c>
      <c r="H252" t="s">
        <v>74</v>
      </c>
      <c r="I252" t="s">
        <v>5143</v>
      </c>
      <c r="J252" t="s">
        <v>2721</v>
      </c>
      <c r="K252" t="s">
        <v>74</v>
      </c>
      <c r="L252" t="s">
        <v>74</v>
      </c>
      <c r="M252" t="s">
        <v>78</v>
      </c>
      <c r="N252" t="s">
        <v>108</v>
      </c>
      <c r="O252" t="s">
        <v>74</v>
      </c>
      <c r="P252" t="s">
        <v>74</v>
      </c>
      <c r="Q252" t="s">
        <v>74</v>
      </c>
      <c r="R252" t="s">
        <v>74</v>
      </c>
      <c r="S252" t="s">
        <v>74</v>
      </c>
      <c r="T252" t="s">
        <v>5144</v>
      </c>
      <c r="U252" t="s">
        <v>5145</v>
      </c>
      <c r="V252" t="s">
        <v>5146</v>
      </c>
      <c r="W252" t="s">
        <v>5147</v>
      </c>
      <c r="X252" t="s">
        <v>5148</v>
      </c>
      <c r="Y252" t="s">
        <v>5149</v>
      </c>
      <c r="Z252" t="s">
        <v>5150</v>
      </c>
      <c r="AA252" t="s">
        <v>74</v>
      </c>
      <c r="AB252" t="s">
        <v>74</v>
      </c>
      <c r="AC252" t="s">
        <v>5151</v>
      </c>
      <c r="AD252" t="s">
        <v>5152</v>
      </c>
      <c r="AE252" t="s">
        <v>5153</v>
      </c>
      <c r="AF252" t="s">
        <v>74</v>
      </c>
      <c r="AG252">
        <v>31</v>
      </c>
      <c r="AH252">
        <v>1</v>
      </c>
      <c r="AI252">
        <v>1</v>
      </c>
      <c r="AJ252">
        <v>4</v>
      </c>
      <c r="AK252">
        <v>4</v>
      </c>
      <c r="AL252" t="s">
        <v>543</v>
      </c>
      <c r="AM252" t="s">
        <v>260</v>
      </c>
      <c r="AN252" t="s">
        <v>544</v>
      </c>
      <c r="AO252" t="s">
        <v>2734</v>
      </c>
      <c r="AP252" t="s">
        <v>2735</v>
      </c>
      <c r="AQ252" t="s">
        <v>74</v>
      </c>
      <c r="AR252" t="s">
        <v>2736</v>
      </c>
      <c r="AS252" t="s">
        <v>2737</v>
      </c>
      <c r="AT252" t="s">
        <v>800</v>
      </c>
      <c r="AU252">
        <v>2023</v>
      </c>
      <c r="AV252">
        <v>107</v>
      </c>
      <c r="AW252" t="s">
        <v>74</v>
      </c>
      <c r="AX252" t="s">
        <v>74</v>
      </c>
      <c r="AY252" t="s">
        <v>74</v>
      </c>
      <c r="AZ252" t="s">
        <v>74</v>
      </c>
      <c r="BA252" t="s">
        <v>74</v>
      </c>
      <c r="BB252" t="s">
        <v>74</v>
      </c>
      <c r="BC252" t="s">
        <v>74</v>
      </c>
      <c r="BD252">
        <v>108637</v>
      </c>
      <c r="BE252" t="s">
        <v>5154</v>
      </c>
      <c r="BF252" t="str">
        <f>HYPERLINK("http://dx.doi.org/10.1016/j.compeleceng.2023.108637","http://dx.doi.org/10.1016/j.compeleceng.2023.108637")</f>
        <v>http://dx.doi.org/10.1016/j.compeleceng.2023.108637</v>
      </c>
      <c r="BG252" t="s">
        <v>74</v>
      </c>
      <c r="BH252" t="s">
        <v>619</v>
      </c>
      <c r="BI252">
        <v>14</v>
      </c>
      <c r="BJ252" t="s">
        <v>2740</v>
      </c>
      <c r="BK252" t="s">
        <v>98</v>
      </c>
      <c r="BL252" t="s">
        <v>269</v>
      </c>
      <c r="BM252" t="s">
        <v>5155</v>
      </c>
      <c r="BN252" t="s">
        <v>74</v>
      </c>
      <c r="BO252" t="s">
        <v>74</v>
      </c>
      <c r="BP252" t="s">
        <v>74</v>
      </c>
      <c r="BQ252" t="s">
        <v>74</v>
      </c>
      <c r="BR252" t="s">
        <v>102</v>
      </c>
      <c r="BS252" t="s">
        <v>5156</v>
      </c>
      <c r="BT252" t="str">
        <f>HYPERLINK("https%3A%2F%2Fwww.webofscience.com%2Fwos%2Fwoscc%2Ffull-record%2FWOS:000961668500001","View Full Record in Web of Science")</f>
        <v>View Full Record in Web of Science</v>
      </c>
    </row>
    <row r="253" spans="1:72" x14ac:dyDescent="0.2">
      <c r="A253" t="s">
        <v>72</v>
      </c>
      <c r="B253" t="s">
        <v>5157</v>
      </c>
      <c r="C253" t="s">
        <v>74</v>
      </c>
      <c r="D253" t="s">
        <v>74</v>
      </c>
      <c r="E253" t="s">
        <v>74</v>
      </c>
      <c r="F253" t="s">
        <v>5158</v>
      </c>
      <c r="G253" t="s">
        <v>74</v>
      </c>
      <c r="H253" t="s">
        <v>74</v>
      </c>
      <c r="I253" t="s">
        <v>5159</v>
      </c>
      <c r="J253" t="s">
        <v>937</v>
      </c>
      <c r="K253" t="s">
        <v>74</v>
      </c>
      <c r="L253" t="s">
        <v>74</v>
      </c>
      <c r="M253" t="s">
        <v>78</v>
      </c>
      <c r="N253" t="s">
        <v>108</v>
      </c>
      <c r="O253" t="s">
        <v>74</v>
      </c>
      <c r="P253" t="s">
        <v>74</v>
      </c>
      <c r="Q253" t="s">
        <v>74</v>
      </c>
      <c r="R253" t="s">
        <v>74</v>
      </c>
      <c r="S253" t="s">
        <v>74</v>
      </c>
      <c r="T253" t="s">
        <v>74</v>
      </c>
      <c r="U253" t="s">
        <v>74</v>
      </c>
      <c r="V253" t="s">
        <v>5160</v>
      </c>
      <c r="W253" t="s">
        <v>5161</v>
      </c>
      <c r="X253" t="s">
        <v>5162</v>
      </c>
      <c r="Y253" t="s">
        <v>5163</v>
      </c>
      <c r="Z253" t="s">
        <v>5164</v>
      </c>
      <c r="AA253" t="s">
        <v>5165</v>
      </c>
      <c r="AB253" t="s">
        <v>5166</v>
      </c>
      <c r="AC253" t="s">
        <v>5167</v>
      </c>
      <c r="AD253" t="s">
        <v>5168</v>
      </c>
      <c r="AE253" t="s">
        <v>5169</v>
      </c>
      <c r="AF253" t="s">
        <v>74</v>
      </c>
      <c r="AG253">
        <v>34</v>
      </c>
      <c r="AH253">
        <v>4</v>
      </c>
      <c r="AI253">
        <v>4</v>
      </c>
      <c r="AJ253">
        <v>1</v>
      </c>
      <c r="AK253">
        <v>7</v>
      </c>
      <c r="AL253" t="s">
        <v>948</v>
      </c>
      <c r="AM253" t="s">
        <v>949</v>
      </c>
      <c r="AN253" t="s">
        <v>950</v>
      </c>
      <c r="AO253" t="s">
        <v>951</v>
      </c>
      <c r="AP253" t="s">
        <v>74</v>
      </c>
      <c r="AQ253" t="s">
        <v>74</v>
      </c>
      <c r="AR253" t="s">
        <v>937</v>
      </c>
      <c r="AS253" t="s">
        <v>952</v>
      </c>
      <c r="AT253" t="s">
        <v>5170</v>
      </c>
      <c r="AU253">
        <v>2020</v>
      </c>
      <c r="AV253">
        <v>15</v>
      </c>
      <c r="AW253">
        <v>10</v>
      </c>
      <c r="AX253" t="s">
        <v>74</v>
      </c>
      <c r="AY253" t="s">
        <v>74</v>
      </c>
      <c r="AZ253" t="s">
        <v>74</v>
      </c>
      <c r="BA253" t="s">
        <v>74</v>
      </c>
      <c r="BB253" t="s">
        <v>74</v>
      </c>
      <c r="BC253" t="s">
        <v>74</v>
      </c>
      <c r="BD253" t="s">
        <v>5171</v>
      </c>
      <c r="BE253" t="s">
        <v>5172</v>
      </c>
      <c r="BF253" t="str">
        <f>HYPERLINK("http://dx.doi.org/10.1371/journal.pone.0239669","http://dx.doi.org/10.1371/journal.pone.0239669")</f>
        <v>http://dx.doi.org/10.1371/journal.pone.0239669</v>
      </c>
      <c r="BG253" t="s">
        <v>74</v>
      </c>
      <c r="BH253" t="s">
        <v>74</v>
      </c>
      <c r="BI253">
        <v>18</v>
      </c>
      <c r="BJ253" t="s">
        <v>620</v>
      </c>
      <c r="BK253" t="s">
        <v>147</v>
      </c>
      <c r="BL253" t="s">
        <v>621</v>
      </c>
      <c r="BM253" t="s">
        <v>5173</v>
      </c>
      <c r="BN253">
        <v>33002029</v>
      </c>
      <c r="BO253" t="s">
        <v>5174</v>
      </c>
      <c r="BP253" t="s">
        <v>74</v>
      </c>
      <c r="BQ253" t="s">
        <v>74</v>
      </c>
      <c r="BR253" t="s">
        <v>102</v>
      </c>
      <c r="BS253" t="s">
        <v>5175</v>
      </c>
      <c r="BT253" t="str">
        <f>HYPERLINK("https%3A%2F%2Fwww.webofscience.com%2Fwos%2Fwoscc%2Ffull-record%2FWOS:000590270000046","View Full Record in Web of Science")</f>
        <v>View Full Record in Web of Science</v>
      </c>
    </row>
    <row r="254" spans="1:72" x14ac:dyDescent="0.2">
      <c r="A254" t="s">
        <v>72</v>
      </c>
      <c r="B254" t="s">
        <v>5176</v>
      </c>
      <c r="C254" t="s">
        <v>74</v>
      </c>
      <c r="D254" t="s">
        <v>74</v>
      </c>
      <c r="E254" t="s">
        <v>74</v>
      </c>
      <c r="F254" t="s">
        <v>5177</v>
      </c>
      <c r="G254" t="s">
        <v>74</v>
      </c>
      <c r="H254" t="s">
        <v>74</v>
      </c>
      <c r="I254" t="s">
        <v>5178</v>
      </c>
      <c r="J254" t="s">
        <v>2544</v>
      </c>
      <c r="K254" t="s">
        <v>74</v>
      </c>
      <c r="L254" t="s">
        <v>74</v>
      </c>
      <c r="M254" t="s">
        <v>78</v>
      </c>
      <c r="N254" t="s">
        <v>917</v>
      </c>
      <c r="O254" t="s">
        <v>74</v>
      </c>
      <c r="P254" t="s">
        <v>74</v>
      </c>
      <c r="Q254" t="s">
        <v>74</v>
      </c>
      <c r="R254" t="s">
        <v>74</v>
      </c>
      <c r="S254" t="s">
        <v>74</v>
      </c>
      <c r="T254" t="s">
        <v>5179</v>
      </c>
      <c r="U254" t="s">
        <v>5180</v>
      </c>
      <c r="V254" t="s">
        <v>5181</v>
      </c>
      <c r="W254" t="s">
        <v>5182</v>
      </c>
      <c r="X254" t="s">
        <v>5183</v>
      </c>
      <c r="Y254" t="s">
        <v>5184</v>
      </c>
      <c r="Z254" t="s">
        <v>5185</v>
      </c>
      <c r="AA254" t="s">
        <v>5186</v>
      </c>
      <c r="AB254" t="s">
        <v>5187</v>
      </c>
      <c r="AC254" t="s">
        <v>74</v>
      </c>
      <c r="AD254" t="s">
        <v>74</v>
      </c>
      <c r="AE254" t="s">
        <v>74</v>
      </c>
      <c r="AF254" t="s">
        <v>74</v>
      </c>
      <c r="AG254">
        <v>36</v>
      </c>
      <c r="AH254">
        <v>1</v>
      </c>
      <c r="AI254">
        <v>1</v>
      </c>
      <c r="AJ254">
        <v>3</v>
      </c>
      <c r="AK254">
        <v>3</v>
      </c>
      <c r="AL254" t="s">
        <v>321</v>
      </c>
      <c r="AM254" t="s">
        <v>348</v>
      </c>
      <c r="AN254" t="s">
        <v>1454</v>
      </c>
      <c r="AO254" t="s">
        <v>2556</v>
      </c>
      <c r="AP254" t="s">
        <v>2557</v>
      </c>
      <c r="AQ254" t="s">
        <v>74</v>
      </c>
      <c r="AR254" t="s">
        <v>2558</v>
      </c>
      <c r="AS254" t="s">
        <v>2559</v>
      </c>
      <c r="AT254" t="s">
        <v>5188</v>
      </c>
      <c r="AU254">
        <v>2023</v>
      </c>
      <c r="AV254" t="s">
        <v>74</v>
      </c>
      <c r="AW254" t="s">
        <v>74</v>
      </c>
      <c r="AX254" t="s">
        <v>74</v>
      </c>
      <c r="AY254" t="s">
        <v>74</v>
      </c>
      <c r="AZ254" t="s">
        <v>74</v>
      </c>
      <c r="BA254" t="s">
        <v>74</v>
      </c>
      <c r="BB254" t="s">
        <v>74</v>
      </c>
      <c r="BC254" t="s">
        <v>74</v>
      </c>
      <c r="BD254" t="s">
        <v>74</v>
      </c>
      <c r="BE254" t="s">
        <v>5189</v>
      </c>
      <c r="BF254" t="str">
        <f>HYPERLINK("http://dx.doi.org/10.1007/s10586-023-04088-6","http://dx.doi.org/10.1007/s10586-023-04088-6")</f>
        <v>http://dx.doi.org/10.1007/s10586-023-04088-6</v>
      </c>
      <c r="BG254" t="s">
        <v>74</v>
      </c>
      <c r="BH254" t="s">
        <v>396</v>
      </c>
      <c r="BI254">
        <v>15</v>
      </c>
      <c r="BJ254" t="s">
        <v>2563</v>
      </c>
      <c r="BK254" t="s">
        <v>98</v>
      </c>
      <c r="BL254" t="s">
        <v>99</v>
      </c>
      <c r="BM254" t="s">
        <v>5190</v>
      </c>
      <c r="BN254" t="s">
        <v>74</v>
      </c>
      <c r="BO254" t="s">
        <v>74</v>
      </c>
      <c r="BP254" t="s">
        <v>74</v>
      </c>
      <c r="BQ254" t="s">
        <v>74</v>
      </c>
      <c r="BR254" t="s">
        <v>102</v>
      </c>
      <c r="BS254" t="s">
        <v>5191</v>
      </c>
      <c r="BT254" t="str">
        <f>HYPERLINK("https%3A%2F%2Fwww.webofscience.com%2Fwos%2Fwoscc%2Ffull-record%2FWOS:001019439100004","View Full Record in Web of Science")</f>
        <v>View Full Record in Web of Science</v>
      </c>
    </row>
    <row r="255" spans="1:72" x14ac:dyDescent="0.2">
      <c r="A255" t="s">
        <v>72</v>
      </c>
      <c r="B255" t="s">
        <v>5192</v>
      </c>
      <c r="C255" t="s">
        <v>74</v>
      </c>
      <c r="D255" t="s">
        <v>74</v>
      </c>
      <c r="E255" t="s">
        <v>74</v>
      </c>
      <c r="F255" t="s">
        <v>5193</v>
      </c>
      <c r="G255" t="s">
        <v>74</v>
      </c>
      <c r="H255" t="s">
        <v>74</v>
      </c>
      <c r="I255" t="s">
        <v>5194</v>
      </c>
      <c r="J255" t="s">
        <v>5195</v>
      </c>
      <c r="K255" t="s">
        <v>74</v>
      </c>
      <c r="L255" t="s">
        <v>74</v>
      </c>
      <c r="M255" t="s">
        <v>78</v>
      </c>
      <c r="N255" t="s">
        <v>108</v>
      </c>
      <c r="O255" t="s">
        <v>74</v>
      </c>
      <c r="P255" t="s">
        <v>74</v>
      </c>
      <c r="Q255" t="s">
        <v>74</v>
      </c>
      <c r="R255" t="s">
        <v>74</v>
      </c>
      <c r="S255" t="s">
        <v>74</v>
      </c>
      <c r="T255" t="s">
        <v>5196</v>
      </c>
      <c r="U255" t="s">
        <v>74</v>
      </c>
      <c r="V255" t="s">
        <v>5197</v>
      </c>
      <c r="W255" t="s">
        <v>5198</v>
      </c>
      <c r="X255" t="s">
        <v>5199</v>
      </c>
      <c r="Y255" t="s">
        <v>5200</v>
      </c>
      <c r="Z255" t="s">
        <v>5201</v>
      </c>
      <c r="AA255" t="s">
        <v>74</v>
      </c>
      <c r="AB255" t="s">
        <v>74</v>
      </c>
      <c r="AC255" t="s">
        <v>74</v>
      </c>
      <c r="AD255" t="s">
        <v>74</v>
      </c>
      <c r="AE255" t="s">
        <v>74</v>
      </c>
      <c r="AF255" t="s">
        <v>74</v>
      </c>
      <c r="AG255">
        <v>16</v>
      </c>
      <c r="AH255">
        <v>0</v>
      </c>
      <c r="AI255">
        <v>0</v>
      </c>
      <c r="AJ255">
        <v>2</v>
      </c>
      <c r="AK255">
        <v>2</v>
      </c>
      <c r="AL255" t="s">
        <v>5202</v>
      </c>
      <c r="AM255" t="s">
        <v>5203</v>
      </c>
      <c r="AN255" t="s">
        <v>5204</v>
      </c>
      <c r="AO255" t="s">
        <v>5205</v>
      </c>
      <c r="AP255" t="s">
        <v>5206</v>
      </c>
      <c r="AQ255" t="s">
        <v>74</v>
      </c>
      <c r="AR255" t="s">
        <v>5207</v>
      </c>
      <c r="AS255" t="s">
        <v>5208</v>
      </c>
      <c r="AT255" t="s">
        <v>5209</v>
      </c>
      <c r="AU255">
        <v>2023</v>
      </c>
      <c r="AV255">
        <v>30</v>
      </c>
      <c r="AW255">
        <v>1</v>
      </c>
      <c r="AX255" t="s">
        <v>74</v>
      </c>
      <c r="AY255" t="s">
        <v>74</v>
      </c>
      <c r="AZ255" t="s">
        <v>74</v>
      </c>
      <c r="BA255" t="s">
        <v>74</v>
      </c>
      <c r="BB255">
        <v>117</v>
      </c>
      <c r="BC255">
        <v>123</v>
      </c>
      <c r="BD255" t="s">
        <v>74</v>
      </c>
      <c r="BE255" t="s">
        <v>5210</v>
      </c>
      <c r="BF255" t="str">
        <f>HYPERLINK("http://dx.doi.org/10.2478/eces-2023-0011","http://dx.doi.org/10.2478/eces-2023-0011")</f>
        <v>http://dx.doi.org/10.2478/eces-2023-0011</v>
      </c>
      <c r="BG255" t="s">
        <v>74</v>
      </c>
      <c r="BH255" t="s">
        <v>74</v>
      </c>
      <c r="BI255">
        <v>7</v>
      </c>
      <c r="BJ255" t="s">
        <v>674</v>
      </c>
      <c r="BK255" t="s">
        <v>98</v>
      </c>
      <c r="BL255" t="s">
        <v>675</v>
      </c>
      <c r="BM255" t="s">
        <v>5211</v>
      </c>
      <c r="BN255" t="s">
        <v>74</v>
      </c>
      <c r="BO255" t="s">
        <v>126</v>
      </c>
      <c r="BP255" t="s">
        <v>74</v>
      </c>
      <c r="BQ255" t="s">
        <v>74</v>
      </c>
      <c r="BR255" t="s">
        <v>102</v>
      </c>
      <c r="BS255" t="s">
        <v>5212</v>
      </c>
      <c r="BT255" t="str">
        <f>HYPERLINK("https%3A%2F%2Fwww.webofscience.com%2Fwos%2Fwoscc%2Ffull-record%2FWOS:000967526500011","View Full Record in Web of Science")</f>
        <v>View Full Record in Web of Science</v>
      </c>
    </row>
    <row r="256" spans="1:72" x14ac:dyDescent="0.2">
      <c r="A256" t="s">
        <v>72</v>
      </c>
      <c r="B256" t="s">
        <v>5213</v>
      </c>
      <c r="C256" t="s">
        <v>74</v>
      </c>
      <c r="D256" t="s">
        <v>74</v>
      </c>
      <c r="E256" t="s">
        <v>74</v>
      </c>
      <c r="F256" t="s">
        <v>5214</v>
      </c>
      <c r="G256" t="s">
        <v>74</v>
      </c>
      <c r="H256" t="s">
        <v>74</v>
      </c>
      <c r="I256" t="s">
        <v>5215</v>
      </c>
      <c r="J256" t="s">
        <v>531</v>
      </c>
      <c r="K256" t="s">
        <v>74</v>
      </c>
      <c r="L256" t="s">
        <v>74</v>
      </c>
      <c r="M256" t="s">
        <v>78</v>
      </c>
      <c r="N256" t="s">
        <v>108</v>
      </c>
      <c r="O256" t="s">
        <v>74</v>
      </c>
      <c r="P256" t="s">
        <v>74</v>
      </c>
      <c r="Q256" t="s">
        <v>74</v>
      </c>
      <c r="R256" t="s">
        <v>74</v>
      </c>
      <c r="S256" t="s">
        <v>74</v>
      </c>
      <c r="T256" t="s">
        <v>5216</v>
      </c>
      <c r="U256" t="s">
        <v>74</v>
      </c>
      <c r="V256" t="s">
        <v>5217</v>
      </c>
      <c r="W256" t="s">
        <v>5218</v>
      </c>
      <c r="X256" t="s">
        <v>5219</v>
      </c>
      <c r="Y256" t="s">
        <v>5220</v>
      </c>
      <c r="Z256" t="s">
        <v>5221</v>
      </c>
      <c r="AA256" t="s">
        <v>5222</v>
      </c>
      <c r="AB256" t="s">
        <v>5223</v>
      </c>
      <c r="AC256" t="s">
        <v>74</v>
      </c>
      <c r="AD256" t="s">
        <v>74</v>
      </c>
      <c r="AE256" t="s">
        <v>74</v>
      </c>
      <c r="AF256" t="s">
        <v>74</v>
      </c>
      <c r="AG256">
        <v>41</v>
      </c>
      <c r="AH256">
        <v>5</v>
      </c>
      <c r="AI256">
        <v>5</v>
      </c>
      <c r="AJ256">
        <v>2</v>
      </c>
      <c r="AK256">
        <v>7</v>
      </c>
      <c r="AL256" t="s">
        <v>543</v>
      </c>
      <c r="AM256" t="s">
        <v>260</v>
      </c>
      <c r="AN256" t="s">
        <v>544</v>
      </c>
      <c r="AO256" t="s">
        <v>545</v>
      </c>
      <c r="AP256" t="s">
        <v>546</v>
      </c>
      <c r="AQ256" t="s">
        <v>74</v>
      </c>
      <c r="AR256" t="s">
        <v>547</v>
      </c>
      <c r="AS256" t="s">
        <v>548</v>
      </c>
      <c r="AT256" t="s">
        <v>121</v>
      </c>
      <c r="AU256">
        <v>2022</v>
      </c>
      <c r="AV256">
        <v>169</v>
      </c>
      <c r="AW256" t="s">
        <v>74</v>
      </c>
      <c r="AX256" t="s">
        <v>74</v>
      </c>
      <c r="AY256" t="s">
        <v>74</v>
      </c>
      <c r="AZ256" t="s">
        <v>74</v>
      </c>
      <c r="BA256" t="s">
        <v>74</v>
      </c>
      <c r="BB256" t="s">
        <v>74</v>
      </c>
      <c r="BC256" t="s">
        <v>74</v>
      </c>
      <c r="BD256">
        <v>108297</v>
      </c>
      <c r="BE256" t="s">
        <v>5224</v>
      </c>
      <c r="BF256" t="str">
        <f>HYPERLINK("http://dx.doi.org/10.1016/j.cie.2022.108297","http://dx.doi.org/10.1016/j.cie.2022.108297")</f>
        <v>http://dx.doi.org/10.1016/j.cie.2022.108297</v>
      </c>
      <c r="BG256" t="s">
        <v>74</v>
      </c>
      <c r="BH256" t="s">
        <v>867</v>
      </c>
      <c r="BI256">
        <v>9</v>
      </c>
      <c r="BJ256" t="s">
        <v>550</v>
      </c>
      <c r="BK256" t="s">
        <v>98</v>
      </c>
      <c r="BL256" t="s">
        <v>269</v>
      </c>
      <c r="BM256" t="s">
        <v>5225</v>
      </c>
      <c r="BN256" t="s">
        <v>74</v>
      </c>
      <c r="BO256" t="s">
        <v>74</v>
      </c>
      <c r="BP256" t="s">
        <v>74</v>
      </c>
      <c r="BQ256" t="s">
        <v>74</v>
      </c>
      <c r="BR256" t="s">
        <v>102</v>
      </c>
      <c r="BS256" t="s">
        <v>5226</v>
      </c>
      <c r="BT256" t="str">
        <f>HYPERLINK("https%3A%2F%2Fwww.webofscience.com%2Fwos%2Fwoscc%2Ffull-record%2FWOS:000818584600006","View Full Record in Web of Science")</f>
        <v>View Full Record in Web of Science</v>
      </c>
    </row>
    <row r="257" spans="1:72" x14ac:dyDescent="0.2">
      <c r="A257" t="s">
        <v>72</v>
      </c>
      <c r="B257" t="s">
        <v>5227</v>
      </c>
      <c r="C257" t="s">
        <v>74</v>
      </c>
      <c r="D257" t="s">
        <v>74</v>
      </c>
      <c r="E257" t="s">
        <v>74</v>
      </c>
      <c r="F257" t="s">
        <v>5228</v>
      </c>
      <c r="G257" t="s">
        <v>74</v>
      </c>
      <c r="H257" t="s">
        <v>74</v>
      </c>
      <c r="I257" t="s">
        <v>5229</v>
      </c>
      <c r="J257" t="s">
        <v>5230</v>
      </c>
      <c r="K257" t="s">
        <v>74</v>
      </c>
      <c r="L257" t="s">
        <v>74</v>
      </c>
      <c r="M257" t="s">
        <v>78</v>
      </c>
      <c r="N257" t="s">
        <v>917</v>
      </c>
      <c r="O257" t="s">
        <v>74</v>
      </c>
      <c r="P257" t="s">
        <v>74</v>
      </c>
      <c r="Q257" t="s">
        <v>74</v>
      </c>
      <c r="R257" t="s">
        <v>74</v>
      </c>
      <c r="S257" t="s">
        <v>74</v>
      </c>
      <c r="T257" t="s">
        <v>5231</v>
      </c>
      <c r="U257" t="s">
        <v>5232</v>
      </c>
      <c r="V257" t="s">
        <v>5233</v>
      </c>
      <c r="W257" t="s">
        <v>5234</v>
      </c>
      <c r="X257" t="s">
        <v>5235</v>
      </c>
      <c r="Y257" t="s">
        <v>5236</v>
      </c>
      <c r="Z257" t="s">
        <v>5237</v>
      </c>
      <c r="AA257" t="s">
        <v>5238</v>
      </c>
      <c r="AB257" t="s">
        <v>74</v>
      </c>
      <c r="AC257" t="s">
        <v>74</v>
      </c>
      <c r="AD257" t="s">
        <v>74</v>
      </c>
      <c r="AE257" t="s">
        <v>74</v>
      </c>
      <c r="AF257" t="s">
        <v>74</v>
      </c>
      <c r="AG257">
        <v>76</v>
      </c>
      <c r="AH257">
        <v>0</v>
      </c>
      <c r="AI257">
        <v>0</v>
      </c>
      <c r="AJ257">
        <v>2</v>
      </c>
      <c r="AK257">
        <v>18</v>
      </c>
      <c r="AL257" t="s">
        <v>279</v>
      </c>
      <c r="AM257" t="s">
        <v>280</v>
      </c>
      <c r="AN257" t="s">
        <v>281</v>
      </c>
      <c r="AO257" t="s">
        <v>5239</v>
      </c>
      <c r="AP257" t="s">
        <v>5240</v>
      </c>
      <c r="AQ257" t="s">
        <v>74</v>
      </c>
      <c r="AR257" t="s">
        <v>5230</v>
      </c>
      <c r="AS257" t="s">
        <v>5241</v>
      </c>
      <c r="AT257" t="s">
        <v>5242</v>
      </c>
      <c r="AU257">
        <v>2022</v>
      </c>
      <c r="AV257" t="s">
        <v>74</v>
      </c>
      <c r="AW257" t="s">
        <v>74</v>
      </c>
      <c r="AX257" t="s">
        <v>74</v>
      </c>
      <c r="AY257" t="s">
        <v>74</v>
      </c>
      <c r="AZ257" t="s">
        <v>74</v>
      </c>
      <c r="BA257" t="s">
        <v>74</v>
      </c>
      <c r="BB257" t="s">
        <v>74</v>
      </c>
      <c r="BC257" t="s">
        <v>74</v>
      </c>
      <c r="BD257" t="s">
        <v>74</v>
      </c>
      <c r="BE257" t="s">
        <v>5243</v>
      </c>
      <c r="BF257" t="str">
        <f>HYPERLINK("http://dx.doi.org/10.1080/16258312.2022.2064721","http://dx.doi.org/10.1080/16258312.2022.2064721")</f>
        <v>http://dx.doi.org/10.1080/16258312.2022.2064721</v>
      </c>
      <c r="BG257" t="s">
        <v>74</v>
      </c>
      <c r="BH257" t="s">
        <v>1099</v>
      </c>
      <c r="BI257">
        <v>15</v>
      </c>
      <c r="BJ257" t="s">
        <v>418</v>
      </c>
      <c r="BK257" t="s">
        <v>124</v>
      </c>
      <c r="BL257" t="s">
        <v>419</v>
      </c>
      <c r="BM257" t="s">
        <v>5244</v>
      </c>
      <c r="BN257" t="s">
        <v>74</v>
      </c>
      <c r="BO257" t="s">
        <v>74</v>
      </c>
      <c r="BP257" t="s">
        <v>74</v>
      </c>
      <c r="BQ257" t="s">
        <v>74</v>
      </c>
      <c r="BR257" t="s">
        <v>102</v>
      </c>
      <c r="BS257" t="s">
        <v>5245</v>
      </c>
      <c r="BT257" t="str">
        <f>HYPERLINK("https%3A%2F%2Fwww.webofscience.com%2Fwos%2Fwoscc%2Ffull-record%2FWOS:000782716500001","View Full Record in Web of Science")</f>
        <v>View Full Record in Web of Science</v>
      </c>
    </row>
    <row r="258" spans="1:72" x14ac:dyDescent="0.2">
      <c r="A258" t="s">
        <v>72</v>
      </c>
      <c r="B258" t="s">
        <v>5246</v>
      </c>
      <c r="C258" t="s">
        <v>74</v>
      </c>
      <c r="D258" t="s">
        <v>74</v>
      </c>
      <c r="E258" t="s">
        <v>74</v>
      </c>
      <c r="F258" t="s">
        <v>5247</v>
      </c>
      <c r="G258" t="s">
        <v>74</v>
      </c>
      <c r="H258" t="s">
        <v>74</v>
      </c>
      <c r="I258" t="s">
        <v>5248</v>
      </c>
      <c r="J258" t="s">
        <v>5249</v>
      </c>
      <c r="K258" t="s">
        <v>74</v>
      </c>
      <c r="L258" t="s">
        <v>74</v>
      </c>
      <c r="M258" t="s">
        <v>78</v>
      </c>
      <c r="N258" t="s">
        <v>108</v>
      </c>
      <c r="O258" t="s">
        <v>74</v>
      </c>
      <c r="P258" t="s">
        <v>74</v>
      </c>
      <c r="Q258" t="s">
        <v>74</v>
      </c>
      <c r="R258" t="s">
        <v>74</v>
      </c>
      <c r="S258" t="s">
        <v>74</v>
      </c>
      <c r="T258" t="s">
        <v>74</v>
      </c>
      <c r="U258" t="s">
        <v>5250</v>
      </c>
      <c r="V258" t="s">
        <v>5251</v>
      </c>
      <c r="W258" t="s">
        <v>5252</v>
      </c>
      <c r="X258" t="s">
        <v>5253</v>
      </c>
      <c r="Y258" t="s">
        <v>5254</v>
      </c>
      <c r="Z258" t="s">
        <v>5255</v>
      </c>
      <c r="AA258" t="s">
        <v>74</v>
      </c>
      <c r="AB258" t="s">
        <v>74</v>
      </c>
      <c r="AC258" t="s">
        <v>74</v>
      </c>
      <c r="AD258" t="s">
        <v>74</v>
      </c>
      <c r="AE258" t="s">
        <v>74</v>
      </c>
      <c r="AF258" t="s">
        <v>74</v>
      </c>
      <c r="AG258">
        <v>48</v>
      </c>
      <c r="AH258">
        <v>11</v>
      </c>
      <c r="AI258">
        <v>12</v>
      </c>
      <c r="AJ258">
        <v>2</v>
      </c>
      <c r="AK258">
        <v>30</v>
      </c>
      <c r="AL258" t="s">
        <v>3963</v>
      </c>
      <c r="AM258" t="s">
        <v>90</v>
      </c>
      <c r="AN258" t="s">
        <v>3964</v>
      </c>
      <c r="AO258" t="s">
        <v>5256</v>
      </c>
      <c r="AP258" t="s">
        <v>5257</v>
      </c>
      <c r="AQ258" t="s">
        <v>74</v>
      </c>
      <c r="AR258" t="s">
        <v>5258</v>
      </c>
      <c r="AS258" t="s">
        <v>5259</v>
      </c>
      <c r="AT258" t="s">
        <v>865</v>
      </c>
      <c r="AU258">
        <v>2021</v>
      </c>
      <c r="AV258">
        <v>2021</v>
      </c>
      <c r="AW258" t="s">
        <v>74</v>
      </c>
      <c r="AX258" t="s">
        <v>74</v>
      </c>
      <c r="AY258" t="s">
        <v>74</v>
      </c>
      <c r="AZ258" t="s">
        <v>74</v>
      </c>
      <c r="BA258" t="s">
        <v>74</v>
      </c>
      <c r="BB258" t="s">
        <v>74</v>
      </c>
      <c r="BC258" t="s">
        <v>74</v>
      </c>
      <c r="BD258">
        <v>9938325</v>
      </c>
      <c r="BE258" t="s">
        <v>5260</v>
      </c>
      <c r="BF258" t="str">
        <f>HYPERLINK("http://dx.doi.org/10.1155/2021/9938325","http://dx.doi.org/10.1155/2021/9938325")</f>
        <v>http://dx.doi.org/10.1155/2021/9938325</v>
      </c>
      <c r="BG258" t="s">
        <v>74</v>
      </c>
      <c r="BH258" t="s">
        <v>74</v>
      </c>
      <c r="BI258">
        <v>9</v>
      </c>
      <c r="BJ258" t="s">
        <v>503</v>
      </c>
      <c r="BK258" t="s">
        <v>98</v>
      </c>
      <c r="BL258" t="s">
        <v>505</v>
      </c>
      <c r="BM258" t="s">
        <v>5261</v>
      </c>
      <c r="BN258" t="s">
        <v>74</v>
      </c>
      <c r="BO258" t="s">
        <v>126</v>
      </c>
      <c r="BP258" t="s">
        <v>74</v>
      </c>
      <c r="BQ258" t="s">
        <v>74</v>
      </c>
      <c r="BR258" t="s">
        <v>102</v>
      </c>
      <c r="BS258" t="s">
        <v>5262</v>
      </c>
      <c r="BT258" t="str">
        <f>HYPERLINK("https%3A%2F%2Fwww.webofscience.com%2Fwos%2Fwoscc%2Ffull-record%2FWOS:000669016700007","View Full Record in Web of Science")</f>
        <v>View Full Record in Web of Science</v>
      </c>
    </row>
    <row r="259" spans="1:72" x14ac:dyDescent="0.2">
      <c r="A259" t="s">
        <v>72</v>
      </c>
      <c r="B259" t="s">
        <v>5263</v>
      </c>
      <c r="C259" t="s">
        <v>74</v>
      </c>
      <c r="D259" t="s">
        <v>74</v>
      </c>
      <c r="E259" t="s">
        <v>74</v>
      </c>
      <c r="F259" t="s">
        <v>5264</v>
      </c>
      <c r="G259" t="s">
        <v>74</v>
      </c>
      <c r="H259" t="s">
        <v>74</v>
      </c>
      <c r="I259" t="s">
        <v>5265</v>
      </c>
      <c r="J259" t="s">
        <v>5266</v>
      </c>
      <c r="K259" t="s">
        <v>74</v>
      </c>
      <c r="L259" t="s">
        <v>74</v>
      </c>
      <c r="M259" t="s">
        <v>78</v>
      </c>
      <c r="N259" t="s">
        <v>108</v>
      </c>
      <c r="O259" t="s">
        <v>74</v>
      </c>
      <c r="P259" t="s">
        <v>74</v>
      </c>
      <c r="Q259" t="s">
        <v>74</v>
      </c>
      <c r="R259" t="s">
        <v>74</v>
      </c>
      <c r="S259" t="s">
        <v>74</v>
      </c>
      <c r="T259" t="s">
        <v>5267</v>
      </c>
      <c r="U259" t="s">
        <v>5268</v>
      </c>
      <c r="V259" t="s">
        <v>5269</v>
      </c>
      <c r="W259" t="s">
        <v>5270</v>
      </c>
      <c r="X259" t="s">
        <v>5271</v>
      </c>
      <c r="Y259" t="s">
        <v>5272</v>
      </c>
      <c r="Z259" t="s">
        <v>5273</v>
      </c>
      <c r="AA259" t="s">
        <v>74</v>
      </c>
      <c r="AB259" t="s">
        <v>5274</v>
      </c>
      <c r="AC259" t="s">
        <v>5275</v>
      </c>
      <c r="AD259" t="s">
        <v>5275</v>
      </c>
      <c r="AE259" t="s">
        <v>5276</v>
      </c>
      <c r="AF259" t="s">
        <v>74</v>
      </c>
      <c r="AG259">
        <v>67</v>
      </c>
      <c r="AH259">
        <v>0</v>
      </c>
      <c r="AI259">
        <v>0</v>
      </c>
      <c r="AJ259">
        <v>6</v>
      </c>
      <c r="AK259">
        <v>7</v>
      </c>
      <c r="AL259" t="s">
        <v>321</v>
      </c>
      <c r="AM259" t="s">
        <v>348</v>
      </c>
      <c r="AN259" t="s">
        <v>1454</v>
      </c>
      <c r="AO259" t="s">
        <v>5277</v>
      </c>
      <c r="AP259" t="s">
        <v>5278</v>
      </c>
      <c r="AQ259" t="s">
        <v>74</v>
      </c>
      <c r="AR259" t="s">
        <v>5279</v>
      </c>
      <c r="AS259" t="s">
        <v>5280</v>
      </c>
      <c r="AT259" t="s">
        <v>416</v>
      </c>
      <c r="AU259">
        <v>2023</v>
      </c>
      <c r="AV259">
        <v>11</v>
      </c>
      <c r="AW259">
        <v>2</v>
      </c>
      <c r="AX259" t="s">
        <v>74</v>
      </c>
      <c r="AY259" t="s">
        <v>74</v>
      </c>
      <c r="AZ259" t="s">
        <v>570</v>
      </c>
      <c r="BA259" t="s">
        <v>74</v>
      </c>
      <c r="BB259">
        <v>248</v>
      </c>
      <c r="BC259">
        <v>263</v>
      </c>
      <c r="BD259" t="s">
        <v>74</v>
      </c>
      <c r="BE259" t="s">
        <v>5281</v>
      </c>
      <c r="BF259" t="str">
        <f>HYPERLINK("http://dx.doi.org/10.1007/s40436-022-00433-x","http://dx.doi.org/10.1007/s40436-022-00433-x")</f>
        <v>http://dx.doi.org/10.1007/s40436-022-00433-x</v>
      </c>
      <c r="BG259" t="s">
        <v>74</v>
      </c>
      <c r="BH259" t="s">
        <v>619</v>
      </c>
      <c r="BI259">
        <v>16</v>
      </c>
      <c r="BJ259" t="s">
        <v>5282</v>
      </c>
      <c r="BK259" t="s">
        <v>98</v>
      </c>
      <c r="BL259" t="s">
        <v>5283</v>
      </c>
      <c r="BM259" t="s">
        <v>5284</v>
      </c>
      <c r="BN259" t="s">
        <v>74</v>
      </c>
      <c r="BO259" t="s">
        <v>726</v>
      </c>
      <c r="BP259" t="s">
        <v>74</v>
      </c>
      <c r="BQ259" t="s">
        <v>74</v>
      </c>
      <c r="BR259" t="s">
        <v>102</v>
      </c>
      <c r="BS259" t="s">
        <v>5285</v>
      </c>
      <c r="BT259" t="str">
        <f>HYPERLINK("https%3A%2F%2Fwww.webofscience.com%2Fwos%2Fwoscc%2Ffull-record%2FWOS:000943640800001","View Full Record in Web of Science")</f>
        <v>View Full Record in Web of Science</v>
      </c>
    </row>
    <row r="260" spans="1:72" x14ac:dyDescent="0.2">
      <c r="A260" t="s">
        <v>72</v>
      </c>
      <c r="B260" t="s">
        <v>5286</v>
      </c>
      <c r="C260" t="s">
        <v>74</v>
      </c>
      <c r="D260" t="s">
        <v>74</v>
      </c>
      <c r="E260" t="s">
        <v>74</v>
      </c>
      <c r="F260" t="s">
        <v>5287</v>
      </c>
      <c r="G260" t="s">
        <v>74</v>
      </c>
      <c r="H260" t="s">
        <v>74</v>
      </c>
      <c r="I260" t="s">
        <v>5288</v>
      </c>
      <c r="J260" t="s">
        <v>5289</v>
      </c>
      <c r="K260" t="s">
        <v>74</v>
      </c>
      <c r="L260" t="s">
        <v>74</v>
      </c>
      <c r="M260" t="s">
        <v>78</v>
      </c>
      <c r="N260" t="s">
        <v>79</v>
      </c>
      <c r="O260" t="s">
        <v>74</v>
      </c>
      <c r="P260" t="s">
        <v>74</v>
      </c>
      <c r="Q260" t="s">
        <v>74</v>
      </c>
      <c r="R260" t="s">
        <v>74</v>
      </c>
      <c r="S260" t="s">
        <v>74</v>
      </c>
      <c r="T260" t="s">
        <v>5290</v>
      </c>
      <c r="U260" t="s">
        <v>5291</v>
      </c>
      <c r="V260" t="s">
        <v>5292</v>
      </c>
      <c r="W260" t="s">
        <v>5293</v>
      </c>
      <c r="X260" t="s">
        <v>5294</v>
      </c>
      <c r="Y260" t="s">
        <v>5295</v>
      </c>
      <c r="Z260" t="s">
        <v>5296</v>
      </c>
      <c r="AA260" t="s">
        <v>5297</v>
      </c>
      <c r="AB260" t="s">
        <v>5298</v>
      </c>
      <c r="AC260" t="s">
        <v>74</v>
      </c>
      <c r="AD260" t="s">
        <v>74</v>
      </c>
      <c r="AE260" t="s">
        <v>74</v>
      </c>
      <c r="AF260" t="s">
        <v>74</v>
      </c>
      <c r="AG260">
        <v>43</v>
      </c>
      <c r="AH260">
        <v>10</v>
      </c>
      <c r="AI260">
        <v>10</v>
      </c>
      <c r="AJ260">
        <v>2</v>
      </c>
      <c r="AK260">
        <v>33</v>
      </c>
      <c r="AL260" t="s">
        <v>543</v>
      </c>
      <c r="AM260" t="s">
        <v>260</v>
      </c>
      <c r="AN260" t="s">
        <v>544</v>
      </c>
      <c r="AO260" t="s">
        <v>5299</v>
      </c>
      <c r="AP260" t="s">
        <v>5300</v>
      </c>
      <c r="AQ260" t="s">
        <v>74</v>
      </c>
      <c r="AR260" t="s">
        <v>5301</v>
      </c>
      <c r="AS260" t="s">
        <v>5302</v>
      </c>
      <c r="AT260" t="s">
        <v>74</v>
      </c>
      <c r="AU260">
        <v>2021</v>
      </c>
      <c r="AV260">
        <v>51</v>
      </c>
      <c r="AW260" t="s">
        <v>74</v>
      </c>
      <c r="AX260" t="s">
        <v>74</v>
      </c>
      <c r="AY260" t="s">
        <v>74</v>
      </c>
      <c r="AZ260" t="s">
        <v>74</v>
      </c>
      <c r="BA260" t="s">
        <v>74</v>
      </c>
      <c r="BB260">
        <v>56</v>
      </c>
      <c r="BC260">
        <v>64</v>
      </c>
      <c r="BD260" t="s">
        <v>74</v>
      </c>
      <c r="BE260" t="s">
        <v>5303</v>
      </c>
      <c r="BF260" t="str">
        <f>HYPERLINK("http://dx.doi.org/10.1016/j.arcontrol.2020.11.001","http://dx.doi.org/10.1016/j.arcontrol.2020.11.001")</f>
        <v>http://dx.doi.org/10.1016/j.arcontrol.2020.11.001</v>
      </c>
      <c r="BG260" t="s">
        <v>74</v>
      </c>
      <c r="BH260" t="s">
        <v>4013</v>
      </c>
      <c r="BI260">
        <v>9</v>
      </c>
      <c r="BJ260" t="s">
        <v>3783</v>
      </c>
      <c r="BK260" t="s">
        <v>147</v>
      </c>
      <c r="BL260" t="s">
        <v>3783</v>
      </c>
      <c r="BM260" t="s">
        <v>5304</v>
      </c>
      <c r="BN260" t="s">
        <v>74</v>
      </c>
      <c r="BO260" t="s">
        <v>702</v>
      </c>
      <c r="BP260" t="s">
        <v>74</v>
      </c>
      <c r="BQ260" t="s">
        <v>74</v>
      </c>
      <c r="BR260" t="s">
        <v>102</v>
      </c>
      <c r="BS260" t="s">
        <v>5305</v>
      </c>
      <c r="BT260" t="str">
        <f>HYPERLINK("https%3A%2F%2Fwww.webofscience.com%2Fwos%2Fwoscc%2Ffull-record%2FWOS:000664938900005","View Full Record in Web of Science")</f>
        <v>View Full Record in Web of Science</v>
      </c>
    </row>
    <row r="261" spans="1:72" x14ac:dyDescent="0.2">
      <c r="A261" t="s">
        <v>72</v>
      </c>
      <c r="B261" t="s">
        <v>5306</v>
      </c>
      <c r="C261" t="s">
        <v>74</v>
      </c>
      <c r="D261" t="s">
        <v>74</v>
      </c>
      <c r="E261" t="s">
        <v>74</v>
      </c>
      <c r="F261" t="s">
        <v>5307</v>
      </c>
      <c r="G261" t="s">
        <v>74</v>
      </c>
      <c r="H261" t="s">
        <v>74</v>
      </c>
      <c r="I261" t="s">
        <v>5308</v>
      </c>
      <c r="J261" t="s">
        <v>3226</v>
      </c>
      <c r="K261" t="s">
        <v>74</v>
      </c>
      <c r="L261" t="s">
        <v>74</v>
      </c>
      <c r="M261" t="s">
        <v>78</v>
      </c>
      <c r="N261" t="s">
        <v>108</v>
      </c>
      <c r="O261" t="s">
        <v>74</v>
      </c>
      <c r="P261" t="s">
        <v>74</v>
      </c>
      <c r="Q261" t="s">
        <v>74</v>
      </c>
      <c r="R261" t="s">
        <v>74</v>
      </c>
      <c r="S261" t="s">
        <v>74</v>
      </c>
      <c r="T261" t="s">
        <v>5309</v>
      </c>
      <c r="U261" t="s">
        <v>74</v>
      </c>
      <c r="V261" t="s">
        <v>5310</v>
      </c>
      <c r="W261" t="s">
        <v>5311</v>
      </c>
      <c r="X261" t="s">
        <v>5312</v>
      </c>
      <c r="Y261" t="s">
        <v>5313</v>
      </c>
      <c r="Z261" t="s">
        <v>4439</v>
      </c>
      <c r="AA261" t="s">
        <v>4645</v>
      </c>
      <c r="AB261" t="s">
        <v>5314</v>
      </c>
      <c r="AC261" t="s">
        <v>5315</v>
      </c>
      <c r="AD261" t="s">
        <v>4078</v>
      </c>
      <c r="AE261" t="s">
        <v>5316</v>
      </c>
      <c r="AF261" t="s">
        <v>74</v>
      </c>
      <c r="AG261">
        <v>32</v>
      </c>
      <c r="AH261">
        <v>0</v>
      </c>
      <c r="AI261">
        <v>1</v>
      </c>
      <c r="AJ261">
        <v>1</v>
      </c>
      <c r="AK261">
        <v>37</v>
      </c>
      <c r="AL261" t="s">
        <v>279</v>
      </c>
      <c r="AM261" t="s">
        <v>280</v>
      </c>
      <c r="AN261" t="s">
        <v>281</v>
      </c>
      <c r="AO261" t="s">
        <v>3233</v>
      </c>
      <c r="AP261" t="s">
        <v>3234</v>
      </c>
      <c r="AQ261" t="s">
        <v>74</v>
      </c>
      <c r="AR261" t="s">
        <v>3235</v>
      </c>
      <c r="AS261" t="s">
        <v>3236</v>
      </c>
      <c r="AT261" t="s">
        <v>5137</v>
      </c>
      <c r="AU261">
        <v>2013</v>
      </c>
      <c r="AV261">
        <v>26</v>
      </c>
      <c r="AW261">
        <v>8</v>
      </c>
      <c r="AX261" t="s">
        <v>74</v>
      </c>
      <c r="AY261" t="s">
        <v>74</v>
      </c>
      <c r="AZ261" t="s">
        <v>74</v>
      </c>
      <c r="BA261" t="s">
        <v>74</v>
      </c>
      <c r="BB261">
        <v>703</v>
      </c>
      <c r="BC261">
        <v>719</v>
      </c>
      <c r="BD261" t="s">
        <v>74</v>
      </c>
      <c r="BE261" t="s">
        <v>5317</v>
      </c>
      <c r="BF261" t="str">
        <f>HYPERLINK("http://dx.doi.org/10.1080/0951192X.2013.766933","http://dx.doi.org/10.1080/0951192X.2013.766933")</f>
        <v>http://dx.doi.org/10.1080/0951192X.2013.766933</v>
      </c>
      <c r="BG261" t="s">
        <v>74</v>
      </c>
      <c r="BH261" t="s">
        <v>74</v>
      </c>
      <c r="BI261">
        <v>17</v>
      </c>
      <c r="BJ261" t="s">
        <v>3240</v>
      </c>
      <c r="BK261" t="s">
        <v>98</v>
      </c>
      <c r="BL261" t="s">
        <v>2060</v>
      </c>
      <c r="BM261" t="s">
        <v>5318</v>
      </c>
      <c r="BN261" t="s">
        <v>74</v>
      </c>
      <c r="BO261" t="s">
        <v>74</v>
      </c>
      <c r="BP261" t="s">
        <v>74</v>
      </c>
      <c r="BQ261" t="s">
        <v>74</v>
      </c>
      <c r="BR261" t="s">
        <v>102</v>
      </c>
      <c r="BS261" t="s">
        <v>5319</v>
      </c>
      <c r="BT261" t="str">
        <f>HYPERLINK("https%3A%2F%2Fwww.webofscience.com%2Fwos%2Fwoscc%2Ffull-record%2FWOS:000322616900002","View Full Record in Web of Science")</f>
        <v>View Full Record in Web of Science</v>
      </c>
    </row>
    <row r="262" spans="1:72" x14ac:dyDescent="0.2">
      <c r="A262" t="s">
        <v>72</v>
      </c>
      <c r="B262" t="s">
        <v>5320</v>
      </c>
      <c r="C262" t="s">
        <v>74</v>
      </c>
      <c r="D262" t="s">
        <v>74</v>
      </c>
      <c r="E262" t="s">
        <v>74</v>
      </c>
      <c r="F262" t="s">
        <v>5321</v>
      </c>
      <c r="G262" t="s">
        <v>74</v>
      </c>
      <c r="H262" t="s">
        <v>74</v>
      </c>
      <c r="I262" t="s">
        <v>5322</v>
      </c>
      <c r="J262" t="s">
        <v>249</v>
      </c>
      <c r="K262" t="s">
        <v>74</v>
      </c>
      <c r="L262" t="s">
        <v>74</v>
      </c>
      <c r="M262" t="s">
        <v>78</v>
      </c>
      <c r="N262" t="s">
        <v>108</v>
      </c>
      <c r="O262" t="s">
        <v>74</v>
      </c>
      <c r="P262" t="s">
        <v>74</v>
      </c>
      <c r="Q262" t="s">
        <v>74</v>
      </c>
      <c r="R262" t="s">
        <v>74</v>
      </c>
      <c r="S262" t="s">
        <v>74</v>
      </c>
      <c r="T262" t="s">
        <v>5323</v>
      </c>
      <c r="U262" t="s">
        <v>5324</v>
      </c>
      <c r="V262" t="s">
        <v>5325</v>
      </c>
      <c r="W262" t="s">
        <v>5326</v>
      </c>
      <c r="X262" t="s">
        <v>5327</v>
      </c>
      <c r="Y262" t="s">
        <v>5328</v>
      </c>
      <c r="Z262" t="s">
        <v>5329</v>
      </c>
      <c r="AA262" t="s">
        <v>5330</v>
      </c>
      <c r="AB262" t="s">
        <v>5331</v>
      </c>
      <c r="AC262" t="s">
        <v>5332</v>
      </c>
      <c r="AD262" t="s">
        <v>5333</v>
      </c>
      <c r="AE262" t="s">
        <v>5334</v>
      </c>
      <c r="AF262" t="s">
        <v>74</v>
      </c>
      <c r="AG262">
        <v>47</v>
      </c>
      <c r="AH262">
        <v>1</v>
      </c>
      <c r="AI262">
        <v>1</v>
      </c>
      <c r="AJ262">
        <v>28</v>
      </c>
      <c r="AK262">
        <v>28</v>
      </c>
      <c r="AL262" t="s">
        <v>259</v>
      </c>
      <c r="AM262" t="s">
        <v>260</v>
      </c>
      <c r="AN262" t="s">
        <v>261</v>
      </c>
      <c r="AO262" t="s">
        <v>262</v>
      </c>
      <c r="AP262" t="s">
        <v>263</v>
      </c>
      <c r="AQ262" t="s">
        <v>74</v>
      </c>
      <c r="AR262" t="s">
        <v>264</v>
      </c>
      <c r="AS262" t="s">
        <v>265</v>
      </c>
      <c r="AT262" t="s">
        <v>800</v>
      </c>
      <c r="AU262">
        <v>2023</v>
      </c>
      <c r="AV262">
        <v>56</v>
      </c>
      <c r="AW262" t="s">
        <v>74</v>
      </c>
      <c r="AX262" t="s">
        <v>74</v>
      </c>
      <c r="AY262" t="s">
        <v>74</v>
      </c>
      <c r="AZ262" t="s">
        <v>74</v>
      </c>
      <c r="BA262" t="s">
        <v>74</v>
      </c>
      <c r="BB262" t="s">
        <v>74</v>
      </c>
      <c r="BC262" t="s">
        <v>74</v>
      </c>
      <c r="BD262">
        <v>101921</v>
      </c>
      <c r="BE262" t="s">
        <v>5335</v>
      </c>
      <c r="BF262" t="str">
        <f>HYPERLINK("http://dx.doi.org/10.1016/j.aei.2023.101921","http://dx.doi.org/10.1016/j.aei.2023.101921")</f>
        <v>http://dx.doi.org/10.1016/j.aei.2023.101921</v>
      </c>
      <c r="BG262" t="s">
        <v>74</v>
      </c>
      <c r="BH262" t="s">
        <v>619</v>
      </c>
      <c r="BI262">
        <v>16</v>
      </c>
      <c r="BJ262" t="s">
        <v>268</v>
      </c>
      <c r="BK262" t="s">
        <v>98</v>
      </c>
      <c r="BL262" t="s">
        <v>269</v>
      </c>
      <c r="BM262" t="s">
        <v>5336</v>
      </c>
      <c r="BN262" t="s">
        <v>74</v>
      </c>
      <c r="BO262" t="s">
        <v>74</v>
      </c>
      <c r="BP262" t="s">
        <v>74</v>
      </c>
      <c r="BQ262" t="s">
        <v>74</v>
      </c>
      <c r="BR262" t="s">
        <v>102</v>
      </c>
      <c r="BS262" t="s">
        <v>5337</v>
      </c>
      <c r="BT262" t="str">
        <f>HYPERLINK("https%3A%2F%2Fwww.webofscience.com%2Fwos%2Fwoscc%2Ffull-record%2FWOS:000957996000001","View Full Record in Web of Science")</f>
        <v>View Full Record in Web of Science</v>
      </c>
    </row>
    <row r="263" spans="1:72" x14ac:dyDescent="0.2">
      <c r="A263" t="s">
        <v>72</v>
      </c>
      <c r="B263" t="s">
        <v>5338</v>
      </c>
      <c r="C263" t="s">
        <v>74</v>
      </c>
      <c r="D263" t="s">
        <v>74</v>
      </c>
      <c r="E263" t="s">
        <v>74</v>
      </c>
      <c r="F263" t="s">
        <v>5339</v>
      </c>
      <c r="G263" t="s">
        <v>74</v>
      </c>
      <c r="H263" t="s">
        <v>74</v>
      </c>
      <c r="I263" t="s">
        <v>5340</v>
      </c>
      <c r="J263" t="s">
        <v>5341</v>
      </c>
      <c r="K263" t="s">
        <v>74</v>
      </c>
      <c r="L263" t="s">
        <v>74</v>
      </c>
      <c r="M263" t="s">
        <v>78</v>
      </c>
      <c r="N263" t="s">
        <v>108</v>
      </c>
      <c r="O263" t="s">
        <v>74</v>
      </c>
      <c r="P263" t="s">
        <v>74</v>
      </c>
      <c r="Q263" t="s">
        <v>74</v>
      </c>
      <c r="R263" t="s">
        <v>74</v>
      </c>
      <c r="S263" t="s">
        <v>74</v>
      </c>
      <c r="T263" t="s">
        <v>5342</v>
      </c>
      <c r="U263" t="s">
        <v>5343</v>
      </c>
      <c r="V263" t="s">
        <v>5344</v>
      </c>
      <c r="W263" t="s">
        <v>5345</v>
      </c>
      <c r="X263" t="s">
        <v>5346</v>
      </c>
      <c r="Y263" t="s">
        <v>5347</v>
      </c>
      <c r="Z263" t="s">
        <v>5348</v>
      </c>
      <c r="AA263" t="s">
        <v>5349</v>
      </c>
      <c r="AB263" t="s">
        <v>5350</v>
      </c>
      <c r="AC263" t="s">
        <v>5351</v>
      </c>
      <c r="AD263" t="s">
        <v>5352</v>
      </c>
      <c r="AE263" t="s">
        <v>5353</v>
      </c>
      <c r="AF263" t="s">
        <v>74</v>
      </c>
      <c r="AG263">
        <v>62</v>
      </c>
      <c r="AH263">
        <v>33</v>
      </c>
      <c r="AI263">
        <v>33</v>
      </c>
      <c r="AJ263">
        <v>6</v>
      </c>
      <c r="AK263">
        <v>62</v>
      </c>
      <c r="AL263" t="s">
        <v>4005</v>
      </c>
      <c r="AM263" t="s">
        <v>4006</v>
      </c>
      <c r="AN263" t="s">
        <v>4007</v>
      </c>
      <c r="AO263" t="s">
        <v>5354</v>
      </c>
      <c r="AP263" t="s">
        <v>5355</v>
      </c>
      <c r="AQ263" t="s">
        <v>74</v>
      </c>
      <c r="AR263" t="s">
        <v>5356</v>
      </c>
      <c r="AS263" t="s">
        <v>5357</v>
      </c>
      <c r="AT263" t="s">
        <v>616</v>
      </c>
      <c r="AU263">
        <v>2021</v>
      </c>
      <c r="AV263">
        <v>12</v>
      </c>
      <c r="AW263">
        <v>1</v>
      </c>
      <c r="AX263" t="s">
        <v>74</v>
      </c>
      <c r="AY263" t="s">
        <v>74</v>
      </c>
      <c r="AZ263" t="s">
        <v>570</v>
      </c>
      <c r="BA263" t="s">
        <v>74</v>
      </c>
      <c r="BB263">
        <v>19</v>
      </c>
      <c r="BC263">
        <v>36</v>
      </c>
      <c r="BD263" t="s">
        <v>74</v>
      </c>
      <c r="BE263" t="s">
        <v>5358</v>
      </c>
      <c r="BF263" t="str">
        <f>HYPERLINK("http://dx.doi.org/10.1007/s12530-020-09347-0","http://dx.doi.org/10.1007/s12530-020-09347-0")</f>
        <v>http://dx.doi.org/10.1007/s12530-020-09347-0</v>
      </c>
      <c r="BG263" t="s">
        <v>74</v>
      </c>
      <c r="BH263" t="s">
        <v>5359</v>
      </c>
      <c r="BI263">
        <v>18</v>
      </c>
      <c r="BJ263" t="s">
        <v>2017</v>
      </c>
      <c r="BK263" t="s">
        <v>98</v>
      </c>
      <c r="BL263" t="s">
        <v>99</v>
      </c>
      <c r="BM263" t="s">
        <v>5360</v>
      </c>
      <c r="BN263" t="s">
        <v>74</v>
      </c>
      <c r="BO263" t="s">
        <v>1833</v>
      </c>
      <c r="BP263" t="s">
        <v>74</v>
      </c>
      <c r="BQ263" t="s">
        <v>74</v>
      </c>
      <c r="BR263" t="s">
        <v>102</v>
      </c>
      <c r="BS263" t="s">
        <v>5361</v>
      </c>
      <c r="BT263" t="str">
        <f>HYPERLINK("https%3A%2F%2Fwww.webofscience.com%2Fwos%2Fwoscc%2Ffull-record%2FWOS:000540944900001","View Full Record in Web of Science")</f>
        <v>View Full Record in Web of Science</v>
      </c>
    </row>
    <row r="264" spans="1:72" x14ac:dyDescent="0.2">
      <c r="A264" t="s">
        <v>72</v>
      </c>
      <c r="B264" t="s">
        <v>5362</v>
      </c>
      <c r="C264" t="s">
        <v>74</v>
      </c>
      <c r="D264" t="s">
        <v>74</v>
      </c>
      <c r="E264" t="s">
        <v>74</v>
      </c>
      <c r="F264" t="s">
        <v>5363</v>
      </c>
      <c r="G264" t="s">
        <v>74</v>
      </c>
      <c r="H264" t="s">
        <v>74</v>
      </c>
      <c r="I264" t="s">
        <v>5364</v>
      </c>
      <c r="J264" t="s">
        <v>5365</v>
      </c>
      <c r="K264" t="s">
        <v>74</v>
      </c>
      <c r="L264" t="s">
        <v>74</v>
      </c>
      <c r="M264" t="s">
        <v>78</v>
      </c>
      <c r="N264" t="s">
        <v>108</v>
      </c>
      <c r="O264" t="s">
        <v>74</v>
      </c>
      <c r="P264" t="s">
        <v>74</v>
      </c>
      <c r="Q264" t="s">
        <v>74</v>
      </c>
      <c r="R264" t="s">
        <v>74</v>
      </c>
      <c r="S264" t="s">
        <v>74</v>
      </c>
      <c r="T264" t="s">
        <v>5366</v>
      </c>
      <c r="U264" t="s">
        <v>5367</v>
      </c>
      <c r="V264" t="s">
        <v>5368</v>
      </c>
      <c r="W264" t="s">
        <v>5369</v>
      </c>
      <c r="X264" t="s">
        <v>5370</v>
      </c>
      <c r="Y264" t="s">
        <v>5371</v>
      </c>
      <c r="Z264" t="s">
        <v>5372</v>
      </c>
      <c r="AA264" t="s">
        <v>5373</v>
      </c>
      <c r="AB264" t="s">
        <v>74</v>
      </c>
      <c r="AC264" t="s">
        <v>74</v>
      </c>
      <c r="AD264" t="s">
        <v>74</v>
      </c>
      <c r="AE264" t="s">
        <v>74</v>
      </c>
      <c r="AF264" t="s">
        <v>74</v>
      </c>
      <c r="AG264">
        <v>42</v>
      </c>
      <c r="AH264">
        <v>53</v>
      </c>
      <c r="AI264">
        <v>56</v>
      </c>
      <c r="AJ264">
        <v>0</v>
      </c>
      <c r="AK264">
        <v>18</v>
      </c>
      <c r="AL264" t="s">
        <v>543</v>
      </c>
      <c r="AM264" t="s">
        <v>260</v>
      </c>
      <c r="AN264" t="s">
        <v>544</v>
      </c>
      <c r="AO264" t="s">
        <v>5374</v>
      </c>
      <c r="AP264" t="s">
        <v>5375</v>
      </c>
      <c r="AQ264" t="s">
        <v>74</v>
      </c>
      <c r="AR264" t="s">
        <v>5376</v>
      </c>
      <c r="AS264" t="s">
        <v>5377</v>
      </c>
      <c r="AT264" t="s">
        <v>800</v>
      </c>
      <c r="AU264">
        <v>2011</v>
      </c>
      <c r="AV264">
        <v>35</v>
      </c>
      <c r="AW264">
        <v>4</v>
      </c>
      <c r="AX264" t="s">
        <v>74</v>
      </c>
      <c r="AY264" t="s">
        <v>74</v>
      </c>
      <c r="AZ264" t="s">
        <v>570</v>
      </c>
      <c r="BA264" t="s">
        <v>74</v>
      </c>
      <c r="BB264">
        <v>1429</v>
      </c>
      <c r="BC264">
        <v>1439</v>
      </c>
      <c r="BD264" t="s">
        <v>74</v>
      </c>
      <c r="BE264" t="s">
        <v>5378</v>
      </c>
      <c r="BF264" t="str">
        <f>HYPERLINK("http://dx.doi.org/10.1016/j.biombioe.2010.07.030","http://dx.doi.org/10.1016/j.biombioe.2010.07.030")</f>
        <v>http://dx.doi.org/10.1016/j.biombioe.2010.07.030</v>
      </c>
      <c r="BG264" t="s">
        <v>74</v>
      </c>
      <c r="BH264" t="s">
        <v>74</v>
      </c>
      <c r="BI264">
        <v>11</v>
      </c>
      <c r="BJ264" t="s">
        <v>5379</v>
      </c>
      <c r="BK264" t="s">
        <v>147</v>
      </c>
      <c r="BL264" t="s">
        <v>5380</v>
      </c>
      <c r="BM264" t="s">
        <v>5381</v>
      </c>
      <c r="BN264" t="s">
        <v>74</v>
      </c>
      <c r="BO264" t="s">
        <v>74</v>
      </c>
      <c r="BP264" t="s">
        <v>74</v>
      </c>
      <c r="BQ264" t="s">
        <v>74</v>
      </c>
      <c r="BR264" t="s">
        <v>102</v>
      </c>
      <c r="BS264" t="s">
        <v>5382</v>
      </c>
      <c r="BT264" t="str">
        <f>HYPERLINK("https%3A%2F%2Fwww.webofscience.com%2Fwos%2Fwoscc%2Ffull-record%2FWOS:000289611400006","View Full Record in Web of Science")</f>
        <v>View Full Record in Web of Science</v>
      </c>
    </row>
    <row r="265" spans="1:72" x14ac:dyDescent="0.2">
      <c r="A265" t="s">
        <v>72</v>
      </c>
      <c r="B265" t="s">
        <v>5383</v>
      </c>
      <c r="C265" t="s">
        <v>74</v>
      </c>
      <c r="D265" t="s">
        <v>74</v>
      </c>
      <c r="E265" t="s">
        <v>74</v>
      </c>
      <c r="F265" t="s">
        <v>5384</v>
      </c>
      <c r="G265" t="s">
        <v>74</v>
      </c>
      <c r="H265" t="s">
        <v>74</v>
      </c>
      <c r="I265" t="s">
        <v>5385</v>
      </c>
      <c r="J265" t="s">
        <v>2042</v>
      </c>
      <c r="K265" t="s">
        <v>74</v>
      </c>
      <c r="L265" t="s">
        <v>74</v>
      </c>
      <c r="M265" t="s">
        <v>78</v>
      </c>
      <c r="N265" t="s">
        <v>108</v>
      </c>
      <c r="O265" t="s">
        <v>74</v>
      </c>
      <c r="P265" t="s">
        <v>74</v>
      </c>
      <c r="Q265" t="s">
        <v>74</v>
      </c>
      <c r="R265" t="s">
        <v>74</v>
      </c>
      <c r="S265" t="s">
        <v>74</v>
      </c>
      <c r="T265" t="s">
        <v>5386</v>
      </c>
      <c r="U265" t="s">
        <v>5387</v>
      </c>
      <c r="V265" t="s">
        <v>5388</v>
      </c>
      <c r="W265" t="s">
        <v>5389</v>
      </c>
      <c r="X265" t="s">
        <v>5390</v>
      </c>
      <c r="Y265" t="s">
        <v>5391</v>
      </c>
      <c r="Z265" t="s">
        <v>5392</v>
      </c>
      <c r="AA265" t="s">
        <v>5393</v>
      </c>
      <c r="AB265" t="s">
        <v>5394</v>
      </c>
      <c r="AC265" t="s">
        <v>74</v>
      </c>
      <c r="AD265" t="s">
        <v>74</v>
      </c>
      <c r="AE265" t="s">
        <v>74</v>
      </c>
      <c r="AF265" t="s">
        <v>74</v>
      </c>
      <c r="AG265">
        <v>38</v>
      </c>
      <c r="AH265">
        <v>31</v>
      </c>
      <c r="AI265">
        <v>33</v>
      </c>
      <c r="AJ265">
        <v>0</v>
      </c>
      <c r="AK265">
        <v>29</v>
      </c>
      <c r="AL265" t="s">
        <v>543</v>
      </c>
      <c r="AM265" t="s">
        <v>260</v>
      </c>
      <c r="AN265" t="s">
        <v>544</v>
      </c>
      <c r="AO265" t="s">
        <v>2054</v>
      </c>
      <c r="AP265" t="s">
        <v>2055</v>
      </c>
      <c r="AQ265" t="s">
        <v>74</v>
      </c>
      <c r="AR265" t="s">
        <v>2056</v>
      </c>
      <c r="AS265" t="s">
        <v>2057</v>
      </c>
      <c r="AT265" t="s">
        <v>372</v>
      </c>
      <c r="AU265">
        <v>2011</v>
      </c>
      <c r="AV265">
        <v>38</v>
      </c>
      <c r="AW265">
        <v>1</v>
      </c>
      <c r="AX265" t="s">
        <v>74</v>
      </c>
      <c r="AY265" t="s">
        <v>74</v>
      </c>
      <c r="AZ265" t="s">
        <v>74</v>
      </c>
      <c r="BA265" t="s">
        <v>74</v>
      </c>
      <c r="BB265">
        <v>106</v>
      </c>
      <c r="BC265">
        <v>115</v>
      </c>
      <c r="BD265" t="s">
        <v>74</v>
      </c>
      <c r="BE265" t="s">
        <v>5395</v>
      </c>
      <c r="BF265" t="str">
        <f>HYPERLINK("http://dx.doi.org/10.1016/j.eswa.2010.06.021","http://dx.doi.org/10.1016/j.eswa.2010.06.021")</f>
        <v>http://dx.doi.org/10.1016/j.eswa.2010.06.021</v>
      </c>
      <c r="BG265" t="s">
        <v>74</v>
      </c>
      <c r="BH265" t="s">
        <v>74</v>
      </c>
      <c r="BI265">
        <v>10</v>
      </c>
      <c r="BJ265" t="s">
        <v>2059</v>
      </c>
      <c r="BK265" t="s">
        <v>147</v>
      </c>
      <c r="BL265" t="s">
        <v>2060</v>
      </c>
      <c r="BM265" t="s">
        <v>5396</v>
      </c>
      <c r="BN265" t="s">
        <v>74</v>
      </c>
      <c r="BO265" t="s">
        <v>74</v>
      </c>
      <c r="BP265" t="s">
        <v>74</v>
      </c>
      <c r="BQ265" t="s">
        <v>74</v>
      </c>
      <c r="BR265" t="s">
        <v>102</v>
      </c>
      <c r="BS265" t="s">
        <v>5397</v>
      </c>
      <c r="BT265" t="str">
        <f>HYPERLINK("https%3A%2F%2Fwww.webofscience.com%2Fwos%2Fwoscc%2Ffull-record%2FWOS:000282607800013","View Full Record in Web of Science")</f>
        <v>View Full Record in Web of Science</v>
      </c>
    </row>
    <row r="266" spans="1:72" x14ac:dyDescent="0.2">
      <c r="A266" t="s">
        <v>72</v>
      </c>
      <c r="B266" t="s">
        <v>5398</v>
      </c>
      <c r="C266" t="s">
        <v>74</v>
      </c>
      <c r="D266" t="s">
        <v>74</v>
      </c>
      <c r="E266" t="s">
        <v>74</v>
      </c>
      <c r="F266" t="s">
        <v>5399</v>
      </c>
      <c r="G266" t="s">
        <v>74</v>
      </c>
      <c r="H266" t="s">
        <v>74</v>
      </c>
      <c r="I266" t="s">
        <v>5400</v>
      </c>
      <c r="J266" t="s">
        <v>531</v>
      </c>
      <c r="K266" t="s">
        <v>74</v>
      </c>
      <c r="L266" t="s">
        <v>74</v>
      </c>
      <c r="M266" t="s">
        <v>78</v>
      </c>
      <c r="N266" t="s">
        <v>108</v>
      </c>
      <c r="O266" t="s">
        <v>74</v>
      </c>
      <c r="P266" t="s">
        <v>74</v>
      </c>
      <c r="Q266" t="s">
        <v>74</v>
      </c>
      <c r="R266" t="s">
        <v>74</v>
      </c>
      <c r="S266" t="s">
        <v>74</v>
      </c>
      <c r="T266" t="s">
        <v>5401</v>
      </c>
      <c r="U266" t="s">
        <v>5402</v>
      </c>
      <c r="V266" t="s">
        <v>5403</v>
      </c>
      <c r="W266" t="s">
        <v>5404</v>
      </c>
      <c r="X266" t="s">
        <v>5405</v>
      </c>
      <c r="Y266" t="s">
        <v>5406</v>
      </c>
      <c r="Z266" t="s">
        <v>5407</v>
      </c>
      <c r="AA266" t="s">
        <v>5408</v>
      </c>
      <c r="AB266" t="s">
        <v>5409</v>
      </c>
      <c r="AC266" t="s">
        <v>74</v>
      </c>
      <c r="AD266" t="s">
        <v>74</v>
      </c>
      <c r="AE266" t="s">
        <v>74</v>
      </c>
      <c r="AF266" t="s">
        <v>74</v>
      </c>
      <c r="AG266">
        <v>140</v>
      </c>
      <c r="AH266">
        <v>51</v>
      </c>
      <c r="AI266">
        <v>53</v>
      </c>
      <c r="AJ266">
        <v>3</v>
      </c>
      <c r="AK266">
        <v>67</v>
      </c>
      <c r="AL266" t="s">
        <v>543</v>
      </c>
      <c r="AM266" t="s">
        <v>260</v>
      </c>
      <c r="AN266" t="s">
        <v>544</v>
      </c>
      <c r="AO266" t="s">
        <v>545</v>
      </c>
      <c r="AP266" t="s">
        <v>546</v>
      </c>
      <c r="AQ266" t="s">
        <v>74</v>
      </c>
      <c r="AR266" t="s">
        <v>547</v>
      </c>
      <c r="AS266" t="s">
        <v>548</v>
      </c>
      <c r="AT266" t="s">
        <v>800</v>
      </c>
      <c r="AU266">
        <v>2018</v>
      </c>
      <c r="AV266">
        <v>118</v>
      </c>
      <c r="AW266" t="s">
        <v>74</v>
      </c>
      <c r="AX266" t="s">
        <v>74</v>
      </c>
      <c r="AY266" t="s">
        <v>74</v>
      </c>
      <c r="AZ266" t="s">
        <v>74</v>
      </c>
      <c r="BA266" t="s">
        <v>74</v>
      </c>
      <c r="BB266">
        <v>409</v>
      </c>
      <c r="BC266">
        <v>422</v>
      </c>
      <c r="BD266" t="s">
        <v>74</v>
      </c>
      <c r="BE266" t="s">
        <v>5410</v>
      </c>
      <c r="BF266" t="str">
        <f>HYPERLINK("http://dx.doi.org/10.1016/j.cie.2018.03.011","http://dx.doi.org/10.1016/j.cie.2018.03.011")</f>
        <v>http://dx.doi.org/10.1016/j.cie.2018.03.011</v>
      </c>
      <c r="BG266" t="s">
        <v>74</v>
      </c>
      <c r="BH266" t="s">
        <v>74</v>
      </c>
      <c r="BI266">
        <v>14</v>
      </c>
      <c r="BJ266" t="s">
        <v>550</v>
      </c>
      <c r="BK266" t="s">
        <v>147</v>
      </c>
      <c r="BL266" t="s">
        <v>269</v>
      </c>
      <c r="BM266" t="s">
        <v>5411</v>
      </c>
      <c r="BN266" t="s">
        <v>74</v>
      </c>
      <c r="BO266" t="s">
        <v>594</v>
      </c>
      <c r="BP266" t="s">
        <v>74</v>
      </c>
      <c r="BQ266" t="s">
        <v>74</v>
      </c>
      <c r="BR266" t="s">
        <v>102</v>
      </c>
      <c r="BS266" t="s">
        <v>5412</v>
      </c>
      <c r="BT266" t="str">
        <f>HYPERLINK("https%3A%2F%2Fwww.webofscience.com%2Fwos%2Fwoscc%2Ffull-record%2FWOS:000430785500034","View Full Record in Web of Science")</f>
        <v>View Full Record in Web of Science</v>
      </c>
    </row>
    <row r="267" spans="1:72" x14ac:dyDescent="0.2">
      <c r="A267" t="s">
        <v>72</v>
      </c>
      <c r="B267" t="s">
        <v>5413</v>
      </c>
      <c r="C267" t="s">
        <v>74</v>
      </c>
      <c r="D267" t="s">
        <v>74</v>
      </c>
      <c r="E267" t="s">
        <v>74</v>
      </c>
      <c r="F267" t="s">
        <v>5414</v>
      </c>
      <c r="G267" t="s">
        <v>74</v>
      </c>
      <c r="H267" t="s">
        <v>74</v>
      </c>
      <c r="I267" t="s">
        <v>5415</v>
      </c>
      <c r="J267" t="s">
        <v>873</v>
      </c>
      <c r="K267" t="s">
        <v>74</v>
      </c>
      <c r="L267" t="s">
        <v>74</v>
      </c>
      <c r="M267" t="s">
        <v>78</v>
      </c>
      <c r="N267" t="s">
        <v>108</v>
      </c>
      <c r="O267" t="s">
        <v>74</v>
      </c>
      <c r="P267" t="s">
        <v>74</v>
      </c>
      <c r="Q267" t="s">
        <v>74</v>
      </c>
      <c r="R267" t="s">
        <v>74</v>
      </c>
      <c r="S267" t="s">
        <v>74</v>
      </c>
      <c r="T267" t="s">
        <v>5416</v>
      </c>
      <c r="U267" t="s">
        <v>5417</v>
      </c>
      <c r="V267" t="s">
        <v>5418</v>
      </c>
      <c r="W267" t="s">
        <v>5419</v>
      </c>
      <c r="X267" t="s">
        <v>5420</v>
      </c>
      <c r="Y267" t="s">
        <v>5421</v>
      </c>
      <c r="Z267" t="s">
        <v>5422</v>
      </c>
      <c r="AA267" t="s">
        <v>74</v>
      </c>
      <c r="AB267" t="s">
        <v>5423</v>
      </c>
      <c r="AC267" t="s">
        <v>5424</v>
      </c>
      <c r="AD267" t="s">
        <v>5424</v>
      </c>
      <c r="AE267" t="s">
        <v>5425</v>
      </c>
      <c r="AF267" t="s">
        <v>74</v>
      </c>
      <c r="AG267">
        <v>48</v>
      </c>
      <c r="AH267">
        <v>32</v>
      </c>
      <c r="AI267">
        <v>34</v>
      </c>
      <c r="AJ267">
        <v>1</v>
      </c>
      <c r="AK267">
        <v>83</v>
      </c>
      <c r="AL267" t="s">
        <v>209</v>
      </c>
      <c r="AM267" t="s">
        <v>210</v>
      </c>
      <c r="AN267" t="s">
        <v>211</v>
      </c>
      <c r="AO267" t="s">
        <v>883</v>
      </c>
      <c r="AP267" t="s">
        <v>884</v>
      </c>
      <c r="AQ267" t="s">
        <v>74</v>
      </c>
      <c r="AR267" t="s">
        <v>885</v>
      </c>
      <c r="AS267" t="s">
        <v>886</v>
      </c>
      <c r="AT267" t="s">
        <v>372</v>
      </c>
      <c r="AU267">
        <v>2014</v>
      </c>
      <c r="AV267">
        <v>147</v>
      </c>
      <c r="AW267" t="s">
        <v>74</v>
      </c>
      <c r="AX267" t="s">
        <v>2438</v>
      </c>
      <c r="AY267" t="s">
        <v>74</v>
      </c>
      <c r="AZ267" t="s">
        <v>570</v>
      </c>
      <c r="BA267" t="s">
        <v>74</v>
      </c>
      <c r="BB267">
        <v>362</v>
      </c>
      <c r="BC267">
        <v>372</v>
      </c>
      <c r="BD267" t="s">
        <v>74</v>
      </c>
      <c r="BE267" t="s">
        <v>5426</v>
      </c>
      <c r="BF267" t="str">
        <f>HYPERLINK("http://dx.doi.org/10.1016/j.ijpe.2013.04.014","http://dx.doi.org/10.1016/j.ijpe.2013.04.014")</f>
        <v>http://dx.doi.org/10.1016/j.ijpe.2013.04.014</v>
      </c>
      <c r="BG267" t="s">
        <v>74</v>
      </c>
      <c r="BH267" t="s">
        <v>74</v>
      </c>
      <c r="BI267">
        <v>11</v>
      </c>
      <c r="BJ267" t="s">
        <v>780</v>
      </c>
      <c r="BK267" t="s">
        <v>98</v>
      </c>
      <c r="BL267" t="s">
        <v>781</v>
      </c>
      <c r="BM267" t="s">
        <v>3987</v>
      </c>
      <c r="BN267" t="s">
        <v>74</v>
      </c>
      <c r="BO267" t="s">
        <v>74</v>
      </c>
      <c r="BP267" t="s">
        <v>74</v>
      </c>
      <c r="BQ267" t="s">
        <v>74</v>
      </c>
      <c r="BR267" t="s">
        <v>102</v>
      </c>
      <c r="BS267" t="s">
        <v>5427</v>
      </c>
      <c r="BT267" t="str">
        <f>HYPERLINK("https%3A%2F%2Fwww.webofscience.com%2Fwos%2Fwoscc%2Ffull-record%2FWOS:000329880300017","View Full Record in Web of Science")</f>
        <v>View Full Record in Web of Science</v>
      </c>
    </row>
    <row r="268" spans="1:72" x14ac:dyDescent="0.2">
      <c r="A268" t="s">
        <v>72</v>
      </c>
      <c r="B268" t="s">
        <v>5428</v>
      </c>
      <c r="C268" t="s">
        <v>74</v>
      </c>
      <c r="D268" t="s">
        <v>74</v>
      </c>
      <c r="E268" t="s">
        <v>74</v>
      </c>
      <c r="F268" t="s">
        <v>5429</v>
      </c>
      <c r="G268" t="s">
        <v>74</v>
      </c>
      <c r="H268" t="s">
        <v>74</v>
      </c>
      <c r="I268" t="s">
        <v>5430</v>
      </c>
      <c r="J268" t="s">
        <v>5431</v>
      </c>
      <c r="K268" t="s">
        <v>74</v>
      </c>
      <c r="L268" t="s">
        <v>74</v>
      </c>
      <c r="M268" t="s">
        <v>78</v>
      </c>
      <c r="N268" t="s">
        <v>108</v>
      </c>
      <c r="O268" t="s">
        <v>74</v>
      </c>
      <c r="P268" t="s">
        <v>74</v>
      </c>
      <c r="Q268" t="s">
        <v>74</v>
      </c>
      <c r="R268" t="s">
        <v>74</v>
      </c>
      <c r="S268" t="s">
        <v>74</v>
      </c>
      <c r="T268" t="s">
        <v>5432</v>
      </c>
      <c r="U268" t="s">
        <v>5433</v>
      </c>
      <c r="V268" t="s">
        <v>5434</v>
      </c>
      <c r="W268" t="s">
        <v>5435</v>
      </c>
      <c r="X268" t="s">
        <v>74</v>
      </c>
      <c r="Y268" t="s">
        <v>5436</v>
      </c>
      <c r="Z268" t="s">
        <v>5437</v>
      </c>
      <c r="AA268" t="s">
        <v>74</v>
      </c>
      <c r="AB268" t="s">
        <v>74</v>
      </c>
      <c r="AC268" t="s">
        <v>74</v>
      </c>
      <c r="AD268" t="s">
        <v>74</v>
      </c>
      <c r="AE268" t="s">
        <v>74</v>
      </c>
      <c r="AF268" t="s">
        <v>74</v>
      </c>
      <c r="AG268">
        <v>42</v>
      </c>
      <c r="AH268">
        <v>23</v>
      </c>
      <c r="AI268">
        <v>25</v>
      </c>
      <c r="AJ268">
        <v>1</v>
      </c>
      <c r="AK268">
        <v>52</v>
      </c>
      <c r="AL268" t="s">
        <v>347</v>
      </c>
      <c r="AM268" t="s">
        <v>348</v>
      </c>
      <c r="AN268" t="s">
        <v>349</v>
      </c>
      <c r="AO268" t="s">
        <v>5438</v>
      </c>
      <c r="AP268" t="s">
        <v>5439</v>
      </c>
      <c r="AQ268" t="s">
        <v>74</v>
      </c>
      <c r="AR268" t="s">
        <v>5440</v>
      </c>
      <c r="AS268" t="s">
        <v>5441</v>
      </c>
      <c r="AT268" t="s">
        <v>2778</v>
      </c>
      <c r="AU268">
        <v>2013</v>
      </c>
      <c r="AV268">
        <v>37</v>
      </c>
      <c r="AW268">
        <v>7</v>
      </c>
      <c r="AX268" t="s">
        <v>74</v>
      </c>
      <c r="AY268" t="s">
        <v>74</v>
      </c>
      <c r="AZ268" t="s">
        <v>74</v>
      </c>
      <c r="BA268" t="s">
        <v>74</v>
      </c>
      <c r="BB268">
        <v>5204</v>
      </c>
      <c r="BC268">
        <v>5214</v>
      </c>
      <c r="BD268" t="s">
        <v>74</v>
      </c>
      <c r="BE268" t="s">
        <v>5442</v>
      </c>
      <c r="BF268" t="str">
        <f>HYPERLINK("http://dx.doi.org/10.1016/j.apm.2012.10.031","http://dx.doi.org/10.1016/j.apm.2012.10.031")</f>
        <v>http://dx.doi.org/10.1016/j.apm.2012.10.031</v>
      </c>
      <c r="BG268" t="s">
        <v>74</v>
      </c>
      <c r="BH268" t="s">
        <v>74</v>
      </c>
      <c r="BI268">
        <v>11</v>
      </c>
      <c r="BJ268" t="s">
        <v>5443</v>
      </c>
      <c r="BK268" t="s">
        <v>98</v>
      </c>
      <c r="BL268" t="s">
        <v>5444</v>
      </c>
      <c r="BM268" t="s">
        <v>5445</v>
      </c>
      <c r="BN268" t="s">
        <v>74</v>
      </c>
      <c r="BO268" t="s">
        <v>804</v>
      </c>
      <c r="BP268" t="s">
        <v>74</v>
      </c>
      <c r="BQ268" t="s">
        <v>74</v>
      </c>
      <c r="BR268" t="s">
        <v>102</v>
      </c>
      <c r="BS268" t="s">
        <v>5446</v>
      </c>
      <c r="BT268" t="str">
        <f>HYPERLINK("https%3A%2F%2Fwww.webofscience.com%2Fwos%2Fwoscc%2Ffull-record%2FWOS:000316579600048","View Full Record in Web of Science")</f>
        <v>View Full Record in Web of Science</v>
      </c>
    </row>
    <row r="269" spans="1:72" x14ac:dyDescent="0.2">
      <c r="A269" t="s">
        <v>72</v>
      </c>
      <c r="B269" t="s">
        <v>5447</v>
      </c>
      <c r="C269" t="s">
        <v>74</v>
      </c>
      <c r="D269" t="s">
        <v>74</v>
      </c>
      <c r="E269" t="s">
        <v>74</v>
      </c>
      <c r="F269" t="s">
        <v>5448</v>
      </c>
      <c r="G269" t="s">
        <v>74</v>
      </c>
      <c r="H269" t="s">
        <v>74</v>
      </c>
      <c r="I269" t="s">
        <v>5449</v>
      </c>
      <c r="J269" t="s">
        <v>5450</v>
      </c>
      <c r="K269" t="s">
        <v>74</v>
      </c>
      <c r="L269" t="s">
        <v>74</v>
      </c>
      <c r="M269" t="s">
        <v>78</v>
      </c>
      <c r="N269" t="s">
        <v>108</v>
      </c>
      <c r="O269" t="s">
        <v>74</v>
      </c>
      <c r="P269" t="s">
        <v>74</v>
      </c>
      <c r="Q269" t="s">
        <v>74</v>
      </c>
      <c r="R269" t="s">
        <v>74</v>
      </c>
      <c r="S269" t="s">
        <v>74</v>
      </c>
      <c r="T269" t="s">
        <v>5451</v>
      </c>
      <c r="U269" t="s">
        <v>5452</v>
      </c>
      <c r="V269" t="s">
        <v>5453</v>
      </c>
      <c r="W269" t="s">
        <v>5454</v>
      </c>
      <c r="X269" t="s">
        <v>5455</v>
      </c>
      <c r="Y269" t="s">
        <v>5456</v>
      </c>
      <c r="Z269" t="s">
        <v>5457</v>
      </c>
      <c r="AA269" t="s">
        <v>74</v>
      </c>
      <c r="AB269" t="s">
        <v>74</v>
      </c>
      <c r="AC269" t="s">
        <v>74</v>
      </c>
      <c r="AD269" t="s">
        <v>74</v>
      </c>
      <c r="AE269" t="s">
        <v>74</v>
      </c>
      <c r="AF269" t="s">
        <v>74</v>
      </c>
      <c r="AG269">
        <v>38</v>
      </c>
      <c r="AH269">
        <v>2</v>
      </c>
      <c r="AI269">
        <v>2</v>
      </c>
      <c r="AJ269">
        <v>0</v>
      </c>
      <c r="AK269">
        <v>8</v>
      </c>
      <c r="AL269" t="s">
        <v>2634</v>
      </c>
      <c r="AM269" t="s">
        <v>2635</v>
      </c>
      <c r="AN269" t="s">
        <v>2636</v>
      </c>
      <c r="AO269" t="s">
        <v>5458</v>
      </c>
      <c r="AP269" t="s">
        <v>5459</v>
      </c>
      <c r="AQ269" t="s">
        <v>74</v>
      </c>
      <c r="AR269" t="s">
        <v>5460</v>
      </c>
      <c r="AS269" t="s">
        <v>5461</v>
      </c>
      <c r="AT269" t="s">
        <v>74</v>
      </c>
      <c r="AU269">
        <v>2018</v>
      </c>
      <c r="AV269">
        <v>9</v>
      </c>
      <c r="AW269">
        <v>2</v>
      </c>
      <c r="AX269" t="s">
        <v>74</v>
      </c>
      <c r="AY269" t="s">
        <v>74</v>
      </c>
      <c r="AZ269" t="s">
        <v>74</v>
      </c>
      <c r="BA269" t="s">
        <v>74</v>
      </c>
      <c r="BB269">
        <v>187</v>
      </c>
      <c r="BC269">
        <v>207</v>
      </c>
      <c r="BD269" t="s">
        <v>74</v>
      </c>
      <c r="BE269" t="s">
        <v>5462</v>
      </c>
      <c r="BF269" t="str">
        <f>HYPERLINK("http://dx.doi.org/10.1504/IJVCM.2018.10013601","http://dx.doi.org/10.1504/IJVCM.2018.10013601")</f>
        <v>http://dx.doi.org/10.1504/IJVCM.2018.10013601</v>
      </c>
      <c r="BG269" t="s">
        <v>74</v>
      </c>
      <c r="BH269" t="s">
        <v>74</v>
      </c>
      <c r="BI269">
        <v>21</v>
      </c>
      <c r="BJ269" t="s">
        <v>418</v>
      </c>
      <c r="BK269" t="s">
        <v>124</v>
      </c>
      <c r="BL269" t="s">
        <v>419</v>
      </c>
      <c r="BM269" t="s">
        <v>5463</v>
      </c>
      <c r="BN269" t="s">
        <v>74</v>
      </c>
      <c r="BO269" t="s">
        <v>74</v>
      </c>
      <c r="BP269" t="s">
        <v>74</v>
      </c>
      <c r="BQ269" t="s">
        <v>74</v>
      </c>
      <c r="BR269" t="s">
        <v>102</v>
      </c>
      <c r="BS269" t="s">
        <v>5464</v>
      </c>
      <c r="BT269" t="str">
        <f>HYPERLINK("https%3A%2F%2Fwww.webofscience.com%2Fwos%2Fwoscc%2Ffull-record%2FWOS:000456367100005","View Full Record in Web of Science")</f>
        <v>View Full Record in Web of Science</v>
      </c>
    </row>
    <row r="270" spans="1:72" x14ac:dyDescent="0.2">
      <c r="A270" t="s">
        <v>72</v>
      </c>
      <c r="B270" t="s">
        <v>5465</v>
      </c>
      <c r="C270" t="s">
        <v>74</v>
      </c>
      <c r="D270" t="s">
        <v>74</v>
      </c>
      <c r="E270" t="s">
        <v>74</v>
      </c>
      <c r="F270" t="s">
        <v>5466</v>
      </c>
      <c r="G270" t="s">
        <v>74</v>
      </c>
      <c r="H270" t="s">
        <v>74</v>
      </c>
      <c r="I270" t="s">
        <v>5467</v>
      </c>
      <c r="J270" t="s">
        <v>762</v>
      </c>
      <c r="K270" t="s">
        <v>74</v>
      </c>
      <c r="L270" t="s">
        <v>74</v>
      </c>
      <c r="M270" t="s">
        <v>78</v>
      </c>
      <c r="N270" t="s">
        <v>79</v>
      </c>
      <c r="O270" t="s">
        <v>74</v>
      </c>
      <c r="P270" t="s">
        <v>74</v>
      </c>
      <c r="Q270" t="s">
        <v>74</v>
      </c>
      <c r="R270" t="s">
        <v>74</v>
      </c>
      <c r="S270" t="s">
        <v>74</v>
      </c>
      <c r="T270" t="s">
        <v>5468</v>
      </c>
      <c r="U270" t="s">
        <v>5469</v>
      </c>
      <c r="V270" t="s">
        <v>5470</v>
      </c>
      <c r="W270" t="s">
        <v>5471</v>
      </c>
      <c r="X270" t="s">
        <v>3104</v>
      </c>
      <c r="Y270" t="s">
        <v>5472</v>
      </c>
      <c r="Z270" t="s">
        <v>5473</v>
      </c>
      <c r="AA270" t="s">
        <v>5474</v>
      </c>
      <c r="AB270" t="s">
        <v>5475</v>
      </c>
      <c r="AC270" t="s">
        <v>74</v>
      </c>
      <c r="AD270" t="s">
        <v>74</v>
      </c>
      <c r="AE270" t="s">
        <v>74</v>
      </c>
      <c r="AF270" t="s">
        <v>74</v>
      </c>
      <c r="AG270">
        <v>103</v>
      </c>
      <c r="AH270">
        <v>82</v>
      </c>
      <c r="AI270">
        <v>82</v>
      </c>
      <c r="AJ270">
        <v>1</v>
      </c>
      <c r="AK270">
        <v>60</v>
      </c>
      <c r="AL270" t="s">
        <v>279</v>
      </c>
      <c r="AM270" t="s">
        <v>280</v>
      </c>
      <c r="AN270" t="s">
        <v>281</v>
      </c>
      <c r="AO270" t="s">
        <v>773</v>
      </c>
      <c r="AP270" t="s">
        <v>774</v>
      </c>
      <c r="AQ270" t="s">
        <v>74</v>
      </c>
      <c r="AR270" t="s">
        <v>775</v>
      </c>
      <c r="AS270" t="s">
        <v>776</v>
      </c>
      <c r="AT270" t="s">
        <v>74</v>
      </c>
      <c r="AU270">
        <v>2009</v>
      </c>
      <c r="AV270">
        <v>47</v>
      </c>
      <c r="AW270">
        <v>11</v>
      </c>
      <c r="AX270" t="s">
        <v>74</v>
      </c>
      <c r="AY270" t="s">
        <v>74</v>
      </c>
      <c r="AZ270" t="s">
        <v>74</v>
      </c>
      <c r="BA270" t="s">
        <v>74</v>
      </c>
      <c r="BB270">
        <v>3013</v>
      </c>
      <c r="BC270">
        <v>3039</v>
      </c>
      <c r="BD270" t="s">
        <v>5476</v>
      </c>
      <c r="BE270" t="s">
        <v>5477</v>
      </c>
      <c r="BF270" t="str">
        <f>HYPERLINK("http://dx.doi.org/10.1080/00207540701769958","http://dx.doi.org/10.1080/00207540701769958")</f>
        <v>http://dx.doi.org/10.1080/00207540701769958</v>
      </c>
      <c r="BG270" t="s">
        <v>74</v>
      </c>
      <c r="BH270" t="s">
        <v>74</v>
      </c>
      <c r="BI270">
        <v>27</v>
      </c>
      <c r="BJ270" t="s">
        <v>780</v>
      </c>
      <c r="BK270" t="s">
        <v>147</v>
      </c>
      <c r="BL270" t="s">
        <v>781</v>
      </c>
      <c r="BM270" t="s">
        <v>5478</v>
      </c>
      <c r="BN270" t="s">
        <v>74</v>
      </c>
      <c r="BO270" t="s">
        <v>74</v>
      </c>
      <c r="BP270" t="s">
        <v>74</v>
      </c>
      <c r="BQ270" t="s">
        <v>74</v>
      </c>
      <c r="BR270" t="s">
        <v>102</v>
      </c>
      <c r="BS270" t="s">
        <v>5479</v>
      </c>
      <c r="BT270" t="str">
        <f>HYPERLINK("https%3A%2F%2Fwww.webofscience.com%2Fwos%2Fwoscc%2Ffull-record%2FWOS:000265289100010","View Full Record in Web of Science")</f>
        <v>View Full Record in Web of Science</v>
      </c>
    </row>
    <row r="271" spans="1:72" x14ac:dyDescent="0.2">
      <c r="A271" t="s">
        <v>72</v>
      </c>
      <c r="B271" t="s">
        <v>5480</v>
      </c>
      <c r="C271" t="s">
        <v>74</v>
      </c>
      <c r="D271" t="s">
        <v>74</v>
      </c>
      <c r="E271" t="s">
        <v>74</v>
      </c>
      <c r="F271" t="s">
        <v>5481</v>
      </c>
      <c r="G271" t="s">
        <v>74</v>
      </c>
      <c r="H271" t="s">
        <v>74</v>
      </c>
      <c r="I271" t="s">
        <v>5482</v>
      </c>
      <c r="J271" t="s">
        <v>5483</v>
      </c>
      <c r="K271" t="s">
        <v>74</v>
      </c>
      <c r="L271" t="s">
        <v>74</v>
      </c>
      <c r="M271" t="s">
        <v>78</v>
      </c>
      <c r="N271" t="s">
        <v>79</v>
      </c>
      <c r="O271" t="s">
        <v>74</v>
      </c>
      <c r="P271" t="s">
        <v>74</v>
      </c>
      <c r="Q271" t="s">
        <v>74</v>
      </c>
      <c r="R271" t="s">
        <v>74</v>
      </c>
      <c r="S271" t="s">
        <v>74</v>
      </c>
      <c r="T271" t="s">
        <v>5484</v>
      </c>
      <c r="U271" t="s">
        <v>5485</v>
      </c>
      <c r="V271" t="s">
        <v>5486</v>
      </c>
      <c r="W271" t="s">
        <v>5487</v>
      </c>
      <c r="X271" t="s">
        <v>5488</v>
      </c>
      <c r="Y271" t="s">
        <v>5489</v>
      </c>
      <c r="Z271" t="s">
        <v>5490</v>
      </c>
      <c r="AA271" t="s">
        <v>5491</v>
      </c>
      <c r="AB271" t="s">
        <v>5492</v>
      </c>
      <c r="AC271" t="s">
        <v>74</v>
      </c>
      <c r="AD271" t="s">
        <v>74</v>
      </c>
      <c r="AE271" t="s">
        <v>74</v>
      </c>
      <c r="AF271" t="s">
        <v>74</v>
      </c>
      <c r="AG271">
        <v>84</v>
      </c>
      <c r="AH271">
        <v>55</v>
      </c>
      <c r="AI271">
        <v>55</v>
      </c>
      <c r="AJ271">
        <v>51</v>
      </c>
      <c r="AK271">
        <v>249</v>
      </c>
      <c r="AL271" t="s">
        <v>437</v>
      </c>
      <c r="AM271" t="s">
        <v>438</v>
      </c>
      <c r="AN271" t="s">
        <v>439</v>
      </c>
      <c r="AO271" t="s">
        <v>5493</v>
      </c>
      <c r="AP271" t="s">
        <v>5494</v>
      </c>
      <c r="AQ271" t="s">
        <v>74</v>
      </c>
      <c r="AR271" t="s">
        <v>5495</v>
      </c>
      <c r="AS271" t="s">
        <v>5496</v>
      </c>
      <c r="AT271" t="s">
        <v>74</v>
      </c>
      <c r="AU271">
        <v>2020</v>
      </c>
      <c r="AV271">
        <v>25</v>
      </c>
      <c r="AW271">
        <v>2</v>
      </c>
      <c r="AX271" t="s">
        <v>74</v>
      </c>
      <c r="AY271" t="s">
        <v>74</v>
      </c>
      <c r="AZ271" t="s">
        <v>570</v>
      </c>
      <c r="BA271" t="s">
        <v>74</v>
      </c>
      <c r="BB271">
        <v>223</v>
      </c>
      <c r="BC271">
        <v>240</v>
      </c>
      <c r="BD271" t="s">
        <v>74</v>
      </c>
      <c r="BE271" t="s">
        <v>5497</v>
      </c>
      <c r="BF271" t="str">
        <f>HYPERLINK("http://dx.doi.org/10.1108/SCM-10-2018-0357","http://dx.doi.org/10.1108/SCM-10-2018-0357")</f>
        <v>http://dx.doi.org/10.1108/SCM-10-2018-0357</v>
      </c>
      <c r="BG271" t="s">
        <v>74</v>
      </c>
      <c r="BH271" t="s">
        <v>74</v>
      </c>
      <c r="BI271">
        <v>18</v>
      </c>
      <c r="BJ271" t="s">
        <v>849</v>
      </c>
      <c r="BK271" t="s">
        <v>242</v>
      </c>
      <c r="BL271" t="s">
        <v>419</v>
      </c>
      <c r="BM271" t="s">
        <v>5498</v>
      </c>
      <c r="BN271" t="s">
        <v>74</v>
      </c>
      <c r="BO271" t="s">
        <v>1833</v>
      </c>
      <c r="BP271" t="s">
        <v>74</v>
      </c>
      <c r="BQ271" t="s">
        <v>74</v>
      </c>
      <c r="BR271" t="s">
        <v>102</v>
      </c>
      <c r="BS271" t="s">
        <v>5499</v>
      </c>
      <c r="BT271" t="str">
        <f>HYPERLINK("https%3A%2F%2Fwww.webofscience.com%2Fwos%2Fwoscc%2Ffull-record%2FWOS:000515165100001","View Full Record in Web of Science")</f>
        <v>View Full Record in Web of Science</v>
      </c>
    </row>
    <row r="272" spans="1:72" x14ac:dyDescent="0.2">
      <c r="A272" t="s">
        <v>72</v>
      </c>
      <c r="B272" t="s">
        <v>5500</v>
      </c>
      <c r="C272" t="s">
        <v>74</v>
      </c>
      <c r="D272" t="s">
        <v>74</v>
      </c>
      <c r="E272" t="s">
        <v>74</v>
      </c>
      <c r="F272" t="s">
        <v>5501</v>
      </c>
      <c r="G272" t="s">
        <v>74</v>
      </c>
      <c r="H272" t="s">
        <v>74</v>
      </c>
      <c r="I272" t="s">
        <v>5502</v>
      </c>
      <c r="J272" t="s">
        <v>131</v>
      </c>
      <c r="K272" t="s">
        <v>74</v>
      </c>
      <c r="L272" t="s">
        <v>74</v>
      </c>
      <c r="M272" t="s">
        <v>78</v>
      </c>
      <c r="N272" t="s">
        <v>108</v>
      </c>
      <c r="O272" t="s">
        <v>74</v>
      </c>
      <c r="P272" t="s">
        <v>74</v>
      </c>
      <c r="Q272" t="s">
        <v>74</v>
      </c>
      <c r="R272" t="s">
        <v>74</v>
      </c>
      <c r="S272" t="s">
        <v>74</v>
      </c>
      <c r="T272" t="s">
        <v>5503</v>
      </c>
      <c r="U272" t="s">
        <v>74</v>
      </c>
      <c r="V272" t="s">
        <v>5504</v>
      </c>
      <c r="W272" t="s">
        <v>5505</v>
      </c>
      <c r="X272" t="s">
        <v>5506</v>
      </c>
      <c r="Y272" t="s">
        <v>5507</v>
      </c>
      <c r="Z272" t="s">
        <v>5508</v>
      </c>
      <c r="AA272" t="s">
        <v>74</v>
      </c>
      <c r="AB272" t="s">
        <v>74</v>
      </c>
      <c r="AC272" t="s">
        <v>5509</v>
      </c>
      <c r="AD272" t="s">
        <v>5510</v>
      </c>
      <c r="AE272" t="s">
        <v>5511</v>
      </c>
      <c r="AF272" t="s">
        <v>74</v>
      </c>
      <c r="AG272">
        <v>20</v>
      </c>
      <c r="AH272">
        <v>1</v>
      </c>
      <c r="AI272">
        <v>1</v>
      </c>
      <c r="AJ272">
        <v>5</v>
      </c>
      <c r="AK272">
        <v>5</v>
      </c>
      <c r="AL272" t="s">
        <v>116</v>
      </c>
      <c r="AM272" t="s">
        <v>117</v>
      </c>
      <c r="AN272" t="s">
        <v>118</v>
      </c>
      <c r="AO272" t="s">
        <v>74</v>
      </c>
      <c r="AP272" t="s">
        <v>142</v>
      </c>
      <c r="AQ272" t="s">
        <v>74</v>
      </c>
      <c r="AR272" t="s">
        <v>143</v>
      </c>
      <c r="AS272" t="s">
        <v>144</v>
      </c>
      <c r="AT272" t="s">
        <v>738</v>
      </c>
      <c r="AU272">
        <v>2023</v>
      </c>
      <c r="AV272">
        <v>15</v>
      </c>
      <c r="AW272">
        <v>4</v>
      </c>
      <c r="AX272" t="s">
        <v>74</v>
      </c>
      <c r="AY272" t="s">
        <v>74</v>
      </c>
      <c r="AZ272" t="s">
        <v>74</v>
      </c>
      <c r="BA272" t="s">
        <v>74</v>
      </c>
      <c r="BB272" t="s">
        <v>74</v>
      </c>
      <c r="BC272" t="s">
        <v>74</v>
      </c>
      <c r="BD272">
        <v>3544</v>
      </c>
      <c r="BE272" t="s">
        <v>5512</v>
      </c>
      <c r="BF272" t="str">
        <f>HYPERLINK("http://dx.doi.org/10.3390/su15043544","http://dx.doi.org/10.3390/su15043544")</f>
        <v>http://dx.doi.org/10.3390/su15043544</v>
      </c>
      <c r="BG272" t="s">
        <v>74</v>
      </c>
      <c r="BH272" t="s">
        <v>74</v>
      </c>
      <c r="BI272">
        <v>15</v>
      </c>
      <c r="BJ272" t="s">
        <v>146</v>
      </c>
      <c r="BK272" t="s">
        <v>147</v>
      </c>
      <c r="BL272" t="s">
        <v>148</v>
      </c>
      <c r="BM272" t="s">
        <v>5513</v>
      </c>
      <c r="BN272" t="s">
        <v>74</v>
      </c>
      <c r="BO272" t="s">
        <v>126</v>
      </c>
      <c r="BP272" t="s">
        <v>74</v>
      </c>
      <c r="BQ272" t="s">
        <v>74</v>
      </c>
      <c r="BR272" t="s">
        <v>102</v>
      </c>
      <c r="BS272" t="s">
        <v>5514</v>
      </c>
      <c r="BT272" t="str">
        <f>HYPERLINK("https%3A%2F%2Fwww.webofscience.com%2Fwos%2Fwoscc%2Ffull-record%2FWOS:000941354500001","View Full Record in Web of Science")</f>
        <v>View Full Record in Web of Science</v>
      </c>
    </row>
    <row r="273" spans="1:72" x14ac:dyDescent="0.2">
      <c r="A273" t="s">
        <v>72</v>
      </c>
      <c r="B273" t="s">
        <v>3501</v>
      </c>
      <c r="C273" t="s">
        <v>74</v>
      </c>
      <c r="D273" t="s">
        <v>74</v>
      </c>
      <c r="E273" t="s">
        <v>74</v>
      </c>
      <c r="F273" t="s">
        <v>3502</v>
      </c>
      <c r="G273" t="s">
        <v>74</v>
      </c>
      <c r="H273" t="s">
        <v>74</v>
      </c>
      <c r="I273" t="s">
        <v>5515</v>
      </c>
      <c r="J273" t="s">
        <v>762</v>
      </c>
      <c r="K273" t="s">
        <v>74</v>
      </c>
      <c r="L273" t="s">
        <v>74</v>
      </c>
      <c r="M273" t="s">
        <v>78</v>
      </c>
      <c r="N273" t="s">
        <v>108</v>
      </c>
      <c r="O273" t="s">
        <v>74</v>
      </c>
      <c r="P273" t="s">
        <v>74</v>
      </c>
      <c r="Q273" t="s">
        <v>74</v>
      </c>
      <c r="R273" t="s">
        <v>74</v>
      </c>
      <c r="S273" t="s">
        <v>74</v>
      </c>
      <c r="T273" t="s">
        <v>5516</v>
      </c>
      <c r="U273" t="s">
        <v>5517</v>
      </c>
      <c r="V273" t="s">
        <v>5518</v>
      </c>
      <c r="W273" t="s">
        <v>5519</v>
      </c>
      <c r="X273" t="s">
        <v>3509</v>
      </c>
      <c r="Y273" t="s">
        <v>5520</v>
      </c>
      <c r="Z273" t="s">
        <v>3511</v>
      </c>
      <c r="AA273" t="s">
        <v>3512</v>
      </c>
      <c r="AB273" t="s">
        <v>3513</v>
      </c>
      <c r="AC273" t="s">
        <v>5521</v>
      </c>
      <c r="AD273" t="s">
        <v>5522</v>
      </c>
      <c r="AE273" t="s">
        <v>5523</v>
      </c>
      <c r="AF273" t="s">
        <v>74</v>
      </c>
      <c r="AG273">
        <v>26</v>
      </c>
      <c r="AH273">
        <v>6</v>
      </c>
      <c r="AI273">
        <v>6</v>
      </c>
      <c r="AJ273">
        <v>1</v>
      </c>
      <c r="AK273">
        <v>20</v>
      </c>
      <c r="AL273" t="s">
        <v>279</v>
      </c>
      <c r="AM273" t="s">
        <v>280</v>
      </c>
      <c r="AN273" t="s">
        <v>281</v>
      </c>
      <c r="AO273" t="s">
        <v>773</v>
      </c>
      <c r="AP273" t="s">
        <v>774</v>
      </c>
      <c r="AQ273" t="s">
        <v>74</v>
      </c>
      <c r="AR273" t="s">
        <v>775</v>
      </c>
      <c r="AS273" t="s">
        <v>776</v>
      </c>
      <c r="AT273" t="s">
        <v>74</v>
      </c>
      <c r="AU273">
        <v>2016</v>
      </c>
      <c r="AV273">
        <v>54</v>
      </c>
      <c r="AW273">
        <v>18</v>
      </c>
      <c r="AX273" t="s">
        <v>74</v>
      </c>
      <c r="AY273" t="s">
        <v>74</v>
      </c>
      <c r="AZ273" t="s">
        <v>74</v>
      </c>
      <c r="BA273" t="s">
        <v>74</v>
      </c>
      <c r="BB273">
        <v>5468</v>
      </c>
      <c r="BC273">
        <v>5479</v>
      </c>
      <c r="BD273" t="s">
        <v>74</v>
      </c>
      <c r="BE273" t="s">
        <v>5524</v>
      </c>
      <c r="BF273" t="str">
        <f>HYPERLINK("http://dx.doi.org/10.1080/00207543.2016.1158879","http://dx.doi.org/10.1080/00207543.2016.1158879")</f>
        <v>http://dx.doi.org/10.1080/00207543.2016.1158879</v>
      </c>
      <c r="BG273" t="s">
        <v>74</v>
      </c>
      <c r="BH273" t="s">
        <v>74</v>
      </c>
      <c r="BI273">
        <v>12</v>
      </c>
      <c r="BJ273" t="s">
        <v>780</v>
      </c>
      <c r="BK273" t="s">
        <v>98</v>
      </c>
      <c r="BL273" t="s">
        <v>781</v>
      </c>
      <c r="BM273" t="s">
        <v>5525</v>
      </c>
      <c r="BN273" t="s">
        <v>74</v>
      </c>
      <c r="BO273" t="s">
        <v>74</v>
      </c>
      <c r="BP273" t="s">
        <v>74</v>
      </c>
      <c r="BQ273" t="s">
        <v>74</v>
      </c>
      <c r="BR273" t="s">
        <v>102</v>
      </c>
      <c r="BS273" t="s">
        <v>5526</v>
      </c>
      <c r="BT273" t="str">
        <f>HYPERLINK("https%3A%2F%2Fwww.webofscience.com%2Fwos%2Fwoscc%2Ffull-record%2FWOS:000381060800008","View Full Record in Web of Science")</f>
        <v>View Full Record in Web of Science</v>
      </c>
    </row>
    <row r="274" spans="1:72" x14ac:dyDescent="0.2">
      <c r="A274" t="s">
        <v>72</v>
      </c>
      <c r="B274" t="s">
        <v>5527</v>
      </c>
      <c r="C274" t="s">
        <v>74</v>
      </c>
      <c r="D274" t="s">
        <v>74</v>
      </c>
      <c r="E274" t="s">
        <v>74</v>
      </c>
      <c r="F274" t="s">
        <v>5528</v>
      </c>
      <c r="G274" t="s">
        <v>74</v>
      </c>
      <c r="H274" t="s">
        <v>74</v>
      </c>
      <c r="I274" t="s">
        <v>5529</v>
      </c>
      <c r="J274" t="s">
        <v>4106</v>
      </c>
      <c r="K274" t="s">
        <v>74</v>
      </c>
      <c r="L274" t="s">
        <v>74</v>
      </c>
      <c r="M274" t="s">
        <v>78</v>
      </c>
      <c r="N274" t="s">
        <v>108</v>
      </c>
      <c r="O274" t="s">
        <v>74</v>
      </c>
      <c r="P274" t="s">
        <v>74</v>
      </c>
      <c r="Q274" t="s">
        <v>74</v>
      </c>
      <c r="R274" t="s">
        <v>74</v>
      </c>
      <c r="S274" t="s">
        <v>74</v>
      </c>
      <c r="T274" t="s">
        <v>5530</v>
      </c>
      <c r="U274" t="s">
        <v>5531</v>
      </c>
      <c r="V274" t="s">
        <v>5532</v>
      </c>
      <c r="W274" t="s">
        <v>5533</v>
      </c>
      <c r="X274" t="s">
        <v>5534</v>
      </c>
      <c r="Y274" t="s">
        <v>5535</v>
      </c>
      <c r="Z274" t="s">
        <v>5536</v>
      </c>
      <c r="AA274" t="s">
        <v>5537</v>
      </c>
      <c r="AB274" t="s">
        <v>5538</v>
      </c>
      <c r="AC274" t="s">
        <v>74</v>
      </c>
      <c r="AD274" t="s">
        <v>74</v>
      </c>
      <c r="AE274" t="s">
        <v>74</v>
      </c>
      <c r="AF274" t="s">
        <v>74</v>
      </c>
      <c r="AG274">
        <v>34</v>
      </c>
      <c r="AH274">
        <v>15</v>
      </c>
      <c r="AI274">
        <v>15</v>
      </c>
      <c r="AJ274">
        <v>2</v>
      </c>
      <c r="AK274">
        <v>60</v>
      </c>
      <c r="AL274" t="s">
        <v>321</v>
      </c>
      <c r="AM274" t="s">
        <v>322</v>
      </c>
      <c r="AN274" t="s">
        <v>323</v>
      </c>
      <c r="AO274" t="s">
        <v>4115</v>
      </c>
      <c r="AP274" t="s">
        <v>4116</v>
      </c>
      <c r="AQ274" t="s">
        <v>74</v>
      </c>
      <c r="AR274" t="s">
        <v>4117</v>
      </c>
      <c r="AS274" t="s">
        <v>4118</v>
      </c>
      <c r="AT274" t="s">
        <v>738</v>
      </c>
      <c r="AU274">
        <v>2014</v>
      </c>
      <c r="AV274">
        <v>25</v>
      </c>
      <c r="AW274">
        <v>1</v>
      </c>
      <c r="AX274" t="s">
        <v>74</v>
      </c>
      <c r="AY274" t="s">
        <v>74</v>
      </c>
      <c r="AZ274" t="s">
        <v>74</v>
      </c>
      <c r="BA274" t="s">
        <v>74</v>
      </c>
      <c r="BB274">
        <v>165</v>
      </c>
      <c r="BC274">
        <v>175</v>
      </c>
      <c r="BD274" t="s">
        <v>74</v>
      </c>
      <c r="BE274" t="s">
        <v>5539</v>
      </c>
      <c r="BF274" t="str">
        <f>HYPERLINK("http://dx.doi.org/10.1007/s10845-012-0684-z","http://dx.doi.org/10.1007/s10845-012-0684-z")</f>
        <v>http://dx.doi.org/10.1007/s10845-012-0684-z</v>
      </c>
      <c r="BG274" t="s">
        <v>74</v>
      </c>
      <c r="BH274" t="s">
        <v>74</v>
      </c>
      <c r="BI274">
        <v>11</v>
      </c>
      <c r="BJ274" t="s">
        <v>4120</v>
      </c>
      <c r="BK274" t="s">
        <v>98</v>
      </c>
      <c r="BL274" t="s">
        <v>269</v>
      </c>
      <c r="BM274" t="s">
        <v>5540</v>
      </c>
      <c r="BN274" t="s">
        <v>74</v>
      </c>
      <c r="BO274" t="s">
        <v>74</v>
      </c>
      <c r="BP274" t="s">
        <v>74</v>
      </c>
      <c r="BQ274" t="s">
        <v>74</v>
      </c>
      <c r="BR274" t="s">
        <v>102</v>
      </c>
      <c r="BS274" t="s">
        <v>5541</v>
      </c>
      <c r="BT274" t="str">
        <f>HYPERLINK("https%3A%2F%2Fwww.webofscience.com%2Fwos%2Fwoscc%2Ffull-record%2FWOS:000330590600013","View Full Record in Web of Science")</f>
        <v>View Full Record in Web of Science</v>
      </c>
    </row>
    <row r="275" spans="1:72" x14ac:dyDescent="0.2">
      <c r="A275" t="s">
        <v>72</v>
      </c>
      <c r="B275" t="s">
        <v>5542</v>
      </c>
      <c r="C275" t="s">
        <v>74</v>
      </c>
      <c r="D275" t="s">
        <v>74</v>
      </c>
      <c r="E275" t="s">
        <v>74</v>
      </c>
      <c r="F275" t="s">
        <v>5543</v>
      </c>
      <c r="G275" t="s">
        <v>74</v>
      </c>
      <c r="H275" t="s">
        <v>74</v>
      </c>
      <c r="I275" t="s">
        <v>5544</v>
      </c>
      <c r="J275" t="s">
        <v>5545</v>
      </c>
      <c r="K275" t="s">
        <v>74</v>
      </c>
      <c r="L275" t="s">
        <v>74</v>
      </c>
      <c r="M275" t="s">
        <v>78</v>
      </c>
      <c r="N275" t="s">
        <v>108</v>
      </c>
      <c r="O275" t="s">
        <v>74</v>
      </c>
      <c r="P275" t="s">
        <v>74</v>
      </c>
      <c r="Q275" t="s">
        <v>74</v>
      </c>
      <c r="R275" t="s">
        <v>74</v>
      </c>
      <c r="S275" t="s">
        <v>74</v>
      </c>
      <c r="T275" t="s">
        <v>5546</v>
      </c>
      <c r="U275" t="s">
        <v>74</v>
      </c>
      <c r="V275" t="s">
        <v>5547</v>
      </c>
      <c r="W275" t="s">
        <v>5548</v>
      </c>
      <c r="X275" t="s">
        <v>5549</v>
      </c>
      <c r="Y275" t="s">
        <v>5550</v>
      </c>
      <c r="Z275" t="s">
        <v>5551</v>
      </c>
      <c r="AA275" t="s">
        <v>5552</v>
      </c>
      <c r="AB275" t="s">
        <v>5553</v>
      </c>
      <c r="AC275" t="s">
        <v>5554</v>
      </c>
      <c r="AD275" t="s">
        <v>987</v>
      </c>
      <c r="AE275" t="s">
        <v>5555</v>
      </c>
      <c r="AF275" t="s">
        <v>74</v>
      </c>
      <c r="AG275">
        <v>83</v>
      </c>
      <c r="AH275">
        <v>35</v>
      </c>
      <c r="AI275">
        <v>35</v>
      </c>
      <c r="AJ275">
        <v>29</v>
      </c>
      <c r="AK275">
        <v>252</v>
      </c>
      <c r="AL275" t="s">
        <v>437</v>
      </c>
      <c r="AM275" t="s">
        <v>438</v>
      </c>
      <c r="AN275" t="s">
        <v>439</v>
      </c>
      <c r="AO275" t="s">
        <v>5556</v>
      </c>
      <c r="AP275" t="s">
        <v>5557</v>
      </c>
      <c r="AQ275" t="s">
        <v>74</v>
      </c>
      <c r="AR275" t="s">
        <v>5558</v>
      </c>
      <c r="AS275" t="s">
        <v>5559</v>
      </c>
      <c r="AT275" t="s">
        <v>1857</v>
      </c>
      <c r="AU275">
        <v>2021</v>
      </c>
      <c r="AV275">
        <v>41</v>
      </c>
      <c r="AW275">
        <v>4</v>
      </c>
      <c r="AX275" t="s">
        <v>74</v>
      </c>
      <c r="AY275" t="s">
        <v>74</v>
      </c>
      <c r="AZ275" t="s">
        <v>570</v>
      </c>
      <c r="BA275" t="s">
        <v>74</v>
      </c>
      <c r="BB275">
        <v>410</v>
      </c>
      <c r="BC275">
        <v>435</v>
      </c>
      <c r="BD275" t="s">
        <v>74</v>
      </c>
      <c r="BE275" t="s">
        <v>5560</v>
      </c>
      <c r="BF275" t="str">
        <f>HYPERLINK("http://dx.doi.org/10.1108/IJOPM-07-2020-0485","http://dx.doi.org/10.1108/IJOPM-07-2020-0485")</f>
        <v>http://dx.doi.org/10.1108/IJOPM-07-2020-0485</v>
      </c>
      <c r="BG275" t="s">
        <v>74</v>
      </c>
      <c r="BH275" t="s">
        <v>645</v>
      </c>
      <c r="BI275">
        <v>26</v>
      </c>
      <c r="BJ275" t="s">
        <v>418</v>
      </c>
      <c r="BK275" t="s">
        <v>242</v>
      </c>
      <c r="BL275" t="s">
        <v>419</v>
      </c>
      <c r="BM275" t="s">
        <v>5561</v>
      </c>
      <c r="BN275" t="s">
        <v>74</v>
      </c>
      <c r="BO275" t="s">
        <v>74</v>
      </c>
      <c r="BP275" t="s">
        <v>74</v>
      </c>
      <c r="BQ275" t="s">
        <v>74</v>
      </c>
      <c r="BR275" t="s">
        <v>102</v>
      </c>
      <c r="BS275" t="s">
        <v>5562</v>
      </c>
      <c r="BT275" t="str">
        <f>HYPERLINK("https%3A%2F%2Fwww.webofscience.com%2Fwos%2Fwoscc%2Ffull-record%2FWOS:000634575400001","View Full Record in Web of Science")</f>
        <v>View Full Record in Web of Science</v>
      </c>
    </row>
    <row r="276" spans="1:72" x14ac:dyDescent="0.2">
      <c r="A276" t="s">
        <v>72</v>
      </c>
      <c r="B276" t="s">
        <v>5563</v>
      </c>
      <c r="C276" t="s">
        <v>74</v>
      </c>
      <c r="D276" t="s">
        <v>74</v>
      </c>
      <c r="E276" t="s">
        <v>74</v>
      </c>
      <c r="F276" t="s">
        <v>5564</v>
      </c>
      <c r="G276" t="s">
        <v>74</v>
      </c>
      <c r="H276" t="s">
        <v>74</v>
      </c>
      <c r="I276" t="s">
        <v>5565</v>
      </c>
      <c r="J276" t="s">
        <v>1467</v>
      </c>
      <c r="K276" t="s">
        <v>74</v>
      </c>
      <c r="L276" t="s">
        <v>74</v>
      </c>
      <c r="M276" t="s">
        <v>78</v>
      </c>
      <c r="N276" t="s">
        <v>108</v>
      </c>
      <c r="O276" t="s">
        <v>74</v>
      </c>
      <c r="P276" t="s">
        <v>74</v>
      </c>
      <c r="Q276" t="s">
        <v>74</v>
      </c>
      <c r="R276" t="s">
        <v>74</v>
      </c>
      <c r="S276" t="s">
        <v>74</v>
      </c>
      <c r="T276" t="s">
        <v>5566</v>
      </c>
      <c r="U276" t="s">
        <v>74</v>
      </c>
      <c r="V276" t="s">
        <v>5567</v>
      </c>
      <c r="W276" t="s">
        <v>5568</v>
      </c>
      <c r="X276" t="s">
        <v>5569</v>
      </c>
      <c r="Y276" t="s">
        <v>5570</v>
      </c>
      <c r="Z276" t="s">
        <v>5571</v>
      </c>
      <c r="AA276" t="s">
        <v>74</v>
      </c>
      <c r="AB276" t="s">
        <v>5572</v>
      </c>
      <c r="AC276" t="s">
        <v>5573</v>
      </c>
      <c r="AD276" t="s">
        <v>5574</v>
      </c>
      <c r="AE276" t="s">
        <v>5575</v>
      </c>
      <c r="AF276" t="s">
        <v>74</v>
      </c>
      <c r="AG276">
        <v>199</v>
      </c>
      <c r="AH276">
        <v>11</v>
      </c>
      <c r="AI276">
        <v>12</v>
      </c>
      <c r="AJ276">
        <v>2</v>
      </c>
      <c r="AK276">
        <v>35</v>
      </c>
      <c r="AL276" t="s">
        <v>209</v>
      </c>
      <c r="AM276" t="s">
        <v>210</v>
      </c>
      <c r="AN276" t="s">
        <v>211</v>
      </c>
      <c r="AO276" t="s">
        <v>1478</v>
      </c>
      <c r="AP276" t="s">
        <v>1479</v>
      </c>
      <c r="AQ276" t="s">
        <v>74</v>
      </c>
      <c r="AR276" t="s">
        <v>1480</v>
      </c>
      <c r="AS276" t="s">
        <v>1481</v>
      </c>
      <c r="AT276" t="s">
        <v>738</v>
      </c>
      <c r="AU276">
        <v>2021</v>
      </c>
      <c r="AV276">
        <v>125</v>
      </c>
      <c r="AW276" t="s">
        <v>74</v>
      </c>
      <c r="AX276" t="s">
        <v>74</v>
      </c>
      <c r="AY276" t="s">
        <v>74</v>
      </c>
      <c r="AZ276" t="s">
        <v>74</v>
      </c>
      <c r="BA276" t="s">
        <v>74</v>
      </c>
      <c r="BB276" t="s">
        <v>74</v>
      </c>
      <c r="BC276" t="s">
        <v>74</v>
      </c>
      <c r="BD276">
        <v>103369</v>
      </c>
      <c r="BE276" t="s">
        <v>5576</v>
      </c>
      <c r="BF276" t="str">
        <f>HYPERLINK("http://dx.doi.org/10.1016/j.compind.2020.103369","http://dx.doi.org/10.1016/j.compind.2020.103369")</f>
        <v>http://dx.doi.org/10.1016/j.compind.2020.103369</v>
      </c>
      <c r="BG276" t="s">
        <v>74</v>
      </c>
      <c r="BH276" t="s">
        <v>2780</v>
      </c>
      <c r="BI276">
        <v>25</v>
      </c>
      <c r="BJ276" t="s">
        <v>1483</v>
      </c>
      <c r="BK276" t="s">
        <v>147</v>
      </c>
      <c r="BL276" t="s">
        <v>99</v>
      </c>
      <c r="BM276" t="s">
        <v>5577</v>
      </c>
      <c r="BN276" t="s">
        <v>74</v>
      </c>
      <c r="BO276" t="s">
        <v>74</v>
      </c>
      <c r="BP276" t="s">
        <v>74</v>
      </c>
      <c r="BQ276" t="s">
        <v>74</v>
      </c>
      <c r="BR276" t="s">
        <v>102</v>
      </c>
      <c r="BS276" t="s">
        <v>5578</v>
      </c>
      <c r="BT276" t="str">
        <f>HYPERLINK("https%3A%2F%2Fwww.webofscience.com%2Fwos%2Fwoscc%2Ffull-record%2FWOS:000615986800001","View Full Record in Web of Science")</f>
        <v>View Full Record in Web of Science</v>
      </c>
    </row>
    <row r="277" spans="1:72" x14ac:dyDescent="0.2">
      <c r="A277" t="s">
        <v>72</v>
      </c>
      <c r="B277" t="s">
        <v>5579</v>
      </c>
      <c r="C277" t="s">
        <v>74</v>
      </c>
      <c r="D277" t="s">
        <v>74</v>
      </c>
      <c r="E277" t="s">
        <v>74</v>
      </c>
      <c r="F277" t="s">
        <v>5580</v>
      </c>
      <c r="G277" t="s">
        <v>74</v>
      </c>
      <c r="H277" t="s">
        <v>74</v>
      </c>
      <c r="I277" t="s">
        <v>5581</v>
      </c>
      <c r="J277" t="s">
        <v>273</v>
      </c>
      <c r="K277" t="s">
        <v>74</v>
      </c>
      <c r="L277" t="s">
        <v>74</v>
      </c>
      <c r="M277" t="s">
        <v>78</v>
      </c>
      <c r="N277" t="s">
        <v>108</v>
      </c>
      <c r="O277" t="s">
        <v>74</v>
      </c>
      <c r="P277" t="s">
        <v>74</v>
      </c>
      <c r="Q277" t="s">
        <v>74</v>
      </c>
      <c r="R277" t="s">
        <v>74</v>
      </c>
      <c r="S277" t="s">
        <v>74</v>
      </c>
      <c r="T277" t="s">
        <v>5582</v>
      </c>
      <c r="U277" t="s">
        <v>5583</v>
      </c>
      <c r="V277" t="s">
        <v>5584</v>
      </c>
      <c r="W277" t="s">
        <v>5585</v>
      </c>
      <c r="X277" t="s">
        <v>5586</v>
      </c>
      <c r="Y277" t="s">
        <v>5587</v>
      </c>
      <c r="Z277" t="s">
        <v>5588</v>
      </c>
      <c r="AA277" t="s">
        <v>74</v>
      </c>
      <c r="AB277" t="s">
        <v>5589</v>
      </c>
      <c r="AC277" t="s">
        <v>74</v>
      </c>
      <c r="AD277" t="s">
        <v>74</v>
      </c>
      <c r="AE277" t="s">
        <v>74</v>
      </c>
      <c r="AF277" t="s">
        <v>74</v>
      </c>
      <c r="AG277">
        <v>47</v>
      </c>
      <c r="AH277">
        <v>4</v>
      </c>
      <c r="AI277">
        <v>4</v>
      </c>
      <c r="AJ277">
        <v>11</v>
      </c>
      <c r="AK277">
        <v>46</v>
      </c>
      <c r="AL277" t="s">
        <v>279</v>
      </c>
      <c r="AM277" t="s">
        <v>280</v>
      </c>
      <c r="AN277" t="s">
        <v>281</v>
      </c>
      <c r="AO277" t="s">
        <v>282</v>
      </c>
      <c r="AP277" t="s">
        <v>283</v>
      </c>
      <c r="AQ277" t="s">
        <v>74</v>
      </c>
      <c r="AR277" t="s">
        <v>284</v>
      </c>
      <c r="AS277" t="s">
        <v>285</v>
      </c>
      <c r="AT277" t="s">
        <v>3821</v>
      </c>
      <c r="AU277">
        <v>2023</v>
      </c>
      <c r="AV277">
        <v>17</v>
      </c>
      <c r="AW277">
        <v>4</v>
      </c>
      <c r="AX277" t="s">
        <v>74</v>
      </c>
      <c r="AY277" t="s">
        <v>74</v>
      </c>
      <c r="AZ277" t="s">
        <v>74</v>
      </c>
      <c r="BA277" t="s">
        <v>74</v>
      </c>
      <c r="BB277" t="s">
        <v>74</v>
      </c>
      <c r="BC277" t="s">
        <v>74</v>
      </c>
      <c r="BD277" t="s">
        <v>74</v>
      </c>
      <c r="BE277" t="s">
        <v>5590</v>
      </c>
      <c r="BF277" t="str">
        <f>HYPERLINK("http://dx.doi.org/10.1080/17517575.2021.1959652","http://dx.doi.org/10.1080/17517575.2021.1959652")</f>
        <v>http://dx.doi.org/10.1080/17517575.2021.1959652</v>
      </c>
      <c r="BG277" t="s">
        <v>74</v>
      </c>
      <c r="BH277" t="s">
        <v>1373</v>
      </c>
      <c r="BI277">
        <v>22</v>
      </c>
      <c r="BJ277" t="s">
        <v>123</v>
      </c>
      <c r="BK277" t="s">
        <v>98</v>
      </c>
      <c r="BL277" t="s">
        <v>99</v>
      </c>
      <c r="BM277" t="s">
        <v>5591</v>
      </c>
      <c r="BN277" t="s">
        <v>74</v>
      </c>
      <c r="BO277" t="s">
        <v>74</v>
      </c>
      <c r="BP277" t="s">
        <v>74</v>
      </c>
      <c r="BQ277" t="s">
        <v>74</v>
      </c>
      <c r="BR277" t="s">
        <v>102</v>
      </c>
      <c r="BS277" t="s">
        <v>5592</v>
      </c>
      <c r="BT277" t="str">
        <f>HYPERLINK("https%3A%2F%2Fwww.webofscience.com%2Fwos%2Fwoscc%2Ffull-record%2FWOS:000680273500001","View Full Record in Web of Science")</f>
        <v>View Full Record in Web of Science</v>
      </c>
    </row>
    <row r="278" spans="1:72" x14ac:dyDescent="0.2">
      <c r="A278" t="s">
        <v>72</v>
      </c>
      <c r="B278" t="s">
        <v>5593</v>
      </c>
      <c r="C278" t="s">
        <v>74</v>
      </c>
      <c r="D278" t="s">
        <v>74</v>
      </c>
      <c r="E278" t="s">
        <v>74</v>
      </c>
      <c r="F278" t="s">
        <v>5594</v>
      </c>
      <c r="G278" t="s">
        <v>74</v>
      </c>
      <c r="H278" t="s">
        <v>74</v>
      </c>
      <c r="I278" t="s">
        <v>5595</v>
      </c>
      <c r="J278" t="s">
        <v>4783</v>
      </c>
      <c r="K278" t="s">
        <v>74</v>
      </c>
      <c r="L278" t="s">
        <v>74</v>
      </c>
      <c r="M278" t="s">
        <v>78</v>
      </c>
      <c r="N278" t="s">
        <v>482</v>
      </c>
      <c r="O278" t="s">
        <v>5596</v>
      </c>
      <c r="P278" t="s">
        <v>5597</v>
      </c>
      <c r="Q278" t="s">
        <v>5598</v>
      </c>
      <c r="R278" t="s">
        <v>5599</v>
      </c>
      <c r="S278" t="s">
        <v>74</v>
      </c>
      <c r="T278" t="s">
        <v>5600</v>
      </c>
      <c r="U278" t="s">
        <v>5601</v>
      </c>
      <c r="V278" t="s">
        <v>5602</v>
      </c>
      <c r="W278" t="s">
        <v>5603</v>
      </c>
      <c r="X278" t="s">
        <v>3104</v>
      </c>
      <c r="Y278" t="s">
        <v>5604</v>
      </c>
      <c r="Z278" t="s">
        <v>5605</v>
      </c>
      <c r="AA278" t="s">
        <v>5474</v>
      </c>
      <c r="AB278" t="s">
        <v>5475</v>
      </c>
      <c r="AC278" t="s">
        <v>74</v>
      </c>
      <c r="AD278" t="s">
        <v>74</v>
      </c>
      <c r="AE278" t="s">
        <v>74</v>
      </c>
      <c r="AF278" t="s">
        <v>74</v>
      </c>
      <c r="AG278">
        <v>45</v>
      </c>
      <c r="AH278">
        <v>75</v>
      </c>
      <c r="AI278">
        <v>76</v>
      </c>
      <c r="AJ278">
        <v>0</v>
      </c>
      <c r="AK278">
        <v>25</v>
      </c>
      <c r="AL278" t="s">
        <v>543</v>
      </c>
      <c r="AM278" t="s">
        <v>260</v>
      </c>
      <c r="AN278" t="s">
        <v>544</v>
      </c>
      <c r="AO278" t="s">
        <v>4796</v>
      </c>
      <c r="AP278" t="s">
        <v>4797</v>
      </c>
      <c r="AQ278" t="s">
        <v>74</v>
      </c>
      <c r="AR278" t="s">
        <v>4798</v>
      </c>
      <c r="AS278" t="s">
        <v>4799</v>
      </c>
      <c r="AT278" t="s">
        <v>800</v>
      </c>
      <c r="AU278">
        <v>2008</v>
      </c>
      <c r="AV278">
        <v>21</v>
      </c>
      <c r="AW278">
        <v>3</v>
      </c>
      <c r="AX278" t="s">
        <v>74</v>
      </c>
      <c r="AY278" t="s">
        <v>74</v>
      </c>
      <c r="AZ278" t="s">
        <v>74</v>
      </c>
      <c r="BA278" t="s">
        <v>74</v>
      </c>
      <c r="BB278">
        <v>367</v>
      </c>
      <c r="BC278">
        <v>385</v>
      </c>
      <c r="BD278" t="s">
        <v>74</v>
      </c>
      <c r="BE278" t="s">
        <v>5606</v>
      </c>
      <c r="BF278" t="str">
        <f>HYPERLINK("http://dx.doi.org/10.1016/j.engappai.2007.07.004","http://dx.doi.org/10.1016/j.engappai.2007.07.004")</f>
        <v>http://dx.doi.org/10.1016/j.engappai.2007.07.004</v>
      </c>
      <c r="BG278" t="s">
        <v>74</v>
      </c>
      <c r="BH278" t="s">
        <v>74</v>
      </c>
      <c r="BI278">
        <v>19</v>
      </c>
      <c r="BJ278" t="s">
        <v>4801</v>
      </c>
      <c r="BK278" t="s">
        <v>3093</v>
      </c>
      <c r="BL278" t="s">
        <v>4802</v>
      </c>
      <c r="BM278" t="s">
        <v>5607</v>
      </c>
      <c r="BN278" t="s">
        <v>74</v>
      </c>
      <c r="BO278" t="s">
        <v>74</v>
      </c>
      <c r="BP278" t="s">
        <v>74</v>
      </c>
      <c r="BQ278" t="s">
        <v>74</v>
      </c>
      <c r="BR278" t="s">
        <v>102</v>
      </c>
      <c r="BS278" t="s">
        <v>5608</v>
      </c>
      <c r="BT278" t="str">
        <f>HYPERLINK("https%3A%2F%2Fwww.webofscience.com%2Fwos%2Fwoscc%2Ffull-record%2FWOS:000256710200007","View Full Record in Web of Science")</f>
        <v>View Full Record in Web of Science</v>
      </c>
    </row>
    <row r="279" spans="1:72" x14ac:dyDescent="0.2">
      <c r="A279" t="s">
        <v>72</v>
      </c>
      <c r="B279" t="s">
        <v>5609</v>
      </c>
      <c r="C279" t="s">
        <v>74</v>
      </c>
      <c r="D279" t="s">
        <v>74</v>
      </c>
      <c r="E279" t="s">
        <v>74</v>
      </c>
      <c r="F279" t="s">
        <v>5610</v>
      </c>
      <c r="G279" t="s">
        <v>74</v>
      </c>
      <c r="H279" t="s">
        <v>74</v>
      </c>
      <c r="I279" t="s">
        <v>5611</v>
      </c>
      <c r="J279" t="s">
        <v>5612</v>
      </c>
      <c r="K279" t="s">
        <v>74</v>
      </c>
      <c r="L279" t="s">
        <v>74</v>
      </c>
      <c r="M279" t="s">
        <v>78</v>
      </c>
      <c r="N279" t="s">
        <v>108</v>
      </c>
      <c r="O279" t="s">
        <v>74</v>
      </c>
      <c r="P279" t="s">
        <v>74</v>
      </c>
      <c r="Q279" t="s">
        <v>74</v>
      </c>
      <c r="R279" t="s">
        <v>74</v>
      </c>
      <c r="S279" t="s">
        <v>74</v>
      </c>
      <c r="T279" t="s">
        <v>5613</v>
      </c>
      <c r="U279" t="s">
        <v>5614</v>
      </c>
      <c r="V279" t="s">
        <v>5615</v>
      </c>
      <c r="W279" t="s">
        <v>5616</v>
      </c>
      <c r="X279" t="s">
        <v>5617</v>
      </c>
      <c r="Y279" t="s">
        <v>5618</v>
      </c>
      <c r="Z279" t="s">
        <v>5619</v>
      </c>
      <c r="AA279" t="s">
        <v>74</v>
      </c>
      <c r="AB279" t="s">
        <v>5620</v>
      </c>
      <c r="AC279" t="s">
        <v>74</v>
      </c>
      <c r="AD279" t="s">
        <v>74</v>
      </c>
      <c r="AE279" t="s">
        <v>74</v>
      </c>
      <c r="AF279" t="s">
        <v>74</v>
      </c>
      <c r="AG279">
        <v>42</v>
      </c>
      <c r="AH279">
        <v>7</v>
      </c>
      <c r="AI279">
        <v>7</v>
      </c>
      <c r="AJ279">
        <v>35</v>
      </c>
      <c r="AK279">
        <v>130</v>
      </c>
      <c r="AL279" t="s">
        <v>437</v>
      </c>
      <c r="AM279" t="s">
        <v>438</v>
      </c>
      <c r="AN279" t="s">
        <v>439</v>
      </c>
      <c r="AO279" t="s">
        <v>5621</v>
      </c>
      <c r="AP279" t="s">
        <v>5622</v>
      </c>
      <c r="AQ279" t="s">
        <v>74</v>
      </c>
      <c r="AR279" t="s">
        <v>5623</v>
      </c>
      <c r="AS279" t="s">
        <v>5624</v>
      </c>
      <c r="AT279" t="s">
        <v>3944</v>
      </c>
      <c r="AU279">
        <v>2022</v>
      </c>
      <c r="AV279">
        <v>122</v>
      </c>
      <c r="AW279">
        <v>5</v>
      </c>
      <c r="AX279" t="s">
        <v>74</v>
      </c>
      <c r="AY279" t="s">
        <v>74</v>
      </c>
      <c r="AZ279" t="s">
        <v>74</v>
      </c>
      <c r="BA279" t="s">
        <v>74</v>
      </c>
      <c r="BB279">
        <v>1333</v>
      </c>
      <c r="BC279">
        <v>1354</v>
      </c>
      <c r="BD279" t="s">
        <v>74</v>
      </c>
      <c r="BE279" t="s">
        <v>5625</v>
      </c>
      <c r="BF279" t="str">
        <f>HYPERLINK("http://dx.doi.org/10.1108/IMDS-11-2021-0719","http://dx.doi.org/10.1108/IMDS-11-2021-0719")</f>
        <v>http://dx.doi.org/10.1108/IMDS-11-2021-0719</v>
      </c>
      <c r="BG279" t="s">
        <v>74</v>
      </c>
      <c r="BH279" t="s">
        <v>1099</v>
      </c>
      <c r="BI279">
        <v>22</v>
      </c>
      <c r="BJ279" t="s">
        <v>550</v>
      </c>
      <c r="BK279" t="s">
        <v>98</v>
      </c>
      <c r="BL279" t="s">
        <v>269</v>
      </c>
      <c r="BM279" t="s">
        <v>5626</v>
      </c>
      <c r="BN279" t="s">
        <v>74</v>
      </c>
      <c r="BO279" t="s">
        <v>74</v>
      </c>
      <c r="BP279" t="s">
        <v>74</v>
      </c>
      <c r="BQ279" t="s">
        <v>74</v>
      </c>
      <c r="BR279" t="s">
        <v>102</v>
      </c>
      <c r="BS279" t="s">
        <v>5627</v>
      </c>
      <c r="BT279" t="str">
        <f>HYPERLINK("https%3A%2F%2Fwww.webofscience.com%2Fwos%2Fwoscc%2Ffull-record%2FWOS:000784766100001","View Full Record in Web of Science")</f>
        <v>View Full Record in Web of Science</v>
      </c>
    </row>
    <row r="280" spans="1:72" x14ac:dyDescent="0.2">
      <c r="A280" t="s">
        <v>72</v>
      </c>
      <c r="B280" t="s">
        <v>5628</v>
      </c>
      <c r="C280" t="s">
        <v>74</v>
      </c>
      <c r="D280" t="s">
        <v>74</v>
      </c>
      <c r="E280" t="s">
        <v>74</v>
      </c>
      <c r="F280" t="s">
        <v>5629</v>
      </c>
      <c r="G280" t="s">
        <v>74</v>
      </c>
      <c r="H280" t="s">
        <v>74</v>
      </c>
      <c r="I280" t="s">
        <v>5630</v>
      </c>
      <c r="J280" t="s">
        <v>5631</v>
      </c>
      <c r="K280" t="s">
        <v>74</v>
      </c>
      <c r="L280" t="s">
        <v>74</v>
      </c>
      <c r="M280" t="s">
        <v>78</v>
      </c>
      <c r="N280" t="s">
        <v>917</v>
      </c>
      <c r="O280" t="s">
        <v>74</v>
      </c>
      <c r="P280" t="s">
        <v>74</v>
      </c>
      <c r="Q280" t="s">
        <v>74</v>
      </c>
      <c r="R280" t="s">
        <v>74</v>
      </c>
      <c r="S280" t="s">
        <v>74</v>
      </c>
      <c r="T280" t="s">
        <v>5632</v>
      </c>
      <c r="U280" t="s">
        <v>5633</v>
      </c>
      <c r="V280" t="s">
        <v>5634</v>
      </c>
      <c r="W280" t="s">
        <v>5635</v>
      </c>
      <c r="X280" t="s">
        <v>5636</v>
      </c>
      <c r="Y280" t="s">
        <v>5637</v>
      </c>
      <c r="Z280" t="s">
        <v>5638</v>
      </c>
      <c r="AA280" t="s">
        <v>5639</v>
      </c>
      <c r="AB280" t="s">
        <v>74</v>
      </c>
      <c r="AC280" t="s">
        <v>5640</v>
      </c>
      <c r="AD280" t="s">
        <v>5641</v>
      </c>
      <c r="AE280" t="s">
        <v>5642</v>
      </c>
      <c r="AF280" t="s">
        <v>74</v>
      </c>
      <c r="AG280">
        <v>64</v>
      </c>
      <c r="AH280">
        <v>2</v>
      </c>
      <c r="AI280">
        <v>2</v>
      </c>
      <c r="AJ280">
        <v>23</v>
      </c>
      <c r="AK280">
        <v>79</v>
      </c>
      <c r="AL280" t="s">
        <v>279</v>
      </c>
      <c r="AM280" t="s">
        <v>280</v>
      </c>
      <c r="AN280" t="s">
        <v>281</v>
      </c>
      <c r="AO280" t="s">
        <v>5643</v>
      </c>
      <c r="AP280" t="s">
        <v>5644</v>
      </c>
      <c r="AQ280" t="s">
        <v>74</v>
      </c>
      <c r="AR280" t="s">
        <v>5645</v>
      </c>
      <c r="AS280" t="s">
        <v>5646</v>
      </c>
      <c r="AT280" t="s">
        <v>5647</v>
      </c>
      <c r="AU280">
        <v>2021</v>
      </c>
      <c r="AV280" t="s">
        <v>74</v>
      </c>
      <c r="AW280" t="s">
        <v>74</v>
      </c>
      <c r="AX280" t="s">
        <v>74</v>
      </c>
      <c r="AY280" t="s">
        <v>74</v>
      </c>
      <c r="AZ280" t="s">
        <v>74</v>
      </c>
      <c r="BA280" t="s">
        <v>74</v>
      </c>
      <c r="BB280" t="s">
        <v>74</v>
      </c>
      <c r="BC280" t="s">
        <v>74</v>
      </c>
      <c r="BD280" t="s">
        <v>74</v>
      </c>
      <c r="BE280" t="s">
        <v>5648</v>
      </c>
      <c r="BF280" t="str">
        <f>HYPERLINK("http://dx.doi.org/10.1080/13675567.2021.2009450","http://dx.doi.org/10.1080/13675567.2021.2009450")</f>
        <v>http://dx.doi.org/10.1080/13675567.2021.2009450</v>
      </c>
      <c r="BG280" t="s">
        <v>74</v>
      </c>
      <c r="BH280" t="s">
        <v>4060</v>
      </c>
      <c r="BI280">
        <v>20</v>
      </c>
      <c r="BJ280" t="s">
        <v>418</v>
      </c>
      <c r="BK280" t="s">
        <v>242</v>
      </c>
      <c r="BL280" t="s">
        <v>419</v>
      </c>
      <c r="BM280" t="s">
        <v>5649</v>
      </c>
      <c r="BN280" t="s">
        <v>74</v>
      </c>
      <c r="BO280" t="s">
        <v>74</v>
      </c>
      <c r="BP280" t="s">
        <v>74</v>
      </c>
      <c r="BQ280" t="s">
        <v>74</v>
      </c>
      <c r="BR280" t="s">
        <v>102</v>
      </c>
      <c r="BS280" t="s">
        <v>5650</v>
      </c>
      <c r="BT280" t="str">
        <f>HYPERLINK("https%3A%2F%2Fwww.webofscience.com%2Fwos%2Fwoscc%2Ffull-record%2FWOS:000723999000001","View Full Record in Web of Science")</f>
        <v>View Full Record in Web of Science</v>
      </c>
    </row>
    <row r="281" spans="1:72" x14ac:dyDescent="0.2">
      <c r="A281" t="s">
        <v>72</v>
      </c>
      <c r="B281" t="s">
        <v>5651</v>
      </c>
      <c r="C281" t="s">
        <v>74</v>
      </c>
      <c r="D281" t="s">
        <v>74</v>
      </c>
      <c r="E281" t="s">
        <v>74</v>
      </c>
      <c r="F281" t="s">
        <v>5652</v>
      </c>
      <c r="G281" t="s">
        <v>74</v>
      </c>
      <c r="H281" t="s">
        <v>74</v>
      </c>
      <c r="I281" t="s">
        <v>5653</v>
      </c>
      <c r="J281" t="s">
        <v>5545</v>
      </c>
      <c r="K281" t="s">
        <v>74</v>
      </c>
      <c r="L281" t="s">
        <v>74</v>
      </c>
      <c r="M281" t="s">
        <v>78</v>
      </c>
      <c r="N281" t="s">
        <v>917</v>
      </c>
      <c r="O281" t="s">
        <v>74</v>
      </c>
      <c r="P281" t="s">
        <v>74</v>
      </c>
      <c r="Q281" t="s">
        <v>74</v>
      </c>
      <c r="R281" t="s">
        <v>74</v>
      </c>
      <c r="S281" t="s">
        <v>74</v>
      </c>
      <c r="T281" t="s">
        <v>5654</v>
      </c>
      <c r="U281" t="s">
        <v>5655</v>
      </c>
      <c r="V281" t="s">
        <v>5656</v>
      </c>
      <c r="W281" t="s">
        <v>5657</v>
      </c>
      <c r="X281" t="s">
        <v>5658</v>
      </c>
      <c r="Y281" t="s">
        <v>5659</v>
      </c>
      <c r="Z281" t="s">
        <v>5660</v>
      </c>
      <c r="AA281" t="s">
        <v>5661</v>
      </c>
      <c r="AB281" t="s">
        <v>5662</v>
      </c>
      <c r="AC281" t="s">
        <v>5663</v>
      </c>
      <c r="AD281" t="s">
        <v>5664</v>
      </c>
      <c r="AE281" t="s">
        <v>5665</v>
      </c>
      <c r="AF281" t="s">
        <v>74</v>
      </c>
      <c r="AG281">
        <v>96</v>
      </c>
      <c r="AH281">
        <v>0</v>
      </c>
      <c r="AI281">
        <v>0</v>
      </c>
      <c r="AJ281">
        <v>27</v>
      </c>
      <c r="AK281">
        <v>27</v>
      </c>
      <c r="AL281" t="s">
        <v>437</v>
      </c>
      <c r="AM281" t="s">
        <v>438</v>
      </c>
      <c r="AN281" t="s">
        <v>439</v>
      </c>
      <c r="AO281" t="s">
        <v>5556</v>
      </c>
      <c r="AP281" t="s">
        <v>5557</v>
      </c>
      <c r="AQ281" t="s">
        <v>74</v>
      </c>
      <c r="AR281" t="s">
        <v>5558</v>
      </c>
      <c r="AS281" t="s">
        <v>5559</v>
      </c>
      <c r="AT281" t="s">
        <v>5666</v>
      </c>
      <c r="AU281">
        <v>2023</v>
      </c>
      <c r="AV281" t="s">
        <v>74</v>
      </c>
      <c r="AW281" t="s">
        <v>74</v>
      </c>
      <c r="AX281" t="s">
        <v>74</v>
      </c>
      <c r="AY281" t="s">
        <v>74</v>
      </c>
      <c r="AZ281" t="s">
        <v>74</v>
      </c>
      <c r="BA281" t="s">
        <v>74</v>
      </c>
      <c r="BB281" t="s">
        <v>74</v>
      </c>
      <c r="BC281" t="s">
        <v>74</v>
      </c>
      <c r="BD281" t="s">
        <v>74</v>
      </c>
      <c r="BE281" t="s">
        <v>5667</v>
      </c>
      <c r="BF281" t="str">
        <f>HYPERLINK("http://dx.doi.org/10.1108/IJOPM-07-2022-0434","http://dx.doi.org/10.1108/IJOPM-07-2022-0434")</f>
        <v>http://dx.doi.org/10.1108/IJOPM-07-2022-0434</v>
      </c>
      <c r="BG281" t="s">
        <v>74</v>
      </c>
      <c r="BH281" t="s">
        <v>355</v>
      </c>
      <c r="BI281">
        <v>24</v>
      </c>
      <c r="BJ281" t="s">
        <v>418</v>
      </c>
      <c r="BK281" t="s">
        <v>242</v>
      </c>
      <c r="BL281" t="s">
        <v>419</v>
      </c>
      <c r="BM281" t="s">
        <v>5668</v>
      </c>
      <c r="BN281" t="s">
        <v>74</v>
      </c>
      <c r="BO281" t="s">
        <v>74</v>
      </c>
      <c r="BP281" t="s">
        <v>74</v>
      </c>
      <c r="BQ281" t="s">
        <v>74</v>
      </c>
      <c r="BR281" t="s">
        <v>102</v>
      </c>
      <c r="BS281" t="s">
        <v>5669</v>
      </c>
      <c r="BT281" t="str">
        <f>HYPERLINK("https%3A%2F%2Fwww.webofscience.com%2Fwos%2Fwoscc%2Ffull-record%2FWOS:000976049200001","View Full Record in Web of Science")</f>
        <v>View Full Record in Web of Science</v>
      </c>
    </row>
    <row r="282" spans="1:72" x14ac:dyDescent="0.2">
      <c r="A282" t="s">
        <v>72</v>
      </c>
      <c r="B282" t="s">
        <v>5670</v>
      </c>
      <c r="C282" t="s">
        <v>74</v>
      </c>
      <c r="D282" t="s">
        <v>74</v>
      </c>
      <c r="E282" t="s">
        <v>74</v>
      </c>
      <c r="F282" t="s">
        <v>5671</v>
      </c>
      <c r="G282" t="s">
        <v>74</v>
      </c>
      <c r="H282" t="s">
        <v>74</v>
      </c>
      <c r="I282" t="s">
        <v>5672</v>
      </c>
      <c r="J282" t="s">
        <v>1444</v>
      </c>
      <c r="K282" t="s">
        <v>74</v>
      </c>
      <c r="L282" t="s">
        <v>74</v>
      </c>
      <c r="M282" t="s">
        <v>78</v>
      </c>
      <c r="N282" t="s">
        <v>108</v>
      </c>
      <c r="O282" t="s">
        <v>74</v>
      </c>
      <c r="P282" t="s">
        <v>74</v>
      </c>
      <c r="Q282" t="s">
        <v>74</v>
      </c>
      <c r="R282" t="s">
        <v>74</v>
      </c>
      <c r="S282" t="s">
        <v>74</v>
      </c>
      <c r="T282" t="s">
        <v>5673</v>
      </c>
      <c r="U282" t="s">
        <v>5674</v>
      </c>
      <c r="V282" t="s">
        <v>5675</v>
      </c>
      <c r="W282" t="s">
        <v>5676</v>
      </c>
      <c r="X282" t="s">
        <v>5677</v>
      </c>
      <c r="Y282" t="s">
        <v>5678</v>
      </c>
      <c r="Z282" t="s">
        <v>5679</v>
      </c>
      <c r="AA282" t="s">
        <v>5680</v>
      </c>
      <c r="AB282" t="s">
        <v>5681</v>
      </c>
      <c r="AC282" t="s">
        <v>5682</v>
      </c>
      <c r="AD282" t="s">
        <v>987</v>
      </c>
      <c r="AE282" t="s">
        <v>5683</v>
      </c>
      <c r="AF282" t="s">
        <v>74</v>
      </c>
      <c r="AG282">
        <v>34</v>
      </c>
      <c r="AH282">
        <v>13</v>
      </c>
      <c r="AI282">
        <v>13</v>
      </c>
      <c r="AJ282">
        <v>4</v>
      </c>
      <c r="AK282">
        <v>51</v>
      </c>
      <c r="AL282" t="s">
        <v>321</v>
      </c>
      <c r="AM282" t="s">
        <v>348</v>
      </c>
      <c r="AN282" t="s">
        <v>1454</v>
      </c>
      <c r="AO282" t="s">
        <v>1455</v>
      </c>
      <c r="AP282" t="s">
        <v>1456</v>
      </c>
      <c r="AQ282" t="s">
        <v>74</v>
      </c>
      <c r="AR282" t="s">
        <v>1457</v>
      </c>
      <c r="AS282" t="s">
        <v>1458</v>
      </c>
      <c r="AT282" t="s">
        <v>416</v>
      </c>
      <c r="AU282">
        <v>2022</v>
      </c>
      <c r="AV282">
        <v>15</v>
      </c>
      <c r="AW282" t="s">
        <v>1459</v>
      </c>
      <c r="AX282" t="s">
        <v>74</v>
      </c>
      <c r="AY282" t="s">
        <v>74</v>
      </c>
      <c r="AZ282" t="s">
        <v>74</v>
      </c>
      <c r="BA282" t="s">
        <v>74</v>
      </c>
      <c r="BB282">
        <v>179</v>
      </c>
      <c r="BC282">
        <v>194</v>
      </c>
      <c r="BD282" t="s">
        <v>74</v>
      </c>
      <c r="BE282" t="s">
        <v>5684</v>
      </c>
      <c r="BF282" t="str">
        <f>HYPERLINK("http://dx.doi.org/10.1007/s12063-020-00170-z","http://dx.doi.org/10.1007/s12063-020-00170-z")</f>
        <v>http://dx.doi.org/10.1007/s12063-020-00170-z</v>
      </c>
      <c r="BG282" t="s">
        <v>74</v>
      </c>
      <c r="BH282" t="s">
        <v>2780</v>
      </c>
      <c r="BI282">
        <v>16</v>
      </c>
      <c r="BJ282" t="s">
        <v>418</v>
      </c>
      <c r="BK282" t="s">
        <v>242</v>
      </c>
      <c r="BL282" t="s">
        <v>419</v>
      </c>
      <c r="BM282" t="s">
        <v>1461</v>
      </c>
      <c r="BN282" t="s">
        <v>74</v>
      </c>
      <c r="BO282" t="s">
        <v>804</v>
      </c>
      <c r="BP282" t="s">
        <v>74</v>
      </c>
      <c r="BQ282" t="s">
        <v>74</v>
      </c>
      <c r="BR282" t="s">
        <v>102</v>
      </c>
      <c r="BS282" t="s">
        <v>5685</v>
      </c>
      <c r="BT282" t="str">
        <f>HYPERLINK("https%3A%2F%2Fwww.webofscience.com%2Fwos%2Fwoscc%2Ffull-record%2FWOS:000605126700001","View Full Record in Web of Science")</f>
        <v>View Full Record in Web of Science</v>
      </c>
    </row>
    <row r="283" spans="1:72" x14ac:dyDescent="0.2">
      <c r="A283" t="s">
        <v>72</v>
      </c>
      <c r="B283" t="s">
        <v>5686</v>
      </c>
      <c r="C283" t="s">
        <v>74</v>
      </c>
      <c r="D283" t="s">
        <v>74</v>
      </c>
      <c r="E283" t="s">
        <v>74</v>
      </c>
      <c r="F283" t="s">
        <v>5687</v>
      </c>
      <c r="G283" t="s">
        <v>74</v>
      </c>
      <c r="H283" t="s">
        <v>74</v>
      </c>
      <c r="I283" t="s">
        <v>5688</v>
      </c>
      <c r="J283" t="s">
        <v>5689</v>
      </c>
      <c r="K283" t="s">
        <v>74</v>
      </c>
      <c r="L283" t="s">
        <v>74</v>
      </c>
      <c r="M283" t="s">
        <v>78</v>
      </c>
      <c r="N283" t="s">
        <v>108</v>
      </c>
      <c r="O283" t="s">
        <v>74</v>
      </c>
      <c r="P283" t="s">
        <v>74</v>
      </c>
      <c r="Q283" t="s">
        <v>74</v>
      </c>
      <c r="R283" t="s">
        <v>74</v>
      </c>
      <c r="S283" t="s">
        <v>74</v>
      </c>
      <c r="T283" t="s">
        <v>5690</v>
      </c>
      <c r="U283" t="s">
        <v>5691</v>
      </c>
      <c r="V283" t="s">
        <v>5692</v>
      </c>
      <c r="W283" t="s">
        <v>5693</v>
      </c>
      <c r="X283" t="s">
        <v>5694</v>
      </c>
      <c r="Y283" t="s">
        <v>5695</v>
      </c>
      <c r="Z283" t="s">
        <v>5696</v>
      </c>
      <c r="AA283" t="s">
        <v>74</v>
      </c>
      <c r="AB283" t="s">
        <v>74</v>
      </c>
      <c r="AC283" t="s">
        <v>74</v>
      </c>
      <c r="AD283" t="s">
        <v>74</v>
      </c>
      <c r="AE283" t="s">
        <v>74</v>
      </c>
      <c r="AF283" t="s">
        <v>74</v>
      </c>
      <c r="AG283">
        <v>61</v>
      </c>
      <c r="AH283">
        <v>15</v>
      </c>
      <c r="AI283">
        <v>15</v>
      </c>
      <c r="AJ283">
        <v>3</v>
      </c>
      <c r="AK283">
        <v>14</v>
      </c>
      <c r="AL283" t="s">
        <v>437</v>
      </c>
      <c r="AM283" t="s">
        <v>438</v>
      </c>
      <c r="AN283" t="s">
        <v>439</v>
      </c>
      <c r="AO283" t="s">
        <v>5697</v>
      </c>
      <c r="AP283" t="s">
        <v>5698</v>
      </c>
      <c r="AQ283" t="s">
        <v>74</v>
      </c>
      <c r="AR283" t="s">
        <v>5699</v>
      </c>
      <c r="AS283" t="s">
        <v>5700</v>
      </c>
      <c r="AT283" t="s">
        <v>74</v>
      </c>
      <c r="AU283">
        <v>2017</v>
      </c>
      <c r="AV283">
        <v>28</v>
      </c>
      <c r="AW283">
        <v>2</v>
      </c>
      <c r="AX283" t="s">
        <v>74</v>
      </c>
      <c r="AY283" t="s">
        <v>74</v>
      </c>
      <c r="AZ283" t="s">
        <v>74</v>
      </c>
      <c r="BA283" t="s">
        <v>74</v>
      </c>
      <c r="BB283">
        <v>398</v>
      </c>
      <c r="BC283">
        <v>416</v>
      </c>
      <c r="BD283" t="s">
        <v>74</v>
      </c>
      <c r="BE283" t="s">
        <v>5701</v>
      </c>
      <c r="BF283" t="str">
        <f>HYPERLINK("http://dx.doi.org/10.1108/IJLM-12-2015-0223","http://dx.doi.org/10.1108/IJLM-12-2015-0223")</f>
        <v>http://dx.doi.org/10.1108/IJLM-12-2015-0223</v>
      </c>
      <c r="BG283" t="s">
        <v>74</v>
      </c>
      <c r="BH283" t="s">
        <v>74</v>
      </c>
      <c r="BI283">
        <v>19</v>
      </c>
      <c r="BJ283" t="s">
        <v>418</v>
      </c>
      <c r="BK283" t="s">
        <v>242</v>
      </c>
      <c r="BL283" t="s">
        <v>419</v>
      </c>
      <c r="BM283" t="s">
        <v>5702</v>
      </c>
      <c r="BN283" t="s">
        <v>74</v>
      </c>
      <c r="BO283" t="s">
        <v>594</v>
      </c>
      <c r="BP283" t="s">
        <v>74</v>
      </c>
      <c r="BQ283" t="s">
        <v>74</v>
      </c>
      <c r="BR283" t="s">
        <v>102</v>
      </c>
      <c r="BS283" t="s">
        <v>5703</v>
      </c>
      <c r="BT283" t="str">
        <f>HYPERLINK("https%3A%2F%2Fwww.webofscience.com%2Fwos%2Fwoscc%2Ffull-record%2FWOS:000402903700010","View Full Record in Web of Science")</f>
        <v>View Full Record in Web of Science</v>
      </c>
    </row>
    <row r="284" spans="1:72" x14ac:dyDescent="0.2">
      <c r="A284" t="s">
        <v>72</v>
      </c>
      <c r="B284" t="s">
        <v>5704</v>
      </c>
      <c r="C284" t="s">
        <v>74</v>
      </c>
      <c r="D284" t="s">
        <v>74</v>
      </c>
      <c r="E284" t="s">
        <v>74</v>
      </c>
      <c r="F284" t="s">
        <v>5705</v>
      </c>
      <c r="G284" t="s">
        <v>74</v>
      </c>
      <c r="H284" t="s">
        <v>74</v>
      </c>
      <c r="I284" t="s">
        <v>5706</v>
      </c>
      <c r="J284" t="s">
        <v>3226</v>
      </c>
      <c r="K284" t="s">
        <v>74</v>
      </c>
      <c r="L284" t="s">
        <v>74</v>
      </c>
      <c r="M284" t="s">
        <v>78</v>
      </c>
      <c r="N284" t="s">
        <v>108</v>
      </c>
      <c r="O284" t="s">
        <v>74</v>
      </c>
      <c r="P284" t="s">
        <v>74</v>
      </c>
      <c r="Q284" t="s">
        <v>74</v>
      </c>
      <c r="R284" t="s">
        <v>74</v>
      </c>
      <c r="S284" t="s">
        <v>74</v>
      </c>
      <c r="T284" t="s">
        <v>5707</v>
      </c>
      <c r="U284" t="s">
        <v>5708</v>
      </c>
      <c r="V284" t="s">
        <v>5709</v>
      </c>
      <c r="W284" t="s">
        <v>5710</v>
      </c>
      <c r="X284" t="s">
        <v>5711</v>
      </c>
      <c r="Y284" t="s">
        <v>5712</v>
      </c>
      <c r="Z284" t="s">
        <v>5713</v>
      </c>
      <c r="AA284" t="s">
        <v>3196</v>
      </c>
      <c r="AB284" t="s">
        <v>74</v>
      </c>
      <c r="AC284" t="s">
        <v>74</v>
      </c>
      <c r="AD284" t="s">
        <v>74</v>
      </c>
      <c r="AE284" t="s">
        <v>74</v>
      </c>
      <c r="AF284" t="s">
        <v>74</v>
      </c>
      <c r="AG284">
        <v>25</v>
      </c>
      <c r="AH284">
        <v>8</v>
      </c>
      <c r="AI284">
        <v>8</v>
      </c>
      <c r="AJ284">
        <v>1</v>
      </c>
      <c r="AK284">
        <v>13</v>
      </c>
      <c r="AL284" t="s">
        <v>279</v>
      </c>
      <c r="AM284" t="s">
        <v>280</v>
      </c>
      <c r="AN284" t="s">
        <v>281</v>
      </c>
      <c r="AO284" t="s">
        <v>3233</v>
      </c>
      <c r="AP284" t="s">
        <v>3234</v>
      </c>
      <c r="AQ284" t="s">
        <v>74</v>
      </c>
      <c r="AR284" t="s">
        <v>3235</v>
      </c>
      <c r="AS284" t="s">
        <v>3236</v>
      </c>
      <c r="AT284" t="s">
        <v>3419</v>
      </c>
      <c r="AU284">
        <v>2007</v>
      </c>
      <c r="AV284">
        <v>20</v>
      </c>
      <c r="AW284">
        <v>1</v>
      </c>
      <c r="AX284" t="s">
        <v>74</v>
      </c>
      <c r="AY284" t="s">
        <v>74</v>
      </c>
      <c r="AZ284" t="s">
        <v>74</v>
      </c>
      <c r="BA284" t="s">
        <v>74</v>
      </c>
      <c r="BB284">
        <v>39</v>
      </c>
      <c r="BC284">
        <v>56</v>
      </c>
      <c r="BD284" t="s">
        <v>74</v>
      </c>
      <c r="BE284" t="s">
        <v>5714</v>
      </c>
      <c r="BF284" t="str">
        <f>HYPERLINK("http://dx.doi.org/10.1080/09511920600795605","http://dx.doi.org/10.1080/09511920600795605")</f>
        <v>http://dx.doi.org/10.1080/09511920600795605</v>
      </c>
      <c r="BG284" t="s">
        <v>74</v>
      </c>
      <c r="BH284" t="s">
        <v>74</v>
      </c>
      <c r="BI284">
        <v>18</v>
      </c>
      <c r="BJ284" t="s">
        <v>3240</v>
      </c>
      <c r="BK284" t="s">
        <v>98</v>
      </c>
      <c r="BL284" t="s">
        <v>2060</v>
      </c>
      <c r="BM284" t="s">
        <v>5715</v>
      </c>
      <c r="BN284" t="s">
        <v>74</v>
      </c>
      <c r="BO284" t="s">
        <v>74</v>
      </c>
      <c r="BP284" t="s">
        <v>74</v>
      </c>
      <c r="BQ284" t="s">
        <v>74</v>
      </c>
      <c r="BR284" t="s">
        <v>102</v>
      </c>
      <c r="BS284" t="s">
        <v>5716</v>
      </c>
      <c r="BT284" t="str">
        <f>HYPERLINK("https%3A%2F%2Fwww.webofscience.com%2Fwos%2Fwoscc%2Ffull-record%2FWOS:000244031000004","View Full Record in Web of Science")</f>
        <v>View Full Record in Web of Science</v>
      </c>
    </row>
    <row r="285" spans="1:72" x14ac:dyDescent="0.2">
      <c r="A285" t="s">
        <v>72</v>
      </c>
      <c r="B285" t="s">
        <v>5717</v>
      </c>
      <c r="C285" t="s">
        <v>74</v>
      </c>
      <c r="D285" t="s">
        <v>74</v>
      </c>
      <c r="E285" t="s">
        <v>74</v>
      </c>
      <c r="F285" t="s">
        <v>5718</v>
      </c>
      <c r="G285" t="s">
        <v>74</v>
      </c>
      <c r="H285" t="s">
        <v>74</v>
      </c>
      <c r="I285" t="s">
        <v>5719</v>
      </c>
      <c r="J285" t="s">
        <v>5720</v>
      </c>
      <c r="K285" t="s">
        <v>74</v>
      </c>
      <c r="L285" t="s">
        <v>74</v>
      </c>
      <c r="M285" t="s">
        <v>78</v>
      </c>
      <c r="N285" t="s">
        <v>108</v>
      </c>
      <c r="O285" t="s">
        <v>74</v>
      </c>
      <c r="P285" t="s">
        <v>74</v>
      </c>
      <c r="Q285" t="s">
        <v>74</v>
      </c>
      <c r="R285" t="s">
        <v>74</v>
      </c>
      <c r="S285" t="s">
        <v>74</v>
      </c>
      <c r="T285" t="s">
        <v>5721</v>
      </c>
      <c r="U285" t="s">
        <v>5722</v>
      </c>
      <c r="V285" t="s">
        <v>5723</v>
      </c>
      <c r="W285" t="s">
        <v>5724</v>
      </c>
      <c r="X285" t="s">
        <v>2529</v>
      </c>
      <c r="Y285" t="s">
        <v>5725</v>
      </c>
      <c r="Z285" t="s">
        <v>5726</v>
      </c>
      <c r="AA285" t="s">
        <v>5727</v>
      </c>
      <c r="AB285" t="s">
        <v>5728</v>
      </c>
      <c r="AC285" t="s">
        <v>74</v>
      </c>
      <c r="AD285" t="s">
        <v>74</v>
      </c>
      <c r="AE285" t="s">
        <v>74</v>
      </c>
      <c r="AF285" t="s">
        <v>74</v>
      </c>
      <c r="AG285">
        <v>37</v>
      </c>
      <c r="AH285">
        <v>4</v>
      </c>
      <c r="AI285">
        <v>4</v>
      </c>
      <c r="AJ285">
        <v>12</v>
      </c>
      <c r="AK285">
        <v>31</v>
      </c>
      <c r="AL285" t="s">
        <v>5729</v>
      </c>
      <c r="AM285" t="s">
        <v>5730</v>
      </c>
      <c r="AN285" t="s">
        <v>5731</v>
      </c>
      <c r="AO285" t="s">
        <v>74</v>
      </c>
      <c r="AP285" t="s">
        <v>5732</v>
      </c>
      <c r="AQ285" t="s">
        <v>74</v>
      </c>
      <c r="AR285" t="s">
        <v>5733</v>
      </c>
      <c r="AS285" t="s">
        <v>5734</v>
      </c>
      <c r="AT285" t="s">
        <v>74</v>
      </c>
      <c r="AU285">
        <v>2022</v>
      </c>
      <c r="AV285">
        <v>30</v>
      </c>
      <c r="AW285">
        <v>10</v>
      </c>
      <c r="AX285" t="s">
        <v>74</v>
      </c>
      <c r="AY285" t="s">
        <v>74</v>
      </c>
      <c r="AZ285" t="s">
        <v>74</v>
      </c>
      <c r="BA285" t="s">
        <v>74</v>
      </c>
      <c r="BB285">
        <v>3679</v>
      </c>
      <c r="BC285">
        <v>3691</v>
      </c>
      <c r="BD285" t="s">
        <v>74</v>
      </c>
      <c r="BE285" t="s">
        <v>5735</v>
      </c>
      <c r="BF285" t="str">
        <f>HYPERLINK("http://dx.doi.org/10.3934/era.2022188","http://dx.doi.org/10.3934/era.2022188")</f>
        <v>http://dx.doi.org/10.3934/era.2022188</v>
      </c>
      <c r="BG285" t="s">
        <v>74</v>
      </c>
      <c r="BH285" t="s">
        <v>74</v>
      </c>
      <c r="BI285">
        <v>13</v>
      </c>
      <c r="BJ285" t="s">
        <v>1611</v>
      </c>
      <c r="BK285" t="s">
        <v>98</v>
      </c>
      <c r="BL285" t="s">
        <v>1611</v>
      </c>
      <c r="BM285" t="s">
        <v>5736</v>
      </c>
      <c r="BN285" t="s">
        <v>74</v>
      </c>
      <c r="BO285" t="s">
        <v>623</v>
      </c>
      <c r="BP285" t="s">
        <v>74</v>
      </c>
      <c r="BQ285" t="s">
        <v>74</v>
      </c>
      <c r="BR285" t="s">
        <v>102</v>
      </c>
      <c r="BS285" t="s">
        <v>5737</v>
      </c>
      <c r="BT285" t="str">
        <f>HYPERLINK("https%3A%2F%2Fwww.webofscience.com%2Fwos%2Fwoscc%2Ffull-record%2FWOS:000838353800001","View Full Record in Web of Science")</f>
        <v>View Full Record in Web of Science</v>
      </c>
    </row>
    <row r="286" spans="1:72" x14ac:dyDescent="0.2">
      <c r="A286" t="s">
        <v>72</v>
      </c>
      <c r="B286" t="s">
        <v>5738</v>
      </c>
      <c r="C286" t="s">
        <v>74</v>
      </c>
      <c r="D286" t="s">
        <v>74</v>
      </c>
      <c r="E286" t="s">
        <v>74</v>
      </c>
      <c r="F286" t="s">
        <v>5739</v>
      </c>
      <c r="G286" t="s">
        <v>74</v>
      </c>
      <c r="H286" t="s">
        <v>74</v>
      </c>
      <c r="I286" t="s">
        <v>5740</v>
      </c>
      <c r="J286" t="s">
        <v>5741</v>
      </c>
      <c r="K286" t="s">
        <v>74</v>
      </c>
      <c r="L286" t="s">
        <v>74</v>
      </c>
      <c r="M286" t="s">
        <v>78</v>
      </c>
      <c r="N286" t="s">
        <v>108</v>
      </c>
      <c r="O286" t="s">
        <v>74</v>
      </c>
      <c r="P286" t="s">
        <v>74</v>
      </c>
      <c r="Q286" t="s">
        <v>74</v>
      </c>
      <c r="R286" t="s">
        <v>74</v>
      </c>
      <c r="S286" t="s">
        <v>74</v>
      </c>
      <c r="T286" t="s">
        <v>5742</v>
      </c>
      <c r="U286" t="s">
        <v>5743</v>
      </c>
      <c r="V286" t="s">
        <v>5744</v>
      </c>
      <c r="W286" t="s">
        <v>5745</v>
      </c>
      <c r="X286" t="s">
        <v>5746</v>
      </c>
      <c r="Y286" t="s">
        <v>5747</v>
      </c>
      <c r="Z286" t="s">
        <v>5748</v>
      </c>
      <c r="AA286" t="s">
        <v>74</v>
      </c>
      <c r="AB286" t="s">
        <v>74</v>
      </c>
      <c r="AC286" t="s">
        <v>5749</v>
      </c>
      <c r="AD286" t="s">
        <v>5750</v>
      </c>
      <c r="AE286" t="s">
        <v>5751</v>
      </c>
      <c r="AF286" t="s">
        <v>74</v>
      </c>
      <c r="AG286">
        <v>29</v>
      </c>
      <c r="AH286">
        <v>14</v>
      </c>
      <c r="AI286">
        <v>14</v>
      </c>
      <c r="AJ286">
        <v>7</v>
      </c>
      <c r="AK286">
        <v>66</v>
      </c>
      <c r="AL286" t="s">
        <v>636</v>
      </c>
      <c r="AM286" t="s">
        <v>637</v>
      </c>
      <c r="AN286" t="s">
        <v>638</v>
      </c>
      <c r="AO286" t="s">
        <v>5752</v>
      </c>
      <c r="AP286" t="s">
        <v>74</v>
      </c>
      <c r="AQ286" t="s">
        <v>74</v>
      </c>
      <c r="AR286" t="s">
        <v>5753</v>
      </c>
      <c r="AS286" t="s">
        <v>5754</v>
      </c>
      <c r="AT286" t="s">
        <v>372</v>
      </c>
      <c r="AU286">
        <v>2020</v>
      </c>
      <c r="AV286">
        <v>16</v>
      </c>
      <c r="AW286">
        <v>1</v>
      </c>
      <c r="AX286" t="s">
        <v>74</v>
      </c>
      <c r="AY286" t="s">
        <v>74</v>
      </c>
      <c r="AZ286" t="s">
        <v>74</v>
      </c>
      <c r="BA286" t="s">
        <v>74</v>
      </c>
      <c r="BB286" t="s">
        <v>74</v>
      </c>
      <c r="BC286" t="s">
        <v>74</v>
      </c>
      <c r="BD286">
        <v>1550147720903631</v>
      </c>
      <c r="BE286" t="s">
        <v>5755</v>
      </c>
      <c r="BF286" t="str">
        <f>HYPERLINK("http://dx.doi.org/10.1177/1550147720903631","http://dx.doi.org/10.1177/1550147720903631")</f>
        <v>http://dx.doi.org/10.1177/1550147720903631</v>
      </c>
      <c r="BG286" t="s">
        <v>74</v>
      </c>
      <c r="BH286" t="s">
        <v>74</v>
      </c>
      <c r="BI286">
        <v>10</v>
      </c>
      <c r="BJ286" t="s">
        <v>503</v>
      </c>
      <c r="BK286" t="s">
        <v>98</v>
      </c>
      <c r="BL286" t="s">
        <v>505</v>
      </c>
      <c r="BM286" t="s">
        <v>5756</v>
      </c>
      <c r="BN286" t="s">
        <v>74</v>
      </c>
      <c r="BO286" t="s">
        <v>126</v>
      </c>
      <c r="BP286" t="s">
        <v>74</v>
      </c>
      <c r="BQ286" t="s">
        <v>74</v>
      </c>
      <c r="BR286" t="s">
        <v>102</v>
      </c>
      <c r="BS286" t="s">
        <v>5757</v>
      </c>
      <c r="BT286" t="str">
        <f>HYPERLINK("https%3A%2F%2Fwww.webofscience.com%2Fwos%2Fwoscc%2Ffull-record%2FWOS:000511177400001","View Full Record in Web of Science")</f>
        <v>View Full Record in Web of Science</v>
      </c>
    </row>
    <row r="287" spans="1:72" x14ac:dyDescent="0.2">
      <c r="A287" t="s">
        <v>72</v>
      </c>
      <c r="B287" t="s">
        <v>5758</v>
      </c>
      <c r="C287" t="s">
        <v>74</v>
      </c>
      <c r="D287" t="s">
        <v>74</v>
      </c>
      <c r="E287" t="s">
        <v>74</v>
      </c>
      <c r="F287" t="s">
        <v>5759</v>
      </c>
      <c r="G287" t="s">
        <v>74</v>
      </c>
      <c r="H287" t="s">
        <v>74</v>
      </c>
      <c r="I287" t="s">
        <v>5760</v>
      </c>
      <c r="J287" t="s">
        <v>5761</v>
      </c>
      <c r="K287" t="s">
        <v>74</v>
      </c>
      <c r="L287" t="s">
        <v>74</v>
      </c>
      <c r="M287" t="s">
        <v>78</v>
      </c>
      <c r="N287" t="s">
        <v>108</v>
      </c>
      <c r="O287" t="s">
        <v>74</v>
      </c>
      <c r="P287" t="s">
        <v>74</v>
      </c>
      <c r="Q287" t="s">
        <v>74</v>
      </c>
      <c r="R287" t="s">
        <v>74</v>
      </c>
      <c r="S287" t="s">
        <v>74</v>
      </c>
      <c r="T287" t="s">
        <v>74</v>
      </c>
      <c r="U287" t="s">
        <v>5762</v>
      </c>
      <c r="V287" t="s">
        <v>5763</v>
      </c>
      <c r="W287" t="s">
        <v>5764</v>
      </c>
      <c r="X287" t="s">
        <v>5765</v>
      </c>
      <c r="Y287" t="s">
        <v>5766</v>
      </c>
      <c r="Z287" t="s">
        <v>5767</v>
      </c>
      <c r="AA287" t="s">
        <v>74</v>
      </c>
      <c r="AB287" t="s">
        <v>74</v>
      </c>
      <c r="AC287" t="s">
        <v>74</v>
      </c>
      <c r="AD287" t="s">
        <v>74</v>
      </c>
      <c r="AE287" t="s">
        <v>74</v>
      </c>
      <c r="AF287" t="s">
        <v>74</v>
      </c>
      <c r="AG287">
        <v>11</v>
      </c>
      <c r="AH287">
        <v>0</v>
      </c>
      <c r="AI287">
        <v>0</v>
      </c>
      <c r="AJ287">
        <v>4</v>
      </c>
      <c r="AK287">
        <v>4</v>
      </c>
      <c r="AL287" t="s">
        <v>5768</v>
      </c>
      <c r="AM287" t="s">
        <v>90</v>
      </c>
      <c r="AN287" t="s">
        <v>5769</v>
      </c>
      <c r="AO287" t="s">
        <v>5770</v>
      </c>
      <c r="AP287" t="s">
        <v>5771</v>
      </c>
      <c r="AQ287" t="s">
        <v>74</v>
      </c>
      <c r="AR287" t="s">
        <v>5772</v>
      </c>
      <c r="AS287" t="s">
        <v>5773</v>
      </c>
      <c r="AT287" t="s">
        <v>738</v>
      </c>
      <c r="AU287">
        <v>2023</v>
      </c>
      <c r="AV287">
        <v>49</v>
      </c>
      <c r="AW287">
        <v>3</v>
      </c>
      <c r="AX287" t="s">
        <v>74</v>
      </c>
      <c r="AY287" t="s">
        <v>74</v>
      </c>
      <c r="AZ287" t="s">
        <v>74</v>
      </c>
      <c r="BA287" t="s">
        <v>74</v>
      </c>
      <c r="BB287">
        <v>138</v>
      </c>
      <c r="BC287">
        <v>158</v>
      </c>
      <c r="BD287" t="s">
        <v>74</v>
      </c>
      <c r="BE287" t="s">
        <v>74</v>
      </c>
      <c r="BF287" t="s">
        <v>74</v>
      </c>
      <c r="BG287" t="s">
        <v>74</v>
      </c>
      <c r="BH287" t="s">
        <v>74</v>
      </c>
      <c r="BI287">
        <v>21</v>
      </c>
      <c r="BJ287" t="s">
        <v>1527</v>
      </c>
      <c r="BK287" t="s">
        <v>242</v>
      </c>
      <c r="BL287" t="s">
        <v>419</v>
      </c>
      <c r="BM287" t="s">
        <v>5774</v>
      </c>
      <c r="BN287" t="s">
        <v>74</v>
      </c>
      <c r="BO287" t="s">
        <v>74</v>
      </c>
      <c r="BP287" t="s">
        <v>74</v>
      </c>
      <c r="BQ287" t="s">
        <v>74</v>
      </c>
      <c r="BR287" t="s">
        <v>102</v>
      </c>
      <c r="BS287" t="s">
        <v>5775</v>
      </c>
      <c r="BT287" t="str">
        <f>HYPERLINK("https%3A%2F%2Fwww.webofscience.com%2Fwos%2Fwoscc%2Ffull-record%2FWOS:000975405000009","View Full Record in Web of Science")</f>
        <v>View Full Record in Web of Science</v>
      </c>
    </row>
    <row r="288" spans="1:72" x14ac:dyDescent="0.2">
      <c r="A288" t="s">
        <v>72</v>
      </c>
      <c r="B288" t="s">
        <v>5776</v>
      </c>
      <c r="C288" t="s">
        <v>74</v>
      </c>
      <c r="D288" t="s">
        <v>74</v>
      </c>
      <c r="E288" t="s">
        <v>74</v>
      </c>
      <c r="F288" t="s">
        <v>5777</v>
      </c>
      <c r="G288" t="s">
        <v>74</v>
      </c>
      <c r="H288" t="s">
        <v>74</v>
      </c>
      <c r="I288" t="s">
        <v>5778</v>
      </c>
      <c r="J288" t="s">
        <v>5631</v>
      </c>
      <c r="K288" t="s">
        <v>74</v>
      </c>
      <c r="L288" t="s">
        <v>74</v>
      </c>
      <c r="M288" t="s">
        <v>78</v>
      </c>
      <c r="N288" t="s">
        <v>79</v>
      </c>
      <c r="O288" t="s">
        <v>74</v>
      </c>
      <c r="P288" t="s">
        <v>74</v>
      </c>
      <c r="Q288" t="s">
        <v>74</v>
      </c>
      <c r="R288" t="s">
        <v>74</v>
      </c>
      <c r="S288" t="s">
        <v>74</v>
      </c>
      <c r="T288" t="s">
        <v>5779</v>
      </c>
      <c r="U288" t="s">
        <v>5780</v>
      </c>
      <c r="V288" t="s">
        <v>5781</v>
      </c>
      <c r="W288" t="s">
        <v>5782</v>
      </c>
      <c r="X288" t="s">
        <v>5783</v>
      </c>
      <c r="Y288" t="s">
        <v>5784</v>
      </c>
      <c r="Z288" t="s">
        <v>5785</v>
      </c>
      <c r="AA288" t="s">
        <v>5786</v>
      </c>
      <c r="AB288" t="s">
        <v>5787</v>
      </c>
      <c r="AC288" t="s">
        <v>5788</v>
      </c>
      <c r="AD288" t="s">
        <v>5789</v>
      </c>
      <c r="AE288" t="s">
        <v>5790</v>
      </c>
      <c r="AF288" t="s">
        <v>74</v>
      </c>
      <c r="AG288">
        <v>165</v>
      </c>
      <c r="AH288">
        <v>0</v>
      </c>
      <c r="AI288">
        <v>0</v>
      </c>
      <c r="AJ288">
        <v>17</v>
      </c>
      <c r="AK288">
        <v>64</v>
      </c>
      <c r="AL288" t="s">
        <v>279</v>
      </c>
      <c r="AM288" t="s">
        <v>280</v>
      </c>
      <c r="AN288" t="s">
        <v>281</v>
      </c>
      <c r="AO288" t="s">
        <v>5643</v>
      </c>
      <c r="AP288" t="s">
        <v>5644</v>
      </c>
      <c r="AQ288" t="s">
        <v>74</v>
      </c>
      <c r="AR288" t="s">
        <v>5645</v>
      </c>
      <c r="AS288" t="s">
        <v>5646</v>
      </c>
      <c r="AT288" t="s">
        <v>5791</v>
      </c>
      <c r="AU288">
        <v>2023</v>
      </c>
      <c r="AV288">
        <v>26</v>
      </c>
      <c r="AW288">
        <v>8</v>
      </c>
      <c r="AX288" t="s">
        <v>74</v>
      </c>
      <c r="AY288" t="s">
        <v>74</v>
      </c>
      <c r="AZ288" t="s">
        <v>74</v>
      </c>
      <c r="BA288" t="s">
        <v>74</v>
      </c>
      <c r="BB288">
        <v>954</v>
      </c>
      <c r="BC288">
        <v>982</v>
      </c>
      <c r="BD288" t="s">
        <v>74</v>
      </c>
      <c r="BE288" t="s">
        <v>5792</v>
      </c>
      <c r="BF288" t="str">
        <f>HYPERLINK("http://dx.doi.org/10.1080/13675567.2021.2001446","http://dx.doi.org/10.1080/13675567.2021.2001446")</f>
        <v>http://dx.doi.org/10.1080/13675567.2021.2001446</v>
      </c>
      <c r="BG288" t="s">
        <v>74</v>
      </c>
      <c r="BH288" t="s">
        <v>5793</v>
      </c>
      <c r="BI288">
        <v>29</v>
      </c>
      <c r="BJ288" t="s">
        <v>418</v>
      </c>
      <c r="BK288" t="s">
        <v>242</v>
      </c>
      <c r="BL288" t="s">
        <v>419</v>
      </c>
      <c r="BM288" t="s">
        <v>5794</v>
      </c>
      <c r="BN288" t="s">
        <v>74</v>
      </c>
      <c r="BO288" t="s">
        <v>702</v>
      </c>
      <c r="BP288" t="s">
        <v>74</v>
      </c>
      <c r="BQ288" t="s">
        <v>74</v>
      </c>
      <c r="BR288" t="s">
        <v>102</v>
      </c>
      <c r="BS288" t="s">
        <v>5795</v>
      </c>
      <c r="BT288" t="str">
        <f>HYPERLINK("https%3A%2F%2Fwww.webofscience.com%2Fwos%2Fwoscc%2Ffull-record%2FWOS:000716777800001","View Full Record in Web of Science")</f>
        <v>View Full Record in Web of Science</v>
      </c>
    </row>
    <row r="289" spans="1:72" x14ac:dyDescent="0.2">
      <c r="A289" t="s">
        <v>72</v>
      </c>
      <c r="B289" t="s">
        <v>5796</v>
      </c>
      <c r="C289" t="s">
        <v>74</v>
      </c>
      <c r="D289" t="s">
        <v>74</v>
      </c>
      <c r="E289" t="s">
        <v>74</v>
      </c>
      <c r="F289" t="s">
        <v>5797</v>
      </c>
      <c r="G289" t="s">
        <v>74</v>
      </c>
      <c r="H289" t="s">
        <v>74</v>
      </c>
      <c r="I289" t="s">
        <v>5798</v>
      </c>
      <c r="J289" t="s">
        <v>2042</v>
      </c>
      <c r="K289" t="s">
        <v>74</v>
      </c>
      <c r="L289" t="s">
        <v>74</v>
      </c>
      <c r="M289" t="s">
        <v>78</v>
      </c>
      <c r="N289" t="s">
        <v>108</v>
      </c>
      <c r="O289" t="s">
        <v>74</v>
      </c>
      <c r="P289" t="s">
        <v>74</v>
      </c>
      <c r="Q289" t="s">
        <v>74</v>
      </c>
      <c r="R289" t="s">
        <v>74</v>
      </c>
      <c r="S289" t="s">
        <v>74</v>
      </c>
      <c r="T289" t="s">
        <v>5799</v>
      </c>
      <c r="U289" t="s">
        <v>5800</v>
      </c>
      <c r="V289" t="s">
        <v>5801</v>
      </c>
      <c r="W289" t="s">
        <v>5802</v>
      </c>
      <c r="X289" t="s">
        <v>74</v>
      </c>
      <c r="Y289" t="s">
        <v>5803</v>
      </c>
      <c r="Z289" t="s">
        <v>5804</v>
      </c>
      <c r="AA289" t="s">
        <v>5805</v>
      </c>
      <c r="AB289" t="s">
        <v>5806</v>
      </c>
      <c r="AC289" t="s">
        <v>74</v>
      </c>
      <c r="AD289" t="s">
        <v>74</v>
      </c>
      <c r="AE289" t="s">
        <v>74</v>
      </c>
      <c r="AF289" t="s">
        <v>74</v>
      </c>
      <c r="AG289">
        <v>77</v>
      </c>
      <c r="AH289">
        <v>12</v>
      </c>
      <c r="AI289">
        <v>12</v>
      </c>
      <c r="AJ289">
        <v>17</v>
      </c>
      <c r="AK289">
        <v>52</v>
      </c>
      <c r="AL289" t="s">
        <v>543</v>
      </c>
      <c r="AM289" t="s">
        <v>260</v>
      </c>
      <c r="AN289" t="s">
        <v>544</v>
      </c>
      <c r="AO289" t="s">
        <v>2054</v>
      </c>
      <c r="AP289" t="s">
        <v>2055</v>
      </c>
      <c r="AQ289" t="s">
        <v>74</v>
      </c>
      <c r="AR289" t="s">
        <v>2056</v>
      </c>
      <c r="AS289" t="s">
        <v>2057</v>
      </c>
      <c r="AT289" t="s">
        <v>372</v>
      </c>
      <c r="AU289">
        <v>2023</v>
      </c>
      <c r="AV289">
        <v>211</v>
      </c>
      <c r="AW289" t="s">
        <v>74</v>
      </c>
      <c r="AX289" t="s">
        <v>74</v>
      </c>
      <c r="AY289" t="s">
        <v>74</v>
      </c>
      <c r="AZ289" t="s">
        <v>74</v>
      </c>
      <c r="BA289" t="s">
        <v>74</v>
      </c>
      <c r="BB289" t="s">
        <v>74</v>
      </c>
      <c r="BC289" t="s">
        <v>74</v>
      </c>
      <c r="BD289">
        <v>118604</v>
      </c>
      <c r="BE289" t="s">
        <v>5807</v>
      </c>
      <c r="BF289" t="str">
        <f>HYPERLINK("http://dx.doi.org/10.1016/j.eswa.2022.118604","http://dx.doi.org/10.1016/j.eswa.2022.118604")</f>
        <v>http://dx.doi.org/10.1016/j.eswa.2022.118604</v>
      </c>
      <c r="BG289" t="s">
        <v>74</v>
      </c>
      <c r="BH289" t="s">
        <v>572</v>
      </c>
      <c r="BI289">
        <v>26</v>
      </c>
      <c r="BJ289" t="s">
        <v>2059</v>
      </c>
      <c r="BK289" t="s">
        <v>98</v>
      </c>
      <c r="BL289" t="s">
        <v>2060</v>
      </c>
      <c r="BM289" t="s">
        <v>5808</v>
      </c>
      <c r="BN289">
        <v>35999828</v>
      </c>
      <c r="BO289" t="s">
        <v>332</v>
      </c>
      <c r="BP289" t="s">
        <v>74</v>
      </c>
      <c r="BQ289" t="s">
        <v>74</v>
      </c>
      <c r="BR289" t="s">
        <v>102</v>
      </c>
      <c r="BS289" t="s">
        <v>5809</v>
      </c>
      <c r="BT289" t="str">
        <f>HYPERLINK("https%3A%2F%2Fwww.webofscience.com%2Fwos%2Fwoscc%2Ffull-record%2FWOS:000864672700004","View Full Record in Web of Science")</f>
        <v>View Full Record in Web of Science</v>
      </c>
    </row>
    <row r="290" spans="1:72" x14ac:dyDescent="0.2">
      <c r="A290" t="s">
        <v>72</v>
      </c>
      <c r="B290" t="s">
        <v>5810</v>
      </c>
      <c r="C290" t="s">
        <v>74</v>
      </c>
      <c r="D290" t="s">
        <v>74</v>
      </c>
      <c r="E290" t="s">
        <v>74</v>
      </c>
      <c r="F290" t="s">
        <v>5811</v>
      </c>
      <c r="G290" t="s">
        <v>74</v>
      </c>
      <c r="H290" t="s">
        <v>74</v>
      </c>
      <c r="I290" t="s">
        <v>5812</v>
      </c>
      <c r="J290" t="s">
        <v>762</v>
      </c>
      <c r="K290" t="s">
        <v>74</v>
      </c>
      <c r="L290" t="s">
        <v>74</v>
      </c>
      <c r="M290" t="s">
        <v>78</v>
      </c>
      <c r="N290" t="s">
        <v>108</v>
      </c>
      <c r="O290" t="s">
        <v>74</v>
      </c>
      <c r="P290" t="s">
        <v>74</v>
      </c>
      <c r="Q290" t="s">
        <v>74</v>
      </c>
      <c r="R290" t="s">
        <v>74</v>
      </c>
      <c r="S290" t="s">
        <v>74</v>
      </c>
      <c r="T290" t="s">
        <v>5813</v>
      </c>
      <c r="U290" t="s">
        <v>5814</v>
      </c>
      <c r="V290" t="s">
        <v>5815</v>
      </c>
      <c r="W290" t="s">
        <v>5816</v>
      </c>
      <c r="X290" t="s">
        <v>5817</v>
      </c>
      <c r="Y290" t="s">
        <v>5818</v>
      </c>
      <c r="Z290" t="s">
        <v>5819</v>
      </c>
      <c r="AA290" t="s">
        <v>74</v>
      </c>
      <c r="AB290" t="s">
        <v>74</v>
      </c>
      <c r="AC290" t="s">
        <v>74</v>
      </c>
      <c r="AD290" t="s">
        <v>74</v>
      </c>
      <c r="AE290" t="s">
        <v>74</v>
      </c>
      <c r="AF290" t="s">
        <v>74</v>
      </c>
      <c r="AG290">
        <v>30</v>
      </c>
      <c r="AH290">
        <v>146</v>
      </c>
      <c r="AI290">
        <v>149</v>
      </c>
      <c r="AJ290">
        <v>4</v>
      </c>
      <c r="AK290">
        <v>118</v>
      </c>
      <c r="AL290" t="s">
        <v>279</v>
      </c>
      <c r="AM290" t="s">
        <v>280</v>
      </c>
      <c r="AN290" t="s">
        <v>281</v>
      </c>
      <c r="AO290" t="s">
        <v>773</v>
      </c>
      <c r="AP290" t="s">
        <v>774</v>
      </c>
      <c r="AQ290" t="s">
        <v>74</v>
      </c>
      <c r="AR290" t="s">
        <v>775</v>
      </c>
      <c r="AS290" t="s">
        <v>776</v>
      </c>
      <c r="AT290" t="s">
        <v>74</v>
      </c>
      <c r="AU290">
        <v>2011</v>
      </c>
      <c r="AV290">
        <v>49</v>
      </c>
      <c r="AW290">
        <v>5</v>
      </c>
      <c r="AX290" t="s">
        <v>74</v>
      </c>
      <c r="AY290" t="s">
        <v>74</v>
      </c>
      <c r="AZ290" t="s">
        <v>74</v>
      </c>
      <c r="BA290" t="s">
        <v>74</v>
      </c>
      <c r="BB290">
        <v>1391</v>
      </c>
      <c r="BC290">
        <v>1404</v>
      </c>
      <c r="BD290" t="s">
        <v>5820</v>
      </c>
      <c r="BE290" t="s">
        <v>5821</v>
      </c>
      <c r="BF290" t="str">
        <f>HYPERLINK("http://dx.doi.org/10.1080/00207543.2010.518744","http://dx.doi.org/10.1080/00207543.2010.518744")</f>
        <v>http://dx.doi.org/10.1080/00207543.2010.518744</v>
      </c>
      <c r="BG290" t="s">
        <v>74</v>
      </c>
      <c r="BH290" t="s">
        <v>74</v>
      </c>
      <c r="BI290">
        <v>14</v>
      </c>
      <c r="BJ290" t="s">
        <v>780</v>
      </c>
      <c r="BK290" t="s">
        <v>98</v>
      </c>
      <c r="BL290" t="s">
        <v>781</v>
      </c>
      <c r="BM290" t="s">
        <v>5822</v>
      </c>
      <c r="BN290" t="s">
        <v>74</v>
      </c>
      <c r="BO290" t="s">
        <v>1833</v>
      </c>
      <c r="BP290" t="s">
        <v>74</v>
      </c>
      <c r="BQ290" t="s">
        <v>74</v>
      </c>
      <c r="BR290" t="s">
        <v>102</v>
      </c>
      <c r="BS290" t="s">
        <v>5823</v>
      </c>
      <c r="BT290" t="str">
        <f>HYPERLINK("https%3A%2F%2Fwww.webofscience.com%2Fwos%2Fwoscc%2Ffull-record%2FWOS:000285346300011","View Full Record in Web of Science")</f>
        <v>View Full Record in Web of Science</v>
      </c>
    </row>
    <row r="291" spans="1:72" x14ac:dyDescent="0.2">
      <c r="A291" t="s">
        <v>72</v>
      </c>
      <c r="B291" t="s">
        <v>5824</v>
      </c>
      <c r="C291" t="s">
        <v>74</v>
      </c>
      <c r="D291" t="s">
        <v>74</v>
      </c>
      <c r="E291" t="s">
        <v>74</v>
      </c>
      <c r="F291" t="s">
        <v>5825</v>
      </c>
      <c r="G291" t="s">
        <v>74</v>
      </c>
      <c r="H291" t="s">
        <v>74</v>
      </c>
      <c r="I291" t="s">
        <v>5826</v>
      </c>
      <c r="J291" t="s">
        <v>531</v>
      </c>
      <c r="K291" t="s">
        <v>74</v>
      </c>
      <c r="L291" t="s">
        <v>74</v>
      </c>
      <c r="M291" t="s">
        <v>78</v>
      </c>
      <c r="N291" t="s">
        <v>108</v>
      </c>
      <c r="O291" t="s">
        <v>74</v>
      </c>
      <c r="P291" t="s">
        <v>74</v>
      </c>
      <c r="Q291" t="s">
        <v>74</v>
      </c>
      <c r="R291" t="s">
        <v>74</v>
      </c>
      <c r="S291" t="s">
        <v>74</v>
      </c>
      <c r="T291" t="s">
        <v>5827</v>
      </c>
      <c r="U291" t="s">
        <v>5828</v>
      </c>
      <c r="V291" t="s">
        <v>5829</v>
      </c>
      <c r="W291" t="s">
        <v>5830</v>
      </c>
      <c r="X291" t="s">
        <v>5831</v>
      </c>
      <c r="Y291" t="s">
        <v>5832</v>
      </c>
      <c r="Z291" t="s">
        <v>5833</v>
      </c>
      <c r="AA291" t="s">
        <v>74</v>
      </c>
      <c r="AB291" t="s">
        <v>74</v>
      </c>
      <c r="AC291" t="s">
        <v>5834</v>
      </c>
      <c r="AD291" t="s">
        <v>5835</v>
      </c>
      <c r="AE291" t="s">
        <v>5836</v>
      </c>
      <c r="AF291" t="s">
        <v>74</v>
      </c>
      <c r="AG291">
        <v>58</v>
      </c>
      <c r="AH291">
        <v>0</v>
      </c>
      <c r="AI291">
        <v>0</v>
      </c>
      <c r="AJ291">
        <v>18</v>
      </c>
      <c r="AK291">
        <v>18</v>
      </c>
      <c r="AL291" t="s">
        <v>543</v>
      </c>
      <c r="AM291" t="s">
        <v>260</v>
      </c>
      <c r="AN291" t="s">
        <v>544</v>
      </c>
      <c r="AO291" t="s">
        <v>545</v>
      </c>
      <c r="AP291" t="s">
        <v>546</v>
      </c>
      <c r="AQ291" t="s">
        <v>74</v>
      </c>
      <c r="AR291" t="s">
        <v>547</v>
      </c>
      <c r="AS291" t="s">
        <v>548</v>
      </c>
      <c r="AT291" t="s">
        <v>800</v>
      </c>
      <c r="AU291">
        <v>2023</v>
      </c>
      <c r="AV291">
        <v>178</v>
      </c>
      <c r="AW291" t="s">
        <v>74</v>
      </c>
      <c r="AX291" t="s">
        <v>74</v>
      </c>
      <c r="AY291" t="s">
        <v>74</v>
      </c>
      <c r="AZ291" t="s">
        <v>74</v>
      </c>
      <c r="BA291" t="s">
        <v>74</v>
      </c>
      <c r="BB291" t="s">
        <v>74</v>
      </c>
      <c r="BC291" t="s">
        <v>74</v>
      </c>
      <c r="BD291">
        <v>109098</v>
      </c>
      <c r="BE291" t="s">
        <v>5837</v>
      </c>
      <c r="BF291" t="str">
        <f>HYPERLINK("http://dx.doi.org/10.1016/j.cie.2023.109098","http://dx.doi.org/10.1016/j.cie.2023.109098")</f>
        <v>http://dx.doi.org/10.1016/j.cie.2023.109098</v>
      </c>
      <c r="BG291" t="s">
        <v>74</v>
      </c>
      <c r="BH291" t="s">
        <v>619</v>
      </c>
      <c r="BI291">
        <v>16</v>
      </c>
      <c r="BJ291" t="s">
        <v>550</v>
      </c>
      <c r="BK291" t="s">
        <v>98</v>
      </c>
      <c r="BL291" t="s">
        <v>269</v>
      </c>
      <c r="BM291" t="s">
        <v>5838</v>
      </c>
      <c r="BN291" t="s">
        <v>74</v>
      </c>
      <c r="BO291" t="s">
        <v>74</v>
      </c>
      <c r="BP291" t="s">
        <v>74</v>
      </c>
      <c r="BQ291" t="s">
        <v>74</v>
      </c>
      <c r="BR291" t="s">
        <v>102</v>
      </c>
      <c r="BS291" t="s">
        <v>5839</v>
      </c>
      <c r="BT291" t="str">
        <f>HYPERLINK("https%3A%2F%2Fwww.webofscience.com%2Fwos%2Fwoscc%2Ffull-record%2FWOS:000951733600001","View Full Record in Web of Science")</f>
        <v>View Full Record in Web of Science</v>
      </c>
    </row>
    <row r="292" spans="1:72" x14ac:dyDescent="0.2">
      <c r="A292" t="s">
        <v>72</v>
      </c>
      <c r="B292" t="s">
        <v>5840</v>
      </c>
      <c r="C292" t="s">
        <v>74</v>
      </c>
      <c r="D292" t="s">
        <v>74</v>
      </c>
      <c r="E292" t="s">
        <v>74</v>
      </c>
      <c r="F292" t="s">
        <v>5841</v>
      </c>
      <c r="G292" t="s">
        <v>74</v>
      </c>
      <c r="H292" t="s">
        <v>74</v>
      </c>
      <c r="I292" t="s">
        <v>5842</v>
      </c>
      <c r="J292" t="s">
        <v>2468</v>
      </c>
      <c r="K292" t="s">
        <v>74</v>
      </c>
      <c r="L292" t="s">
        <v>74</v>
      </c>
      <c r="M292" t="s">
        <v>78</v>
      </c>
      <c r="N292" t="s">
        <v>108</v>
      </c>
      <c r="O292" t="s">
        <v>74</v>
      </c>
      <c r="P292" t="s">
        <v>74</v>
      </c>
      <c r="Q292" t="s">
        <v>74</v>
      </c>
      <c r="R292" t="s">
        <v>74</v>
      </c>
      <c r="S292" t="s">
        <v>74</v>
      </c>
      <c r="T292" t="s">
        <v>5843</v>
      </c>
      <c r="U292" t="s">
        <v>5844</v>
      </c>
      <c r="V292" t="s">
        <v>5845</v>
      </c>
      <c r="W292" t="s">
        <v>5846</v>
      </c>
      <c r="X292" t="s">
        <v>5847</v>
      </c>
      <c r="Y292" t="s">
        <v>5848</v>
      </c>
      <c r="Z292" t="s">
        <v>5849</v>
      </c>
      <c r="AA292" t="s">
        <v>74</v>
      </c>
      <c r="AB292" t="s">
        <v>74</v>
      </c>
      <c r="AC292" t="s">
        <v>5850</v>
      </c>
      <c r="AD292" t="s">
        <v>5850</v>
      </c>
      <c r="AE292" t="s">
        <v>5851</v>
      </c>
      <c r="AF292" t="s">
        <v>74</v>
      </c>
      <c r="AG292">
        <v>12</v>
      </c>
      <c r="AH292">
        <v>1</v>
      </c>
      <c r="AI292">
        <v>1</v>
      </c>
      <c r="AJ292">
        <v>12</v>
      </c>
      <c r="AK292">
        <v>38</v>
      </c>
      <c r="AL292" t="s">
        <v>2478</v>
      </c>
      <c r="AM292" t="s">
        <v>90</v>
      </c>
      <c r="AN292" t="s">
        <v>2479</v>
      </c>
      <c r="AO292" t="s">
        <v>2480</v>
      </c>
      <c r="AP292" t="s">
        <v>2481</v>
      </c>
      <c r="AQ292" t="s">
        <v>74</v>
      </c>
      <c r="AR292" t="s">
        <v>2468</v>
      </c>
      <c r="AS292" t="s">
        <v>2482</v>
      </c>
      <c r="AT292" t="s">
        <v>800</v>
      </c>
      <c r="AU292">
        <v>2022</v>
      </c>
      <c r="AV292">
        <v>22</v>
      </c>
      <c r="AW292">
        <v>4</v>
      </c>
      <c r="AX292" t="s">
        <v>74</v>
      </c>
      <c r="AY292" t="s">
        <v>74</v>
      </c>
      <c r="AZ292" t="s">
        <v>74</v>
      </c>
      <c r="BA292" t="s">
        <v>74</v>
      </c>
      <c r="BB292">
        <v>4387</v>
      </c>
      <c r="BC292">
        <v>4399</v>
      </c>
      <c r="BD292" t="s">
        <v>74</v>
      </c>
      <c r="BE292" t="s">
        <v>5852</v>
      </c>
      <c r="BF292" t="str">
        <f>HYPERLINK("http://dx.doi.org/10.2166/ws.2022.057","http://dx.doi.org/10.2166/ws.2022.057")</f>
        <v>http://dx.doi.org/10.2166/ws.2022.057</v>
      </c>
      <c r="BG292" t="s">
        <v>74</v>
      </c>
      <c r="BH292" t="s">
        <v>470</v>
      </c>
      <c r="BI292">
        <v>13</v>
      </c>
      <c r="BJ292" t="s">
        <v>2484</v>
      </c>
      <c r="BK292" t="s">
        <v>98</v>
      </c>
      <c r="BL292" t="s">
        <v>2485</v>
      </c>
      <c r="BM292" t="s">
        <v>5853</v>
      </c>
      <c r="BN292" t="s">
        <v>74</v>
      </c>
      <c r="BO292" t="s">
        <v>126</v>
      </c>
      <c r="BP292" t="s">
        <v>74</v>
      </c>
      <c r="BQ292" t="s">
        <v>74</v>
      </c>
      <c r="BR292" t="s">
        <v>102</v>
      </c>
      <c r="BS292" t="s">
        <v>5854</v>
      </c>
      <c r="BT292" t="str">
        <f>HYPERLINK("https%3A%2F%2Fwww.webofscience.com%2Fwos%2Fwoscc%2Ffull-record%2FWOS:000757521600001","View Full Record in Web of Science")</f>
        <v>View Full Record in Web of Science</v>
      </c>
    </row>
    <row r="293" spans="1:72" x14ac:dyDescent="0.2">
      <c r="A293" t="s">
        <v>72</v>
      </c>
      <c r="B293" t="s">
        <v>5855</v>
      </c>
      <c r="C293" t="s">
        <v>74</v>
      </c>
      <c r="D293" t="s">
        <v>74</v>
      </c>
      <c r="E293" t="s">
        <v>74</v>
      </c>
      <c r="F293" t="s">
        <v>5856</v>
      </c>
      <c r="G293" t="s">
        <v>74</v>
      </c>
      <c r="H293" t="s">
        <v>74</v>
      </c>
      <c r="I293" t="s">
        <v>5857</v>
      </c>
      <c r="J293" t="s">
        <v>1317</v>
      </c>
      <c r="K293" t="s">
        <v>74</v>
      </c>
      <c r="L293" t="s">
        <v>74</v>
      </c>
      <c r="M293" t="s">
        <v>78</v>
      </c>
      <c r="N293" t="s">
        <v>108</v>
      </c>
      <c r="O293" t="s">
        <v>74</v>
      </c>
      <c r="P293" t="s">
        <v>74</v>
      </c>
      <c r="Q293" t="s">
        <v>74</v>
      </c>
      <c r="R293" t="s">
        <v>74</v>
      </c>
      <c r="S293" t="s">
        <v>74</v>
      </c>
      <c r="T293" t="s">
        <v>5858</v>
      </c>
      <c r="U293" t="s">
        <v>5859</v>
      </c>
      <c r="V293" t="s">
        <v>5860</v>
      </c>
      <c r="W293" t="s">
        <v>5861</v>
      </c>
      <c r="X293" t="s">
        <v>5862</v>
      </c>
      <c r="Y293" t="s">
        <v>5863</v>
      </c>
      <c r="Z293" t="s">
        <v>5864</v>
      </c>
      <c r="AA293" t="s">
        <v>5865</v>
      </c>
      <c r="AB293" t="s">
        <v>5866</v>
      </c>
      <c r="AC293" t="s">
        <v>74</v>
      </c>
      <c r="AD293" t="s">
        <v>74</v>
      </c>
      <c r="AE293" t="s">
        <v>74</v>
      </c>
      <c r="AF293" t="s">
        <v>74</v>
      </c>
      <c r="AG293">
        <v>60</v>
      </c>
      <c r="AH293">
        <v>13</v>
      </c>
      <c r="AI293">
        <v>15</v>
      </c>
      <c r="AJ293">
        <v>3</v>
      </c>
      <c r="AK293">
        <v>38</v>
      </c>
      <c r="AL293" t="s">
        <v>437</v>
      </c>
      <c r="AM293" t="s">
        <v>438</v>
      </c>
      <c r="AN293" t="s">
        <v>439</v>
      </c>
      <c r="AO293" t="s">
        <v>1325</v>
      </c>
      <c r="AP293" t="s">
        <v>1326</v>
      </c>
      <c r="AQ293" t="s">
        <v>74</v>
      </c>
      <c r="AR293" t="s">
        <v>1327</v>
      </c>
      <c r="AS293" t="s">
        <v>1328</v>
      </c>
      <c r="AT293" t="s">
        <v>74</v>
      </c>
      <c r="AU293">
        <v>2018</v>
      </c>
      <c r="AV293">
        <v>25</v>
      </c>
      <c r="AW293">
        <v>5</v>
      </c>
      <c r="AX293" t="s">
        <v>74</v>
      </c>
      <c r="AY293" t="s">
        <v>74</v>
      </c>
      <c r="AZ293" t="s">
        <v>74</v>
      </c>
      <c r="BA293" t="s">
        <v>74</v>
      </c>
      <c r="BB293">
        <v>1302</v>
      </c>
      <c r="BC293">
        <v>1318</v>
      </c>
      <c r="BD293" t="s">
        <v>74</v>
      </c>
      <c r="BE293" t="s">
        <v>5867</v>
      </c>
      <c r="BF293" t="str">
        <f>HYPERLINK("http://dx.doi.org/10.1108/BIJ-06-2015-0059","http://dx.doi.org/10.1108/BIJ-06-2015-0059")</f>
        <v>http://dx.doi.org/10.1108/BIJ-06-2015-0059</v>
      </c>
      <c r="BG293" t="s">
        <v>74</v>
      </c>
      <c r="BH293" t="s">
        <v>74</v>
      </c>
      <c r="BI293">
        <v>17</v>
      </c>
      <c r="BJ293" t="s">
        <v>418</v>
      </c>
      <c r="BK293" t="s">
        <v>124</v>
      </c>
      <c r="BL293" t="s">
        <v>419</v>
      </c>
      <c r="BM293" t="s">
        <v>5868</v>
      </c>
      <c r="BN293" t="s">
        <v>74</v>
      </c>
      <c r="BO293" t="s">
        <v>74</v>
      </c>
      <c r="BP293" t="s">
        <v>74</v>
      </c>
      <c r="BQ293" t="s">
        <v>74</v>
      </c>
      <c r="BR293" t="s">
        <v>102</v>
      </c>
      <c r="BS293" t="s">
        <v>5869</v>
      </c>
      <c r="BT293" t="str">
        <f>HYPERLINK("https%3A%2F%2Fwww.webofscience.com%2Fwos%2Fwoscc%2Ffull-record%2FWOS:000435821300003","View Full Record in Web of Science")</f>
        <v>View Full Record in Web of Science</v>
      </c>
    </row>
    <row r="294" spans="1:72" x14ac:dyDescent="0.2">
      <c r="A294" t="s">
        <v>72</v>
      </c>
      <c r="B294" t="s">
        <v>5870</v>
      </c>
      <c r="C294" t="s">
        <v>74</v>
      </c>
      <c r="D294" t="s">
        <v>74</v>
      </c>
      <c r="E294" t="s">
        <v>74</v>
      </c>
      <c r="F294" t="s">
        <v>5871</v>
      </c>
      <c r="G294" t="s">
        <v>74</v>
      </c>
      <c r="H294" t="s">
        <v>74</v>
      </c>
      <c r="I294" t="s">
        <v>5872</v>
      </c>
      <c r="J294" t="s">
        <v>5873</v>
      </c>
      <c r="K294" t="s">
        <v>74</v>
      </c>
      <c r="L294" t="s">
        <v>74</v>
      </c>
      <c r="M294" t="s">
        <v>78</v>
      </c>
      <c r="N294" t="s">
        <v>108</v>
      </c>
      <c r="O294" t="s">
        <v>74</v>
      </c>
      <c r="P294" t="s">
        <v>74</v>
      </c>
      <c r="Q294" t="s">
        <v>74</v>
      </c>
      <c r="R294" t="s">
        <v>74</v>
      </c>
      <c r="S294" t="s">
        <v>74</v>
      </c>
      <c r="T294" t="s">
        <v>5874</v>
      </c>
      <c r="U294" t="s">
        <v>5875</v>
      </c>
      <c r="V294" t="s">
        <v>5876</v>
      </c>
      <c r="W294" t="s">
        <v>5877</v>
      </c>
      <c r="X294" t="s">
        <v>5878</v>
      </c>
      <c r="Y294" t="s">
        <v>5879</v>
      </c>
      <c r="Z294" t="s">
        <v>5880</v>
      </c>
      <c r="AA294" t="s">
        <v>5881</v>
      </c>
      <c r="AB294" t="s">
        <v>5882</v>
      </c>
      <c r="AC294" t="s">
        <v>74</v>
      </c>
      <c r="AD294" t="s">
        <v>74</v>
      </c>
      <c r="AE294" t="s">
        <v>74</v>
      </c>
      <c r="AF294" t="s">
        <v>74</v>
      </c>
      <c r="AG294">
        <v>55</v>
      </c>
      <c r="AH294">
        <v>57</v>
      </c>
      <c r="AI294">
        <v>58</v>
      </c>
      <c r="AJ294">
        <v>13</v>
      </c>
      <c r="AK294">
        <v>79</v>
      </c>
      <c r="AL294" t="s">
        <v>259</v>
      </c>
      <c r="AM294" t="s">
        <v>260</v>
      </c>
      <c r="AN294" t="s">
        <v>261</v>
      </c>
      <c r="AO294" t="s">
        <v>5883</v>
      </c>
      <c r="AP294" t="s">
        <v>5884</v>
      </c>
      <c r="AQ294" t="s">
        <v>74</v>
      </c>
      <c r="AR294" t="s">
        <v>5873</v>
      </c>
      <c r="AS294" t="s">
        <v>5885</v>
      </c>
      <c r="AT294" t="s">
        <v>174</v>
      </c>
      <c r="AU294">
        <v>2018</v>
      </c>
      <c r="AV294">
        <v>126</v>
      </c>
      <c r="AW294" t="s">
        <v>74</v>
      </c>
      <c r="AX294" t="s">
        <v>74</v>
      </c>
      <c r="AY294" t="s">
        <v>74</v>
      </c>
      <c r="AZ294" t="s">
        <v>74</v>
      </c>
      <c r="BA294" t="s">
        <v>74</v>
      </c>
      <c r="BB294">
        <v>259</v>
      </c>
      <c r="BC294">
        <v>273</v>
      </c>
      <c r="BD294" t="s">
        <v>74</v>
      </c>
      <c r="BE294" t="s">
        <v>5886</v>
      </c>
      <c r="BF294" t="str">
        <f>HYPERLINK("http://dx.doi.org/10.1016/j.measurement.2018.05.043","http://dx.doi.org/10.1016/j.measurement.2018.05.043")</f>
        <v>http://dx.doi.org/10.1016/j.measurement.2018.05.043</v>
      </c>
      <c r="BG294" t="s">
        <v>74</v>
      </c>
      <c r="BH294" t="s">
        <v>74</v>
      </c>
      <c r="BI294">
        <v>15</v>
      </c>
      <c r="BJ294" t="s">
        <v>2156</v>
      </c>
      <c r="BK294" t="s">
        <v>147</v>
      </c>
      <c r="BL294" t="s">
        <v>2157</v>
      </c>
      <c r="BM294" t="s">
        <v>5887</v>
      </c>
      <c r="BN294" t="s">
        <v>74</v>
      </c>
      <c r="BO294" t="s">
        <v>74</v>
      </c>
      <c r="BP294" t="s">
        <v>74</v>
      </c>
      <c r="BQ294" t="s">
        <v>74</v>
      </c>
      <c r="BR294" t="s">
        <v>102</v>
      </c>
      <c r="BS294" t="s">
        <v>5888</v>
      </c>
      <c r="BT294" t="str">
        <f>HYPERLINK("https%3A%2F%2Fwww.webofscience.com%2Fwos%2Fwoscc%2Ffull-record%2FWOS:000444627000027","View Full Record in Web of Science")</f>
        <v>View Full Record in Web of Science</v>
      </c>
    </row>
    <row r="295" spans="1:72" x14ac:dyDescent="0.2">
      <c r="A295" t="s">
        <v>72</v>
      </c>
      <c r="B295" t="s">
        <v>5889</v>
      </c>
      <c r="C295" t="s">
        <v>74</v>
      </c>
      <c r="D295" t="s">
        <v>74</v>
      </c>
      <c r="E295" t="s">
        <v>74</v>
      </c>
      <c r="F295" t="s">
        <v>5890</v>
      </c>
      <c r="G295" t="s">
        <v>74</v>
      </c>
      <c r="H295" t="s">
        <v>74</v>
      </c>
      <c r="I295" t="s">
        <v>5891</v>
      </c>
      <c r="J295" t="s">
        <v>2826</v>
      </c>
      <c r="K295" t="s">
        <v>74</v>
      </c>
      <c r="L295" t="s">
        <v>74</v>
      </c>
      <c r="M295" t="s">
        <v>78</v>
      </c>
      <c r="N295" t="s">
        <v>108</v>
      </c>
      <c r="O295" t="s">
        <v>74</v>
      </c>
      <c r="P295" t="s">
        <v>74</v>
      </c>
      <c r="Q295" t="s">
        <v>74</v>
      </c>
      <c r="R295" t="s">
        <v>74</v>
      </c>
      <c r="S295" t="s">
        <v>74</v>
      </c>
      <c r="T295" t="s">
        <v>5892</v>
      </c>
      <c r="U295" t="s">
        <v>5893</v>
      </c>
      <c r="V295" t="s">
        <v>5894</v>
      </c>
      <c r="W295" t="s">
        <v>5895</v>
      </c>
      <c r="X295" t="s">
        <v>5896</v>
      </c>
      <c r="Y295" t="s">
        <v>5897</v>
      </c>
      <c r="Z295" t="s">
        <v>5898</v>
      </c>
      <c r="AA295" t="s">
        <v>5899</v>
      </c>
      <c r="AB295" t="s">
        <v>74</v>
      </c>
      <c r="AC295" t="s">
        <v>74</v>
      </c>
      <c r="AD295" t="s">
        <v>74</v>
      </c>
      <c r="AE295" t="s">
        <v>74</v>
      </c>
      <c r="AF295" t="s">
        <v>74</v>
      </c>
      <c r="AG295">
        <v>71</v>
      </c>
      <c r="AH295">
        <v>62</v>
      </c>
      <c r="AI295">
        <v>63</v>
      </c>
      <c r="AJ295">
        <v>2</v>
      </c>
      <c r="AK295">
        <v>65</v>
      </c>
      <c r="AL295" t="s">
        <v>437</v>
      </c>
      <c r="AM295" t="s">
        <v>438</v>
      </c>
      <c r="AN295" t="s">
        <v>439</v>
      </c>
      <c r="AO295" t="s">
        <v>2836</v>
      </c>
      <c r="AP295" t="s">
        <v>2837</v>
      </c>
      <c r="AQ295" t="s">
        <v>74</v>
      </c>
      <c r="AR295" t="s">
        <v>2838</v>
      </c>
      <c r="AS295" t="s">
        <v>2839</v>
      </c>
      <c r="AT295" t="s">
        <v>74</v>
      </c>
      <c r="AU295">
        <v>2008</v>
      </c>
      <c r="AV295">
        <v>46</v>
      </c>
      <c r="AW295">
        <v>10</v>
      </c>
      <c r="AX295" t="s">
        <v>74</v>
      </c>
      <c r="AY295" t="s">
        <v>74</v>
      </c>
      <c r="AZ295" t="s">
        <v>74</v>
      </c>
      <c r="BA295" t="s">
        <v>74</v>
      </c>
      <c r="BB295">
        <v>1508</v>
      </c>
      <c r="BC295">
        <v>1530</v>
      </c>
      <c r="BD295" t="s">
        <v>74</v>
      </c>
      <c r="BE295" t="s">
        <v>5900</v>
      </c>
      <c r="BF295" t="str">
        <f>HYPERLINK("http://dx.doi.org/10.1108/00251740810920010","http://dx.doi.org/10.1108/00251740810920010")</f>
        <v>http://dx.doi.org/10.1108/00251740810920010</v>
      </c>
      <c r="BG295" t="s">
        <v>74</v>
      </c>
      <c r="BH295" t="s">
        <v>74</v>
      </c>
      <c r="BI295">
        <v>23</v>
      </c>
      <c r="BJ295" t="s">
        <v>849</v>
      </c>
      <c r="BK295" t="s">
        <v>242</v>
      </c>
      <c r="BL295" t="s">
        <v>419</v>
      </c>
      <c r="BM295" t="s">
        <v>5901</v>
      </c>
      <c r="BN295" t="s">
        <v>74</v>
      </c>
      <c r="BO295" t="s">
        <v>74</v>
      </c>
      <c r="BP295" t="s">
        <v>74</v>
      </c>
      <c r="BQ295" t="s">
        <v>74</v>
      </c>
      <c r="BR295" t="s">
        <v>102</v>
      </c>
      <c r="BS295" t="s">
        <v>5902</v>
      </c>
      <c r="BT295" t="str">
        <f>HYPERLINK("https%3A%2F%2Fwww.webofscience.com%2Fwos%2Fwoscc%2Ffull-record%2FWOS:000261745600005","View Full Record in Web of Science")</f>
        <v>View Full Record in Web of Science</v>
      </c>
    </row>
    <row r="296" spans="1:72" x14ac:dyDescent="0.2">
      <c r="A296" t="s">
        <v>72</v>
      </c>
      <c r="B296" t="s">
        <v>5903</v>
      </c>
      <c r="C296" t="s">
        <v>74</v>
      </c>
      <c r="D296" t="s">
        <v>74</v>
      </c>
      <c r="E296" t="s">
        <v>74</v>
      </c>
      <c r="F296" t="s">
        <v>5904</v>
      </c>
      <c r="G296" t="s">
        <v>74</v>
      </c>
      <c r="H296" t="s">
        <v>74</v>
      </c>
      <c r="I296" t="s">
        <v>5905</v>
      </c>
      <c r="J296" t="s">
        <v>77</v>
      </c>
      <c r="K296" t="s">
        <v>74</v>
      </c>
      <c r="L296" t="s">
        <v>74</v>
      </c>
      <c r="M296" t="s">
        <v>78</v>
      </c>
      <c r="N296" t="s">
        <v>108</v>
      </c>
      <c r="O296" t="s">
        <v>74</v>
      </c>
      <c r="P296" t="s">
        <v>74</v>
      </c>
      <c r="Q296" t="s">
        <v>74</v>
      </c>
      <c r="R296" t="s">
        <v>74</v>
      </c>
      <c r="S296" t="s">
        <v>74</v>
      </c>
      <c r="T296" t="s">
        <v>5906</v>
      </c>
      <c r="U296" t="s">
        <v>5907</v>
      </c>
      <c r="V296" t="s">
        <v>5908</v>
      </c>
      <c r="W296" t="s">
        <v>5909</v>
      </c>
      <c r="X296" t="s">
        <v>5910</v>
      </c>
      <c r="Y296" t="s">
        <v>5911</v>
      </c>
      <c r="Z296" t="s">
        <v>5912</v>
      </c>
      <c r="AA296" t="s">
        <v>74</v>
      </c>
      <c r="AB296" t="s">
        <v>5913</v>
      </c>
      <c r="AC296" t="s">
        <v>74</v>
      </c>
      <c r="AD296" t="s">
        <v>74</v>
      </c>
      <c r="AE296" t="s">
        <v>74</v>
      </c>
      <c r="AF296" t="s">
        <v>74</v>
      </c>
      <c r="AG296">
        <v>133</v>
      </c>
      <c r="AH296">
        <v>65</v>
      </c>
      <c r="AI296">
        <v>65</v>
      </c>
      <c r="AJ296">
        <v>27</v>
      </c>
      <c r="AK296">
        <v>108</v>
      </c>
      <c r="AL296" t="s">
        <v>89</v>
      </c>
      <c r="AM296" t="s">
        <v>90</v>
      </c>
      <c r="AN296" t="s">
        <v>91</v>
      </c>
      <c r="AO296" t="s">
        <v>74</v>
      </c>
      <c r="AP296" t="s">
        <v>92</v>
      </c>
      <c r="AQ296" t="s">
        <v>74</v>
      </c>
      <c r="AR296" t="s">
        <v>93</v>
      </c>
      <c r="AS296" t="s">
        <v>94</v>
      </c>
      <c r="AT296" t="s">
        <v>5914</v>
      </c>
      <c r="AU296">
        <v>2020</v>
      </c>
      <c r="AV296">
        <v>7</v>
      </c>
      <c r="AW296">
        <v>1</v>
      </c>
      <c r="AX296" t="s">
        <v>74</v>
      </c>
      <c r="AY296" t="s">
        <v>74</v>
      </c>
      <c r="AZ296" t="s">
        <v>74</v>
      </c>
      <c r="BA296" t="s">
        <v>74</v>
      </c>
      <c r="BB296" t="s">
        <v>74</v>
      </c>
      <c r="BC296" t="s">
        <v>74</v>
      </c>
      <c r="BD296">
        <v>53</v>
      </c>
      <c r="BE296" t="s">
        <v>5915</v>
      </c>
      <c r="BF296" t="str">
        <f>HYPERLINK("http://dx.doi.org/10.1186/s40537-020-00329-2","http://dx.doi.org/10.1186/s40537-020-00329-2")</f>
        <v>http://dx.doi.org/10.1186/s40537-020-00329-2</v>
      </c>
      <c r="BG296" t="s">
        <v>74</v>
      </c>
      <c r="BH296" t="s">
        <v>74</v>
      </c>
      <c r="BI296">
        <v>22</v>
      </c>
      <c r="BJ296" t="s">
        <v>97</v>
      </c>
      <c r="BK296" t="s">
        <v>98</v>
      </c>
      <c r="BL296" t="s">
        <v>99</v>
      </c>
      <c r="BM296" t="s">
        <v>5916</v>
      </c>
      <c r="BN296" t="s">
        <v>74</v>
      </c>
      <c r="BO296" t="s">
        <v>5917</v>
      </c>
      <c r="BP296" t="s">
        <v>74</v>
      </c>
      <c r="BQ296" t="s">
        <v>74</v>
      </c>
      <c r="BR296" t="s">
        <v>102</v>
      </c>
      <c r="BS296" t="s">
        <v>5918</v>
      </c>
      <c r="BT296" t="str">
        <f>HYPERLINK("https%3A%2F%2Fwww.webofscience.com%2Fwos%2Fwoscc%2Ffull-record%2FWOS:000595984800001","View Full Record in Web of Science")</f>
        <v>View Full Record in Web of Science</v>
      </c>
    </row>
    <row r="297" spans="1:72" x14ac:dyDescent="0.2">
      <c r="A297" t="s">
        <v>72</v>
      </c>
      <c r="B297" t="s">
        <v>5919</v>
      </c>
      <c r="C297" t="s">
        <v>74</v>
      </c>
      <c r="D297" t="s">
        <v>74</v>
      </c>
      <c r="E297" t="s">
        <v>74</v>
      </c>
      <c r="F297" t="s">
        <v>5920</v>
      </c>
      <c r="G297" t="s">
        <v>74</v>
      </c>
      <c r="H297" t="s">
        <v>74</v>
      </c>
      <c r="I297" t="s">
        <v>5921</v>
      </c>
      <c r="J297" t="s">
        <v>787</v>
      </c>
      <c r="K297" t="s">
        <v>74</v>
      </c>
      <c r="L297" t="s">
        <v>74</v>
      </c>
      <c r="M297" t="s">
        <v>78</v>
      </c>
      <c r="N297" t="s">
        <v>108</v>
      </c>
      <c r="O297" t="s">
        <v>74</v>
      </c>
      <c r="P297" t="s">
        <v>74</v>
      </c>
      <c r="Q297" t="s">
        <v>74</v>
      </c>
      <c r="R297" t="s">
        <v>74</v>
      </c>
      <c r="S297" t="s">
        <v>74</v>
      </c>
      <c r="T297" t="s">
        <v>5922</v>
      </c>
      <c r="U297" t="s">
        <v>5923</v>
      </c>
      <c r="V297" t="s">
        <v>5924</v>
      </c>
      <c r="W297" t="s">
        <v>5925</v>
      </c>
      <c r="X297" t="s">
        <v>5926</v>
      </c>
      <c r="Y297" t="s">
        <v>5927</v>
      </c>
      <c r="Z297" t="s">
        <v>74</v>
      </c>
      <c r="AA297" t="s">
        <v>5928</v>
      </c>
      <c r="AB297" t="s">
        <v>5929</v>
      </c>
      <c r="AC297" t="s">
        <v>74</v>
      </c>
      <c r="AD297" t="s">
        <v>74</v>
      </c>
      <c r="AE297" t="s">
        <v>74</v>
      </c>
      <c r="AF297" t="s">
        <v>74</v>
      </c>
      <c r="AG297">
        <v>22</v>
      </c>
      <c r="AH297">
        <v>42</v>
      </c>
      <c r="AI297">
        <v>44</v>
      </c>
      <c r="AJ297">
        <v>1</v>
      </c>
      <c r="AK297">
        <v>99</v>
      </c>
      <c r="AL297" t="s">
        <v>5930</v>
      </c>
      <c r="AM297" t="s">
        <v>410</v>
      </c>
      <c r="AN297" t="s">
        <v>411</v>
      </c>
      <c r="AO297" t="s">
        <v>796</v>
      </c>
      <c r="AP297" t="s">
        <v>74</v>
      </c>
      <c r="AQ297" t="s">
        <v>74</v>
      </c>
      <c r="AR297" t="s">
        <v>798</v>
      </c>
      <c r="AS297" t="s">
        <v>799</v>
      </c>
      <c r="AT297" t="s">
        <v>121</v>
      </c>
      <c r="AU297">
        <v>2012</v>
      </c>
      <c r="AV297">
        <v>48</v>
      </c>
      <c r="AW297">
        <v>3</v>
      </c>
      <c r="AX297" t="s">
        <v>74</v>
      </c>
      <c r="AY297" t="s">
        <v>74</v>
      </c>
      <c r="AZ297" t="s">
        <v>74</v>
      </c>
      <c r="BA297" t="s">
        <v>74</v>
      </c>
      <c r="BB297">
        <v>15</v>
      </c>
      <c r="BC297">
        <v>23</v>
      </c>
      <c r="BD297" t="s">
        <v>74</v>
      </c>
      <c r="BE297" t="s">
        <v>5931</v>
      </c>
      <c r="BF297" t="str">
        <f>HYPERLINK("http://dx.doi.org/10.1111/j.1745-493X.2012.03268.x","http://dx.doi.org/10.1111/j.1745-493X.2012.03268.x")</f>
        <v>http://dx.doi.org/10.1111/j.1745-493X.2012.03268.x</v>
      </c>
      <c r="BG297" t="s">
        <v>74</v>
      </c>
      <c r="BH297" t="s">
        <v>74</v>
      </c>
      <c r="BI297">
        <v>9</v>
      </c>
      <c r="BJ297" t="s">
        <v>418</v>
      </c>
      <c r="BK297" t="s">
        <v>242</v>
      </c>
      <c r="BL297" t="s">
        <v>419</v>
      </c>
      <c r="BM297" t="s">
        <v>5932</v>
      </c>
      <c r="BN297" t="s">
        <v>74</v>
      </c>
      <c r="BO297" t="s">
        <v>74</v>
      </c>
      <c r="BP297" t="s">
        <v>74</v>
      </c>
      <c r="BQ297" t="s">
        <v>74</v>
      </c>
      <c r="BR297" t="s">
        <v>102</v>
      </c>
      <c r="BS297" t="s">
        <v>5933</v>
      </c>
      <c r="BT297" t="str">
        <f>HYPERLINK("https%3A%2F%2Fwww.webofscience.com%2Fwos%2Fwoscc%2Ffull-record%2FWOS:000306898400003","View Full Record in Web of Science")</f>
        <v>View Full Record in Web of Science</v>
      </c>
    </row>
    <row r="298" spans="1:72" x14ac:dyDescent="0.2">
      <c r="A298" t="s">
        <v>72</v>
      </c>
      <c r="B298" t="s">
        <v>5934</v>
      </c>
      <c r="C298" t="s">
        <v>74</v>
      </c>
      <c r="D298" t="s">
        <v>74</v>
      </c>
      <c r="E298" t="s">
        <v>74</v>
      </c>
      <c r="F298" t="s">
        <v>5935</v>
      </c>
      <c r="G298" t="s">
        <v>74</v>
      </c>
      <c r="H298" t="s">
        <v>74</v>
      </c>
      <c r="I298" t="s">
        <v>5936</v>
      </c>
      <c r="J298" t="s">
        <v>131</v>
      </c>
      <c r="K298" t="s">
        <v>74</v>
      </c>
      <c r="L298" t="s">
        <v>74</v>
      </c>
      <c r="M298" t="s">
        <v>78</v>
      </c>
      <c r="N298" t="s">
        <v>108</v>
      </c>
      <c r="O298" t="s">
        <v>74</v>
      </c>
      <c r="P298" t="s">
        <v>74</v>
      </c>
      <c r="Q298" t="s">
        <v>74</v>
      </c>
      <c r="R298" t="s">
        <v>74</v>
      </c>
      <c r="S298" t="s">
        <v>74</v>
      </c>
      <c r="T298" t="s">
        <v>5937</v>
      </c>
      <c r="U298" t="s">
        <v>5938</v>
      </c>
      <c r="V298" t="s">
        <v>5939</v>
      </c>
      <c r="W298" t="s">
        <v>5940</v>
      </c>
      <c r="X298" t="s">
        <v>5941</v>
      </c>
      <c r="Y298" t="s">
        <v>5942</v>
      </c>
      <c r="Z298" t="s">
        <v>5943</v>
      </c>
      <c r="AA298" t="s">
        <v>5944</v>
      </c>
      <c r="AB298" t="s">
        <v>5945</v>
      </c>
      <c r="AC298" t="s">
        <v>5946</v>
      </c>
      <c r="AD298" t="s">
        <v>5947</v>
      </c>
      <c r="AE298" t="s">
        <v>5948</v>
      </c>
      <c r="AF298" t="s">
        <v>74</v>
      </c>
      <c r="AG298">
        <v>41</v>
      </c>
      <c r="AH298">
        <v>1</v>
      </c>
      <c r="AI298">
        <v>1</v>
      </c>
      <c r="AJ298">
        <v>25</v>
      </c>
      <c r="AK298">
        <v>25</v>
      </c>
      <c r="AL298" t="s">
        <v>116</v>
      </c>
      <c r="AM298" t="s">
        <v>117</v>
      </c>
      <c r="AN298" t="s">
        <v>118</v>
      </c>
      <c r="AO298" t="s">
        <v>74</v>
      </c>
      <c r="AP298" t="s">
        <v>142</v>
      </c>
      <c r="AQ298" t="s">
        <v>74</v>
      </c>
      <c r="AR298" t="s">
        <v>143</v>
      </c>
      <c r="AS298" t="s">
        <v>144</v>
      </c>
      <c r="AT298" t="s">
        <v>5949</v>
      </c>
      <c r="AU298">
        <v>2023</v>
      </c>
      <c r="AV298">
        <v>15</v>
      </c>
      <c r="AW298">
        <v>9</v>
      </c>
      <c r="AX298" t="s">
        <v>74</v>
      </c>
      <c r="AY298" t="s">
        <v>74</v>
      </c>
      <c r="AZ298" t="s">
        <v>74</v>
      </c>
      <c r="BA298" t="s">
        <v>74</v>
      </c>
      <c r="BB298" t="s">
        <v>74</v>
      </c>
      <c r="BC298" t="s">
        <v>74</v>
      </c>
      <c r="BD298">
        <v>7382</v>
      </c>
      <c r="BE298" t="s">
        <v>5950</v>
      </c>
      <c r="BF298" t="str">
        <f>HYPERLINK("http://dx.doi.org/10.3390/su15097382","http://dx.doi.org/10.3390/su15097382")</f>
        <v>http://dx.doi.org/10.3390/su15097382</v>
      </c>
      <c r="BG298" t="s">
        <v>74</v>
      </c>
      <c r="BH298" t="s">
        <v>74</v>
      </c>
      <c r="BI298">
        <v>14</v>
      </c>
      <c r="BJ298" t="s">
        <v>146</v>
      </c>
      <c r="BK298" t="s">
        <v>147</v>
      </c>
      <c r="BL298" t="s">
        <v>148</v>
      </c>
      <c r="BM298" t="s">
        <v>5951</v>
      </c>
      <c r="BN298" t="s">
        <v>74</v>
      </c>
      <c r="BO298" t="s">
        <v>101</v>
      </c>
      <c r="BP298" t="s">
        <v>74</v>
      </c>
      <c r="BQ298" t="s">
        <v>74</v>
      </c>
      <c r="BR298" t="s">
        <v>102</v>
      </c>
      <c r="BS298" t="s">
        <v>5952</v>
      </c>
      <c r="BT298" t="str">
        <f>HYPERLINK("https%3A%2F%2Fwww.webofscience.com%2Fwos%2Fwoscc%2Ffull-record%2FWOS:000988177400001","View Full Record in Web of Science")</f>
        <v>View Full Record in Web of Science</v>
      </c>
    </row>
    <row r="299" spans="1:72" x14ac:dyDescent="0.2">
      <c r="A299" t="s">
        <v>72</v>
      </c>
      <c r="B299" t="s">
        <v>5953</v>
      </c>
      <c r="C299" t="s">
        <v>74</v>
      </c>
      <c r="D299" t="s">
        <v>74</v>
      </c>
      <c r="E299" t="s">
        <v>74</v>
      </c>
      <c r="F299" t="s">
        <v>5954</v>
      </c>
      <c r="G299" t="s">
        <v>74</v>
      </c>
      <c r="H299" t="s">
        <v>74</v>
      </c>
      <c r="I299" t="s">
        <v>5955</v>
      </c>
      <c r="J299" t="s">
        <v>2042</v>
      </c>
      <c r="K299" t="s">
        <v>74</v>
      </c>
      <c r="L299" t="s">
        <v>74</v>
      </c>
      <c r="M299" t="s">
        <v>78</v>
      </c>
      <c r="N299" t="s">
        <v>108</v>
      </c>
      <c r="O299" t="s">
        <v>74</v>
      </c>
      <c r="P299" t="s">
        <v>74</v>
      </c>
      <c r="Q299" t="s">
        <v>74</v>
      </c>
      <c r="R299" t="s">
        <v>74</v>
      </c>
      <c r="S299" t="s">
        <v>74</v>
      </c>
      <c r="T299" t="s">
        <v>5956</v>
      </c>
      <c r="U299" t="s">
        <v>5957</v>
      </c>
      <c r="V299" t="s">
        <v>5958</v>
      </c>
      <c r="W299" t="s">
        <v>5959</v>
      </c>
      <c r="X299" t="s">
        <v>5960</v>
      </c>
      <c r="Y299" t="s">
        <v>5961</v>
      </c>
      <c r="Z299" t="s">
        <v>5962</v>
      </c>
      <c r="AA299" t="s">
        <v>5963</v>
      </c>
      <c r="AB299" t="s">
        <v>5964</v>
      </c>
      <c r="AC299" t="s">
        <v>5965</v>
      </c>
      <c r="AD299" t="s">
        <v>5966</v>
      </c>
      <c r="AE299" t="s">
        <v>5967</v>
      </c>
      <c r="AF299" t="s">
        <v>74</v>
      </c>
      <c r="AG299">
        <v>65</v>
      </c>
      <c r="AH299">
        <v>14</v>
      </c>
      <c r="AI299">
        <v>14</v>
      </c>
      <c r="AJ299">
        <v>1</v>
      </c>
      <c r="AK299">
        <v>36</v>
      </c>
      <c r="AL299" t="s">
        <v>543</v>
      </c>
      <c r="AM299" t="s">
        <v>260</v>
      </c>
      <c r="AN299" t="s">
        <v>544</v>
      </c>
      <c r="AO299" t="s">
        <v>2054</v>
      </c>
      <c r="AP299" t="s">
        <v>2055</v>
      </c>
      <c r="AQ299" t="s">
        <v>74</v>
      </c>
      <c r="AR299" t="s">
        <v>2056</v>
      </c>
      <c r="AS299" t="s">
        <v>2057</v>
      </c>
      <c r="AT299" t="s">
        <v>5968</v>
      </c>
      <c r="AU299">
        <v>2012</v>
      </c>
      <c r="AV299">
        <v>39</v>
      </c>
      <c r="AW299">
        <v>18</v>
      </c>
      <c r="AX299" t="s">
        <v>74</v>
      </c>
      <c r="AY299" t="s">
        <v>74</v>
      </c>
      <c r="AZ299" t="s">
        <v>74</v>
      </c>
      <c r="BA299" t="s">
        <v>74</v>
      </c>
      <c r="BB299">
        <v>13277</v>
      </c>
      <c r="BC299">
        <v>13288</v>
      </c>
      <c r="BD299" t="s">
        <v>74</v>
      </c>
      <c r="BE299" t="s">
        <v>5969</v>
      </c>
      <c r="BF299" t="str">
        <f>HYPERLINK("http://dx.doi.org/10.1016/j.eswa.2012.05.074","http://dx.doi.org/10.1016/j.eswa.2012.05.074")</f>
        <v>http://dx.doi.org/10.1016/j.eswa.2012.05.074</v>
      </c>
      <c r="BG299" t="s">
        <v>74</v>
      </c>
      <c r="BH299" t="s">
        <v>74</v>
      </c>
      <c r="BI299">
        <v>12</v>
      </c>
      <c r="BJ299" t="s">
        <v>2059</v>
      </c>
      <c r="BK299" t="s">
        <v>98</v>
      </c>
      <c r="BL299" t="s">
        <v>2060</v>
      </c>
      <c r="BM299" t="s">
        <v>5970</v>
      </c>
      <c r="BN299" t="s">
        <v>74</v>
      </c>
      <c r="BO299" t="s">
        <v>74</v>
      </c>
      <c r="BP299" t="s">
        <v>74</v>
      </c>
      <c r="BQ299" t="s">
        <v>74</v>
      </c>
      <c r="BR299" t="s">
        <v>102</v>
      </c>
      <c r="BS299" t="s">
        <v>5971</v>
      </c>
      <c r="BT299" t="str">
        <f>HYPERLINK("https%3A%2F%2Fwww.webofscience.com%2Fwos%2Fwoscc%2Ffull-record%2FWOS:000308684400021","View Full Record in Web of Science")</f>
        <v>View Full Record in Web of Science</v>
      </c>
    </row>
    <row r="300" spans="1:72" x14ac:dyDescent="0.2">
      <c r="A300" t="s">
        <v>72</v>
      </c>
      <c r="B300" t="s">
        <v>5972</v>
      </c>
      <c r="C300" t="s">
        <v>74</v>
      </c>
      <c r="D300" t="s">
        <v>74</v>
      </c>
      <c r="E300" t="s">
        <v>74</v>
      </c>
      <c r="F300" t="s">
        <v>5973</v>
      </c>
      <c r="G300" t="s">
        <v>74</v>
      </c>
      <c r="H300" t="s">
        <v>74</v>
      </c>
      <c r="I300" t="s">
        <v>5974</v>
      </c>
      <c r="J300" t="s">
        <v>3951</v>
      </c>
      <c r="K300" t="s">
        <v>74</v>
      </c>
      <c r="L300" t="s">
        <v>74</v>
      </c>
      <c r="M300" t="s">
        <v>78</v>
      </c>
      <c r="N300" t="s">
        <v>108</v>
      </c>
      <c r="O300" t="s">
        <v>74</v>
      </c>
      <c r="P300" t="s">
        <v>74</v>
      </c>
      <c r="Q300" t="s">
        <v>74</v>
      </c>
      <c r="R300" t="s">
        <v>74</v>
      </c>
      <c r="S300" t="s">
        <v>74</v>
      </c>
      <c r="T300" t="s">
        <v>74</v>
      </c>
      <c r="U300" t="s">
        <v>74</v>
      </c>
      <c r="V300" t="s">
        <v>5975</v>
      </c>
      <c r="W300" t="s">
        <v>5976</v>
      </c>
      <c r="X300" t="s">
        <v>74</v>
      </c>
      <c r="Y300" t="s">
        <v>5977</v>
      </c>
      <c r="Z300" t="s">
        <v>5978</v>
      </c>
      <c r="AA300" t="s">
        <v>5979</v>
      </c>
      <c r="AB300" t="s">
        <v>5980</v>
      </c>
      <c r="AC300" t="s">
        <v>74</v>
      </c>
      <c r="AD300" t="s">
        <v>74</v>
      </c>
      <c r="AE300" t="s">
        <v>74</v>
      </c>
      <c r="AF300" t="s">
        <v>74</v>
      </c>
      <c r="AG300">
        <v>22</v>
      </c>
      <c r="AH300">
        <v>0</v>
      </c>
      <c r="AI300">
        <v>0</v>
      </c>
      <c r="AJ300">
        <v>4</v>
      </c>
      <c r="AK300">
        <v>12</v>
      </c>
      <c r="AL300" t="s">
        <v>3963</v>
      </c>
      <c r="AM300" t="s">
        <v>90</v>
      </c>
      <c r="AN300" t="s">
        <v>3964</v>
      </c>
      <c r="AO300" t="s">
        <v>3965</v>
      </c>
      <c r="AP300" t="s">
        <v>3966</v>
      </c>
      <c r="AQ300" t="s">
        <v>74</v>
      </c>
      <c r="AR300" t="s">
        <v>3967</v>
      </c>
      <c r="AS300" t="s">
        <v>3968</v>
      </c>
      <c r="AT300" t="s">
        <v>5981</v>
      </c>
      <c r="AU300">
        <v>2022</v>
      </c>
      <c r="AV300">
        <v>2022</v>
      </c>
      <c r="AW300" t="s">
        <v>74</v>
      </c>
      <c r="AX300" t="s">
        <v>74</v>
      </c>
      <c r="AY300" t="s">
        <v>74</v>
      </c>
      <c r="AZ300" t="s">
        <v>74</v>
      </c>
      <c r="BA300" t="s">
        <v>74</v>
      </c>
      <c r="BB300" t="s">
        <v>74</v>
      </c>
      <c r="BC300" t="s">
        <v>74</v>
      </c>
      <c r="BD300">
        <v>4299756</v>
      </c>
      <c r="BE300" t="s">
        <v>5982</v>
      </c>
      <c r="BF300" t="str">
        <f>HYPERLINK("http://dx.doi.org/10.1155/2022/4299756","http://dx.doi.org/10.1155/2022/4299756")</f>
        <v>http://dx.doi.org/10.1155/2022/4299756</v>
      </c>
      <c r="BG300" t="s">
        <v>74</v>
      </c>
      <c r="BH300" t="s">
        <v>74</v>
      </c>
      <c r="BI300">
        <v>8</v>
      </c>
      <c r="BJ300" t="s">
        <v>3970</v>
      </c>
      <c r="BK300" t="s">
        <v>98</v>
      </c>
      <c r="BL300" t="s">
        <v>3971</v>
      </c>
      <c r="BM300" t="s">
        <v>5983</v>
      </c>
      <c r="BN300" t="s">
        <v>74</v>
      </c>
      <c r="BO300" t="s">
        <v>126</v>
      </c>
      <c r="BP300" t="s">
        <v>74</v>
      </c>
      <c r="BQ300" t="s">
        <v>74</v>
      </c>
      <c r="BR300" t="s">
        <v>102</v>
      </c>
      <c r="BS300" t="s">
        <v>5984</v>
      </c>
      <c r="BT300" t="str">
        <f>HYPERLINK("https%3A%2F%2Fwww.webofscience.com%2Fwos%2Fwoscc%2Ffull-record%2FWOS:000848407800012","View Full Record in Web of Science")</f>
        <v>View Full Record in Web of Science</v>
      </c>
    </row>
    <row r="301" spans="1:72" x14ac:dyDescent="0.2">
      <c r="A301" t="s">
        <v>72</v>
      </c>
      <c r="B301" t="s">
        <v>5985</v>
      </c>
      <c r="C301" t="s">
        <v>74</v>
      </c>
      <c r="D301" t="s">
        <v>74</v>
      </c>
      <c r="E301" t="s">
        <v>74</v>
      </c>
      <c r="F301" t="s">
        <v>5986</v>
      </c>
      <c r="G301" t="s">
        <v>74</v>
      </c>
      <c r="H301" t="s">
        <v>74</v>
      </c>
      <c r="I301" t="s">
        <v>5987</v>
      </c>
      <c r="J301" t="s">
        <v>5988</v>
      </c>
      <c r="K301" t="s">
        <v>74</v>
      </c>
      <c r="L301" t="s">
        <v>74</v>
      </c>
      <c r="M301" t="s">
        <v>78</v>
      </c>
      <c r="N301" t="s">
        <v>108</v>
      </c>
      <c r="O301" t="s">
        <v>74</v>
      </c>
      <c r="P301" t="s">
        <v>74</v>
      </c>
      <c r="Q301" t="s">
        <v>74</v>
      </c>
      <c r="R301" t="s">
        <v>74</v>
      </c>
      <c r="S301" t="s">
        <v>74</v>
      </c>
      <c r="T301" t="s">
        <v>5989</v>
      </c>
      <c r="U301" t="s">
        <v>5708</v>
      </c>
      <c r="V301" t="s">
        <v>5990</v>
      </c>
      <c r="W301" t="s">
        <v>5991</v>
      </c>
      <c r="X301" t="s">
        <v>5992</v>
      </c>
      <c r="Y301" t="s">
        <v>5993</v>
      </c>
      <c r="Z301" t="s">
        <v>5994</v>
      </c>
      <c r="AA301" t="s">
        <v>5995</v>
      </c>
      <c r="AB301" t="s">
        <v>5996</v>
      </c>
      <c r="AC301" t="s">
        <v>5997</v>
      </c>
      <c r="AD301" t="s">
        <v>5998</v>
      </c>
      <c r="AE301" t="s">
        <v>5999</v>
      </c>
      <c r="AF301" t="s">
        <v>74</v>
      </c>
      <c r="AG301">
        <v>33</v>
      </c>
      <c r="AH301">
        <v>1</v>
      </c>
      <c r="AI301">
        <v>1</v>
      </c>
      <c r="AJ301">
        <v>3</v>
      </c>
      <c r="AK301">
        <v>3</v>
      </c>
      <c r="AL301" t="s">
        <v>6000</v>
      </c>
      <c r="AM301" t="s">
        <v>348</v>
      </c>
      <c r="AN301" t="s">
        <v>6001</v>
      </c>
      <c r="AO301" t="s">
        <v>6002</v>
      </c>
      <c r="AP301" t="s">
        <v>6003</v>
      </c>
      <c r="AQ301" t="s">
        <v>74</v>
      </c>
      <c r="AR301" t="s">
        <v>6004</v>
      </c>
      <c r="AS301" t="s">
        <v>6005</v>
      </c>
      <c r="AT301" t="s">
        <v>846</v>
      </c>
      <c r="AU301">
        <v>2023</v>
      </c>
      <c r="AV301">
        <v>19</v>
      </c>
      <c r="AW301">
        <v>2</v>
      </c>
      <c r="AX301" t="s">
        <v>74</v>
      </c>
      <c r="AY301" t="s">
        <v>74</v>
      </c>
      <c r="AZ301" t="s">
        <v>74</v>
      </c>
      <c r="BA301" t="s">
        <v>74</v>
      </c>
      <c r="BB301" t="s">
        <v>74</v>
      </c>
      <c r="BC301" t="s">
        <v>74</v>
      </c>
      <c r="BD301">
        <v>27</v>
      </c>
      <c r="BE301" t="s">
        <v>6006</v>
      </c>
      <c r="BF301" t="str">
        <f>HYPERLINK("http://dx.doi.org/10.1145/3532090","http://dx.doi.org/10.1145/3532090")</f>
        <v>http://dx.doi.org/10.1145/3532090</v>
      </c>
      <c r="BG301" t="s">
        <v>74</v>
      </c>
      <c r="BH301" t="s">
        <v>74</v>
      </c>
      <c r="BI301">
        <v>15</v>
      </c>
      <c r="BJ301" t="s">
        <v>503</v>
      </c>
      <c r="BK301" t="s">
        <v>98</v>
      </c>
      <c r="BL301" t="s">
        <v>505</v>
      </c>
      <c r="BM301" t="s">
        <v>6007</v>
      </c>
      <c r="BN301" t="s">
        <v>74</v>
      </c>
      <c r="BO301" t="s">
        <v>74</v>
      </c>
      <c r="BP301" t="s">
        <v>74</v>
      </c>
      <c r="BQ301" t="s">
        <v>74</v>
      </c>
      <c r="BR301" t="s">
        <v>102</v>
      </c>
      <c r="BS301" t="s">
        <v>6008</v>
      </c>
      <c r="BT301" t="str">
        <f>HYPERLINK("https%3A%2F%2Fwww.webofscience.com%2Fwos%2Fwoscc%2Ffull-record%2FWOS:000989735000004","View Full Record in Web of Science")</f>
        <v>View Full Record in Web of Science</v>
      </c>
    </row>
    <row r="302" spans="1:72" x14ac:dyDescent="0.2">
      <c r="A302" t="s">
        <v>72</v>
      </c>
      <c r="B302" t="s">
        <v>6009</v>
      </c>
      <c r="C302" t="s">
        <v>74</v>
      </c>
      <c r="D302" t="s">
        <v>74</v>
      </c>
      <c r="E302" t="s">
        <v>74</v>
      </c>
      <c r="F302" t="s">
        <v>6010</v>
      </c>
      <c r="G302" t="s">
        <v>74</v>
      </c>
      <c r="H302" t="s">
        <v>74</v>
      </c>
      <c r="I302" t="s">
        <v>6011</v>
      </c>
      <c r="J302" t="s">
        <v>6012</v>
      </c>
      <c r="K302" t="s">
        <v>74</v>
      </c>
      <c r="L302" t="s">
        <v>74</v>
      </c>
      <c r="M302" t="s">
        <v>78</v>
      </c>
      <c r="N302" t="s">
        <v>108</v>
      </c>
      <c r="O302" t="s">
        <v>74</v>
      </c>
      <c r="P302" t="s">
        <v>74</v>
      </c>
      <c r="Q302" t="s">
        <v>74</v>
      </c>
      <c r="R302" t="s">
        <v>74</v>
      </c>
      <c r="S302" t="s">
        <v>74</v>
      </c>
      <c r="T302" t="s">
        <v>74</v>
      </c>
      <c r="U302" t="s">
        <v>6013</v>
      </c>
      <c r="V302" t="s">
        <v>6014</v>
      </c>
      <c r="W302" t="s">
        <v>6015</v>
      </c>
      <c r="X302" t="s">
        <v>6016</v>
      </c>
      <c r="Y302" t="s">
        <v>6017</v>
      </c>
      <c r="Z302" t="s">
        <v>6018</v>
      </c>
      <c r="AA302" t="s">
        <v>6019</v>
      </c>
      <c r="AB302" t="s">
        <v>74</v>
      </c>
      <c r="AC302" t="s">
        <v>74</v>
      </c>
      <c r="AD302" t="s">
        <v>74</v>
      </c>
      <c r="AE302" t="s">
        <v>74</v>
      </c>
      <c r="AF302" t="s">
        <v>74</v>
      </c>
      <c r="AG302">
        <v>33</v>
      </c>
      <c r="AH302">
        <v>1</v>
      </c>
      <c r="AI302">
        <v>1</v>
      </c>
      <c r="AJ302">
        <v>13</v>
      </c>
      <c r="AK302">
        <v>17</v>
      </c>
      <c r="AL302" t="s">
        <v>2952</v>
      </c>
      <c r="AM302" t="s">
        <v>90</v>
      </c>
      <c r="AN302" t="s">
        <v>2953</v>
      </c>
      <c r="AO302" t="s">
        <v>6020</v>
      </c>
      <c r="AP302" t="s">
        <v>6021</v>
      </c>
      <c r="AQ302" t="s">
        <v>74</v>
      </c>
      <c r="AR302" t="s">
        <v>6022</v>
      </c>
      <c r="AS302" t="s">
        <v>6023</v>
      </c>
      <c r="AT302" t="s">
        <v>6024</v>
      </c>
      <c r="AU302">
        <v>2022</v>
      </c>
      <c r="AV302">
        <v>2022</v>
      </c>
      <c r="AW302" t="s">
        <v>74</v>
      </c>
      <c r="AX302" t="s">
        <v>74</v>
      </c>
      <c r="AY302" t="s">
        <v>74</v>
      </c>
      <c r="AZ302" t="s">
        <v>74</v>
      </c>
      <c r="BA302" t="s">
        <v>74</v>
      </c>
      <c r="BB302" t="s">
        <v>74</v>
      </c>
      <c r="BC302" t="s">
        <v>74</v>
      </c>
      <c r="BD302">
        <v>1575813</v>
      </c>
      <c r="BE302" t="s">
        <v>6025</v>
      </c>
      <c r="BF302" t="str">
        <f>HYPERLINK("http://dx.doi.org/10.1155/2022/1575813","http://dx.doi.org/10.1155/2022/1575813")</f>
        <v>http://dx.doi.org/10.1155/2022/1575813</v>
      </c>
      <c r="BG302" t="s">
        <v>74</v>
      </c>
      <c r="BH302" t="s">
        <v>74</v>
      </c>
      <c r="BI302">
        <v>12</v>
      </c>
      <c r="BJ302" t="s">
        <v>503</v>
      </c>
      <c r="BK302" t="s">
        <v>98</v>
      </c>
      <c r="BL302" t="s">
        <v>505</v>
      </c>
      <c r="BM302" t="s">
        <v>6026</v>
      </c>
      <c r="BN302" t="s">
        <v>74</v>
      </c>
      <c r="BO302" t="s">
        <v>126</v>
      </c>
      <c r="BP302" t="s">
        <v>74</v>
      </c>
      <c r="BQ302" t="s">
        <v>74</v>
      </c>
      <c r="BR302" t="s">
        <v>102</v>
      </c>
      <c r="BS302" t="s">
        <v>6027</v>
      </c>
      <c r="BT302" t="str">
        <f>HYPERLINK("https%3A%2F%2Fwww.webofscience.com%2Fwos%2Fwoscc%2Ffull-record%2FWOS:000880593900002","View Full Record in Web of Science")</f>
        <v>View Full Record in Web of Science</v>
      </c>
    </row>
    <row r="303" spans="1:72" x14ac:dyDescent="0.2">
      <c r="A303" t="s">
        <v>72</v>
      </c>
      <c r="B303" t="s">
        <v>6028</v>
      </c>
      <c r="C303" t="s">
        <v>74</v>
      </c>
      <c r="D303" t="s">
        <v>74</v>
      </c>
      <c r="E303" t="s">
        <v>74</v>
      </c>
      <c r="F303" t="s">
        <v>6029</v>
      </c>
      <c r="G303" t="s">
        <v>74</v>
      </c>
      <c r="H303" t="s">
        <v>74</v>
      </c>
      <c r="I303" t="s">
        <v>6030</v>
      </c>
      <c r="J303" t="s">
        <v>6031</v>
      </c>
      <c r="K303" t="s">
        <v>74</v>
      </c>
      <c r="L303" t="s">
        <v>74</v>
      </c>
      <c r="M303" t="s">
        <v>78</v>
      </c>
      <c r="N303" t="s">
        <v>108</v>
      </c>
      <c r="O303" t="s">
        <v>74</v>
      </c>
      <c r="P303" t="s">
        <v>74</v>
      </c>
      <c r="Q303" t="s">
        <v>74</v>
      </c>
      <c r="R303" t="s">
        <v>74</v>
      </c>
      <c r="S303" t="s">
        <v>74</v>
      </c>
      <c r="T303" t="s">
        <v>6032</v>
      </c>
      <c r="U303" t="s">
        <v>6033</v>
      </c>
      <c r="V303" t="s">
        <v>6034</v>
      </c>
      <c r="W303" t="s">
        <v>6035</v>
      </c>
      <c r="X303" t="s">
        <v>6036</v>
      </c>
      <c r="Y303" t="s">
        <v>6037</v>
      </c>
      <c r="Z303" t="s">
        <v>74</v>
      </c>
      <c r="AA303" t="s">
        <v>6038</v>
      </c>
      <c r="AB303" t="s">
        <v>74</v>
      </c>
      <c r="AC303" t="s">
        <v>74</v>
      </c>
      <c r="AD303" t="s">
        <v>74</v>
      </c>
      <c r="AE303" t="s">
        <v>74</v>
      </c>
      <c r="AF303" t="s">
        <v>74</v>
      </c>
      <c r="AG303">
        <v>35</v>
      </c>
      <c r="AH303">
        <v>4</v>
      </c>
      <c r="AI303">
        <v>4</v>
      </c>
      <c r="AJ303">
        <v>0</v>
      </c>
      <c r="AK303">
        <v>6</v>
      </c>
      <c r="AL303" t="s">
        <v>6039</v>
      </c>
      <c r="AM303" t="s">
        <v>6040</v>
      </c>
      <c r="AN303" t="s">
        <v>6041</v>
      </c>
      <c r="AO303" t="s">
        <v>6042</v>
      </c>
      <c r="AP303" t="s">
        <v>6043</v>
      </c>
      <c r="AQ303" t="s">
        <v>74</v>
      </c>
      <c r="AR303" t="s">
        <v>6044</v>
      </c>
      <c r="AS303" t="s">
        <v>6045</v>
      </c>
      <c r="AT303" t="s">
        <v>74</v>
      </c>
      <c r="AU303">
        <v>2011</v>
      </c>
      <c r="AV303">
        <v>18</v>
      </c>
      <c r="AW303">
        <v>3</v>
      </c>
      <c r="AX303" t="s">
        <v>74</v>
      </c>
      <c r="AY303" t="s">
        <v>74</v>
      </c>
      <c r="AZ303" t="s">
        <v>74</v>
      </c>
      <c r="BA303" t="s">
        <v>74</v>
      </c>
      <c r="BB303">
        <v>109</v>
      </c>
      <c r="BC303" t="s">
        <v>6046</v>
      </c>
      <c r="BD303" t="s">
        <v>74</v>
      </c>
      <c r="BE303" t="s">
        <v>74</v>
      </c>
      <c r="BF303" t="s">
        <v>74</v>
      </c>
      <c r="BG303" t="s">
        <v>74</v>
      </c>
      <c r="BH303" t="s">
        <v>74</v>
      </c>
      <c r="BI303">
        <v>12</v>
      </c>
      <c r="BJ303" t="s">
        <v>6047</v>
      </c>
      <c r="BK303" t="s">
        <v>98</v>
      </c>
      <c r="BL303" t="s">
        <v>1292</v>
      </c>
      <c r="BM303" t="s">
        <v>6048</v>
      </c>
      <c r="BN303" t="s">
        <v>74</v>
      </c>
      <c r="BO303" t="s">
        <v>74</v>
      </c>
      <c r="BP303" t="s">
        <v>74</v>
      </c>
      <c r="BQ303" t="s">
        <v>74</v>
      </c>
      <c r="BR303" t="s">
        <v>102</v>
      </c>
      <c r="BS303" t="s">
        <v>6049</v>
      </c>
      <c r="BT303" t="str">
        <f>HYPERLINK("https%3A%2F%2Fwww.webofscience.com%2Fwos%2Fwoscc%2Ffull-record%2FWOS:000295579400001","View Full Record in Web of Science")</f>
        <v>View Full Record in Web of Science</v>
      </c>
    </row>
    <row r="304" spans="1:72" x14ac:dyDescent="0.2">
      <c r="A304" t="s">
        <v>72</v>
      </c>
      <c r="B304" t="s">
        <v>6050</v>
      </c>
      <c r="C304" t="s">
        <v>74</v>
      </c>
      <c r="D304" t="s">
        <v>74</v>
      </c>
      <c r="E304" t="s">
        <v>74</v>
      </c>
      <c r="F304" t="s">
        <v>6051</v>
      </c>
      <c r="G304" t="s">
        <v>74</v>
      </c>
      <c r="H304" t="s">
        <v>74</v>
      </c>
      <c r="I304" t="s">
        <v>6052</v>
      </c>
      <c r="J304" t="s">
        <v>762</v>
      </c>
      <c r="K304" t="s">
        <v>74</v>
      </c>
      <c r="L304" t="s">
        <v>74</v>
      </c>
      <c r="M304" t="s">
        <v>78</v>
      </c>
      <c r="N304" t="s">
        <v>79</v>
      </c>
      <c r="O304" t="s">
        <v>74</v>
      </c>
      <c r="P304" t="s">
        <v>74</v>
      </c>
      <c r="Q304" t="s">
        <v>74</v>
      </c>
      <c r="R304" t="s">
        <v>74</v>
      </c>
      <c r="S304" t="s">
        <v>74</v>
      </c>
      <c r="T304" t="s">
        <v>6053</v>
      </c>
      <c r="U304" t="s">
        <v>6054</v>
      </c>
      <c r="V304" t="s">
        <v>6055</v>
      </c>
      <c r="W304" t="s">
        <v>6056</v>
      </c>
      <c r="X304" t="s">
        <v>6057</v>
      </c>
      <c r="Y304" t="s">
        <v>6058</v>
      </c>
      <c r="Z304" t="s">
        <v>2272</v>
      </c>
      <c r="AA304" t="s">
        <v>6059</v>
      </c>
      <c r="AB304" t="s">
        <v>6060</v>
      </c>
      <c r="AC304" t="s">
        <v>6061</v>
      </c>
      <c r="AD304" t="s">
        <v>2535</v>
      </c>
      <c r="AE304" t="s">
        <v>6062</v>
      </c>
      <c r="AF304" t="s">
        <v>74</v>
      </c>
      <c r="AG304">
        <v>218</v>
      </c>
      <c r="AH304">
        <v>114</v>
      </c>
      <c r="AI304">
        <v>116</v>
      </c>
      <c r="AJ304">
        <v>12</v>
      </c>
      <c r="AK304">
        <v>244</v>
      </c>
      <c r="AL304" t="s">
        <v>279</v>
      </c>
      <c r="AM304" t="s">
        <v>280</v>
      </c>
      <c r="AN304" t="s">
        <v>281</v>
      </c>
      <c r="AO304" t="s">
        <v>773</v>
      </c>
      <c r="AP304" t="s">
        <v>774</v>
      </c>
      <c r="AQ304" t="s">
        <v>74</v>
      </c>
      <c r="AR304" t="s">
        <v>775</v>
      </c>
      <c r="AS304" t="s">
        <v>776</v>
      </c>
      <c r="AT304" t="s">
        <v>6063</v>
      </c>
      <c r="AU304">
        <v>2019</v>
      </c>
      <c r="AV304">
        <v>57</v>
      </c>
      <c r="AW304" t="s">
        <v>6064</v>
      </c>
      <c r="AX304" t="s">
        <v>74</v>
      </c>
      <c r="AY304" t="s">
        <v>74</v>
      </c>
      <c r="AZ304" t="s">
        <v>570</v>
      </c>
      <c r="BA304" t="s">
        <v>74</v>
      </c>
      <c r="BB304">
        <v>4828</v>
      </c>
      <c r="BC304">
        <v>4853</v>
      </c>
      <c r="BD304" t="s">
        <v>74</v>
      </c>
      <c r="BE304" t="s">
        <v>6065</v>
      </c>
      <c r="BF304" t="str">
        <f>HYPERLINK("http://dx.doi.org/10.1080/00207543.2018.1443230","http://dx.doi.org/10.1080/00207543.2018.1443230")</f>
        <v>http://dx.doi.org/10.1080/00207543.2018.1443230</v>
      </c>
      <c r="BG304" t="s">
        <v>74</v>
      </c>
      <c r="BH304" t="s">
        <v>74</v>
      </c>
      <c r="BI304">
        <v>26</v>
      </c>
      <c r="BJ304" t="s">
        <v>780</v>
      </c>
      <c r="BK304" t="s">
        <v>98</v>
      </c>
      <c r="BL304" t="s">
        <v>781</v>
      </c>
      <c r="BM304" t="s">
        <v>6066</v>
      </c>
      <c r="BN304" t="s">
        <v>74</v>
      </c>
      <c r="BO304" t="s">
        <v>804</v>
      </c>
      <c r="BP304" t="s">
        <v>74</v>
      </c>
      <c r="BQ304" t="s">
        <v>74</v>
      </c>
      <c r="BR304" t="s">
        <v>102</v>
      </c>
      <c r="BS304" t="s">
        <v>6067</v>
      </c>
      <c r="BT304" t="str">
        <f>HYPERLINK("https%3A%2F%2Fwww.webofscience.com%2Fwos%2Fwoscc%2Ffull-record%2FWOS:000479054800011","View Full Record in Web of Science")</f>
        <v>View Full Record in Web of Science</v>
      </c>
    </row>
    <row r="305" spans="1:72" x14ac:dyDescent="0.2">
      <c r="A305" t="s">
        <v>72</v>
      </c>
      <c r="B305" t="s">
        <v>6068</v>
      </c>
      <c r="C305" t="s">
        <v>74</v>
      </c>
      <c r="D305" t="s">
        <v>74</v>
      </c>
      <c r="E305" t="s">
        <v>74</v>
      </c>
      <c r="F305" t="s">
        <v>6069</v>
      </c>
      <c r="G305" t="s">
        <v>74</v>
      </c>
      <c r="H305" t="s">
        <v>74</v>
      </c>
      <c r="I305" t="s">
        <v>6070</v>
      </c>
      <c r="J305" t="s">
        <v>131</v>
      </c>
      <c r="K305" t="s">
        <v>74</v>
      </c>
      <c r="L305" t="s">
        <v>74</v>
      </c>
      <c r="M305" t="s">
        <v>78</v>
      </c>
      <c r="N305" t="s">
        <v>108</v>
      </c>
      <c r="O305" t="s">
        <v>74</v>
      </c>
      <c r="P305" t="s">
        <v>74</v>
      </c>
      <c r="Q305" t="s">
        <v>74</v>
      </c>
      <c r="R305" t="s">
        <v>74</v>
      </c>
      <c r="S305" t="s">
        <v>74</v>
      </c>
      <c r="T305" t="s">
        <v>6071</v>
      </c>
      <c r="U305" t="s">
        <v>6072</v>
      </c>
      <c r="V305" t="s">
        <v>6073</v>
      </c>
      <c r="W305" t="s">
        <v>6074</v>
      </c>
      <c r="X305" t="s">
        <v>6075</v>
      </c>
      <c r="Y305" t="s">
        <v>6076</v>
      </c>
      <c r="Z305" t="s">
        <v>6077</v>
      </c>
      <c r="AA305" t="s">
        <v>74</v>
      </c>
      <c r="AB305" t="s">
        <v>74</v>
      </c>
      <c r="AC305" t="s">
        <v>6078</v>
      </c>
      <c r="AD305" t="s">
        <v>6079</v>
      </c>
      <c r="AE305" t="s">
        <v>6080</v>
      </c>
      <c r="AF305" t="s">
        <v>74</v>
      </c>
      <c r="AG305">
        <v>95</v>
      </c>
      <c r="AH305">
        <v>7</v>
      </c>
      <c r="AI305">
        <v>7</v>
      </c>
      <c r="AJ305">
        <v>8</v>
      </c>
      <c r="AK305">
        <v>50</v>
      </c>
      <c r="AL305" t="s">
        <v>116</v>
      </c>
      <c r="AM305" t="s">
        <v>117</v>
      </c>
      <c r="AN305" t="s">
        <v>118</v>
      </c>
      <c r="AO305" t="s">
        <v>74</v>
      </c>
      <c r="AP305" t="s">
        <v>142</v>
      </c>
      <c r="AQ305" t="s">
        <v>74</v>
      </c>
      <c r="AR305" t="s">
        <v>143</v>
      </c>
      <c r="AS305" t="s">
        <v>144</v>
      </c>
      <c r="AT305" t="s">
        <v>616</v>
      </c>
      <c r="AU305">
        <v>2021</v>
      </c>
      <c r="AV305">
        <v>13</v>
      </c>
      <c r="AW305">
        <v>6</v>
      </c>
      <c r="AX305" t="s">
        <v>74</v>
      </c>
      <c r="AY305" t="s">
        <v>74</v>
      </c>
      <c r="AZ305" t="s">
        <v>74</v>
      </c>
      <c r="BA305" t="s">
        <v>74</v>
      </c>
      <c r="BB305" t="s">
        <v>74</v>
      </c>
      <c r="BC305" t="s">
        <v>74</v>
      </c>
      <c r="BD305">
        <v>3390</v>
      </c>
      <c r="BE305" t="s">
        <v>6081</v>
      </c>
      <c r="BF305" t="str">
        <f>HYPERLINK("http://dx.doi.org/10.3390/su13063390","http://dx.doi.org/10.3390/su13063390")</f>
        <v>http://dx.doi.org/10.3390/su13063390</v>
      </c>
      <c r="BG305" t="s">
        <v>74</v>
      </c>
      <c r="BH305" t="s">
        <v>74</v>
      </c>
      <c r="BI305">
        <v>23</v>
      </c>
      <c r="BJ305" t="s">
        <v>146</v>
      </c>
      <c r="BK305" t="s">
        <v>147</v>
      </c>
      <c r="BL305" t="s">
        <v>148</v>
      </c>
      <c r="BM305" t="s">
        <v>6082</v>
      </c>
      <c r="BN305" t="s">
        <v>74</v>
      </c>
      <c r="BO305" t="s">
        <v>623</v>
      </c>
      <c r="BP305" t="s">
        <v>74</v>
      </c>
      <c r="BQ305" t="s">
        <v>74</v>
      </c>
      <c r="BR305" t="s">
        <v>102</v>
      </c>
      <c r="BS305" t="s">
        <v>6083</v>
      </c>
      <c r="BT305" t="str">
        <f>HYPERLINK("https%3A%2F%2Fwww.webofscience.com%2Fwos%2Fwoscc%2Ffull-record%2FWOS:000646205400001","View Full Record in Web of Science")</f>
        <v>View Full Record in Web of Science</v>
      </c>
    </row>
    <row r="306" spans="1:72" x14ac:dyDescent="0.2">
      <c r="A306" t="s">
        <v>72</v>
      </c>
      <c r="B306" t="s">
        <v>6084</v>
      </c>
      <c r="C306" t="s">
        <v>74</v>
      </c>
      <c r="D306" t="s">
        <v>74</v>
      </c>
      <c r="E306" t="s">
        <v>74</v>
      </c>
      <c r="F306" t="s">
        <v>6085</v>
      </c>
      <c r="G306" t="s">
        <v>74</v>
      </c>
      <c r="H306" t="s">
        <v>74</v>
      </c>
      <c r="I306" t="s">
        <v>6086</v>
      </c>
      <c r="J306" t="s">
        <v>3099</v>
      </c>
      <c r="K306" t="s">
        <v>74</v>
      </c>
      <c r="L306" t="s">
        <v>74</v>
      </c>
      <c r="M306" t="s">
        <v>78</v>
      </c>
      <c r="N306" t="s">
        <v>108</v>
      </c>
      <c r="O306" t="s">
        <v>74</v>
      </c>
      <c r="P306" t="s">
        <v>74</v>
      </c>
      <c r="Q306" t="s">
        <v>74</v>
      </c>
      <c r="R306" t="s">
        <v>74</v>
      </c>
      <c r="S306" t="s">
        <v>74</v>
      </c>
      <c r="T306" t="s">
        <v>6087</v>
      </c>
      <c r="U306" t="s">
        <v>6088</v>
      </c>
      <c r="V306" t="s">
        <v>6089</v>
      </c>
      <c r="W306" t="s">
        <v>6090</v>
      </c>
      <c r="X306" t="s">
        <v>6091</v>
      </c>
      <c r="Y306" t="s">
        <v>6092</v>
      </c>
      <c r="Z306" t="s">
        <v>6093</v>
      </c>
      <c r="AA306" t="s">
        <v>6094</v>
      </c>
      <c r="AB306" t="s">
        <v>6095</v>
      </c>
      <c r="AC306" t="s">
        <v>74</v>
      </c>
      <c r="AD306" t="s">
        <v>74</v>
      </c>
      <c r="AE306" t="s">
        <v>74</v>
      </c>
      <c r="AF306" t="s">
        <v>74</v>
      </c>
      <c r="AG306">
        <v>70</v>
      </c>
      <c r="AH306">
        <v>1</v>
      </c>
      <c r="AI306">
        <v>1</v>
      </c>
      <c r="AJ306">
        <v>0</v>
      </c>
      <c r="AK306">
        <v>3</v>
      </c>
      <c r="AL306" t="s">
        <v>437</v>
      </c>
      <c r="AM306" t="s">
        <v>438</v>
      </c>
      <c r="AN306" t="s">
        <v>439</v>
      </c>
      <c r="AO306" t="s">
        <v>3107</v>
      </c>
      <c r="AP306" t="s">
        <v>3108</v>
      </c>
      <c r="AQ306" t="s">
        <v>74</v>
      </c>
      <c r="AR306" t="s">
        <v>3109</v>
      </c>
      <c r="AS306" t="s">
        <v>3110</v>
      </c>
      <c r="AT306" t="s">
        <v>6096</v>
      </c>
      <c r="AU306">
        <v>2022</v>
      </c>
      <c r="AV306">
        <v>17</v>
      </c>
      <c r="AW306">
        <v>2</v>
      </c>
      <c r="AX306" t="s">
        <v>74</v>
      </c>
      <c r="AY306" t="s">
        <v>74</v>
      </c>
      <c r="AZ306" t="s">
        <v>74</v>
      </c>
      <c r="BA306" t="s">
        <v>74</v>
      </c>
      <c r="BB306">
        <v>486</v>
      </c>
      <c r="BC306">
        <v>517</v>
      </c>
      <c r="BD306" t="s">
        <v>74</v>
      </c>
      <c r="BE306" t="s">
        <v>6097</v>
      </c>
      <c r="BF306" t="str">
        <f>HYPERLINK("http://dx.doi.org/10.1108/JM2-06-2020-0161","http://dx.doi.org/10.1108/JM2-06-2020-0161")</f>
        <v>http://dx.doi.org/10.1108/JM2-06-2020-0161</v>
      </c>
      <c r="BG306" t="s">
        <v>74</v>
      </c>
      <c r="BH306" t="s">
        <v>4013</v>
      </c>
      <c r="BI306">
        <v>32</v>
      </c>
      <c r="BJ306" t="s">
        <v>418</v>
      </c>
      <c r="BK306" t="s">
        <v>124</v>
      </c>
      <c r="BL306" t="s">
        <v>419</v>
      </c>
      <c r="BM306" t="s">
        <v>6098</v>
      </c>
      <c r="BN306" t="s">
        <v>74</v>
      </c>
      <c r="BO306" t="s">
        <v>74</v>
      </c>
      <c r="BP306" t="s">
        <v>74</v>
      </c>
      <c r="BQ306" t="s">
        <v>74</v>
      </c>
      <c r="BR306" t="s">
        <v>102</v>
      </c>
      <c r="BS306" t="s">
        <v>6099</v>
      </c>
      <c r="BT306" t="str">
        <f>HYPERLINK("https%3A%2F%2Fwww.webofscience.com%2Fwos%2Fwoscc%2Ffull-record%2FWOS:000661408800001","View Full Record in Web of Science")</f>
        <v>View Full Record in Web of Science</v>
      </c>
    </row>
    <row r="307" spans="1:72" x14ac:dyDescent="0.2">
      <c r="A307" t="s">
        <v>72</v>
      </c>
      <c r="B307" t="s">
        <v>6100</v>
      </c>
      <c r="C307" t="s">
        <v>74</v>
      </c>
      <c r="D307" t="s">
        <v>74</v>
      </c>
      <c r="E307" t="s">
        <v>74</v>
      </c>
      <c r="F307" t="s">
        <v>6101</v>
      </c>
      <c r="G307" t="s">
        <v>74</v>
      </c>
      <c r="H307" t="s">
        <v>74</v>
      </c>
      <c r="I307" t="s">
        <v>6102</v>
      </c>
      <c r="J307" t="s">
        <v>873</v>
      </c>
      <c r="K307" t="s">
        <v>74</v>
      </c>
      <c r="L307" t="s">
        <v>74</v>
      </c>
      <c r="M307" t="s">
        <v>78</v>
      </c>
      <c r="N307" t="s">
        <v>108</v>
      </c>
      <c r="O307" t="s">
        <v>74</v>
      </c>
      <c r="P307" t="s">
        <v>74</v>
      </c>
      <c r="Q307" t="s">
        <v>74</v>
      </c>
      <c r="R307" t="s">
        <v>74</v>
      </c>
      <c r="S307" t="s">
        <v>74</v>
      </c>
      <c r="T307" t="s">
        <v>6103</v>
      </c>
      <c r="U307" t="s">
        <v>6104</v>
      </c>
      <c r="V307" t="s">
        <v>6105</v>
      </c>
      <c r="W307" t="s">
        <v>6106</v>
      </c>
      <c r="X307" t="s">
        <v>6107</v>
      </c>
      <c r="Y307" t="s">
        <v>6108</v>
      </c>
      <c r="Z307" t="s">
        <v>6109</v>
      </c>
      <c r="AA307" t="s">
        <v>6110</v>
      </c>
      <c r="AB307" t="s">
        <v>6111</v>
      </c>
      <c r="AC307" t="s">
        <v>6112</v>
      </c>
      <c r="AD307" t="s">
        <v>6113</v>
      </c>
      <c r="AE307" t="s">
        <v>6114</v>
      </c>
      <c r="AF307" t="s">
        <v>74</v>
      </c>
      <c r="AG307">
        <v>98</v>
      </c>
      <c r="AH307">
        <v>16</v>
      </c>
      <c r="AI307">
        <v>16</v>
      </c>
      <c r="AJ307">
        <v>2</v>
      </c>
      <c r="AK307">
        <v>28</v>
      </c>
      <c r="AL307" t="s">
        <v>209</v>
      </c>
      <c r="AM307" t="s">
        <v>210</v>
      </c>
      <c r="AN307" t="s">
        <v>211</v>
      </c>
      <c r="AO307" t="s">
        <v>883</v>
      </c>
      <c r="AP307" t="s">
        <v>884</v>
      </c>
      <c r="AQ307" t="s">
        <v>74</v>
      </c>
      <c r="AR307" t="s">
        <v>885</v>
      </c>
      <c r="AS307" t="s">
        <v>886</v>
      </c>
      <c r="AT307" t="s">
        <v>616</v>
      </c>
      <c r="AU307">
        <v>2021</v>
      </c>
      <c r="AV307">
        <v>233</v>
      </c>
      <c r="AW307" t="s">
        <v>74</v>
      </c>
      <c r="AX307" t="s">
        <v>74</v>
      </c>
      <c r="AY307" t="s">
        <v>74</v>
      </c>
      <c r="AZ307" t="s">
        <v>74</v>
      </c>
      <c r="BA307" t="s">
        <v>74</v>
      </c>
      <c r="BB307" t="s">
        <v>74</v>
      </c>
      <c r="BC307" t="s">
        <v>74</v>
      </c>
      <c r="BD307">
        <v>108023</v>
      </c>
      <c r="BE307" t="s">
        <v>6115</v>
      </c>
      <c r="BF307" t="str">
        <f>HYPERLINK("http://dx.doi.org/10.1016/j.ijpe.2020.108023","http://dx.doi.org/10.1016/j.ijpe.2020.108023")</f>
        <v>http://dx.doi.org/10.1016/j.ijpe.2020.108023</v>
      </c>
      <c r="BG307" t="s">
        <v>74</v>
      </c>
      <c r="BH307" t="s">
        <v>2780</v>
      </c>
      <c r="BI307">
        <v>23</v>
      </c>
      <c r="BJ307" t="s">
        <v>780</v>
      </c>
      <c r="BK307" t="s">
        <v>147</v>
      </c>
      <c r="BL307" t="s">
        <v>781</v>
      </c>
      <c r="BM307" t="s">
        <v>6116</v>
      </c>
      <c r="BN307" t="s">
        <v>74</v>
      </c>
      <c r="BO307" t="s">
        <v>74</v>
      </c>
      <c r="BP307" t="s">
        <v>74</v>
      </c>
      <c r="BQ307" t="s">
        <v>74</v>
      </c>
      <c r="BR307" t="s">
        <v>102</v>
      </c>
      <c r="BS307" t="s">
        <v>6117</v>
      </c>
      <c r="BT307" t="str">
        <f>HYPERLINK("https%3A%2F%2Fwww.webofscience.com%2Fwos%2Fwoscc%2Ffull-record%2FWOS:000620294200005","View Full Record in Web of Science")</f>
        <v>View Full Record in Web of Science</v>
      </c>
    </row>
    <row r="308" spans="1:72" x14ac:dyDescent="0.2">
      <c r="A308" t="s">
        <v>72</v>
      </c>
      <c r="B308" t="s">
        <v>6118</v>
      </c>
      <c r="C308" t="s">
        <v>74</v>
      </c>
      <c r="D308" t="s">
        <v>74</v>
      </c>
      <c r="E308" t="s">
        <v>74</v>
      </c>
      <c r="F308" t="s">
        <v>6119</v>
      </c>
      <c r="G308" t="s">
        <v>74</v>
      </c>
      <c r="H308" t="s">
        <v>74</v>
      </c>
      <c r="I308" t="s">
        <v>6120</v>
      </c>
      <c r="J308" t="s">
        <v>6121</v>
      </c>
      <c r="K308" t="s">
        <v>74</v>
      </c>
      <c r="L308" t="s">
        <v>74</v>
      </c>
      <c r="M308" t="s">
        <v>78</v>
      </c>
      <c r="N308" t="s">
        <v>79</v>
      </c>
      <c r="O308" t="s">
        <v>74</v>
      </c>
      <c r="P308" t="s">
        <v>74</v>
      </c>
      <c r="Q308" t="s">
        <v>74</v>
      </c>
      <c r="R308" t="s">
        <v>74</v>
      </c>
      <c r="S308" t="s">
        <v>74</v>
      </c>
      <c r="T308" t="s">
        <v>6122</v>
      </c>
      <c r="U308" t="s">
        <v>6123</v>
      </c>
      <c r="V308" t="s">
        <v>6124</v>
      </c>
      <c r="W308" t="s">
        <v>6125</v>
      </c>
      <c r="X308" t="s">
        <v>6126</v>
      </c>
      <c r="Y308" t="s">
        <v>6127</v>
      </c>
      <c r="Z308" t="s">
        <v>6128</v>
      </c>
      <c r="AA308" t="s">
        <v>6129</v>
      </c>
      <c r="AB308" t="s">
        <v>74</v>
      </c>
      <c r="AC308" t="s">
        <v>6130</v>
      </c>
      <c r="AD308" t="s">
        <v>987</v>
      </c>
      <c r="AE308" t="s">
        <v>6131</v>
      </c>
      <c r="AF308" t="s">
        <v>74</v>
      </c>
      <c r="AG308">
        <v>79</v>
      </c>
      <c r="AH308">
        <v>18</v>
      </c>
      <c r="AI308">
        <v>19</v>
      </c>
      <c r="AJ308">
        <v>10</v>
      </c>
      <c r="AK308">
        <v>51</v>
      </c>
      <c r="AL308" t="s">
        <v>6132</v>
      </c>
      <c r="AM308" t="s">
        <v>949</v>
      </c>
      <c r="AN308" t="s">
        <v>6133</v>
      </c>
      <c r="AO308" t="s">
        <v>6134</v>
      </c>
      <c r="AP308" t="s">
        <v>6135</v>
      </c>
      <c r="AQ308" t="s">
        <v>74</v>
      </c>
      <c r="AR308" t="s">
        <v>6136</v>
      </c>
      <c r="AS308" t="s">
        <v>6137</v>
      </c>
      <c r="AT308" t="s">
        <v>6138</v>
      </c>
      <c r="AU308">
        <v>2018</v>
      </c>
      <c r="AV308">
        <v>8</v>
      </c>
      <c r="AW308">
        <v>5</v>
      </c>
      <c r="AX308" t="s">
        <v>74</v>
      </c>
      <c r="AY308" t="s">
        <v>74</v>
      </c>
      <c r="AZ308" t="s">
        <v>74</v>
      </c>
      <c r="BA308" t="s">
        <v>74</v>
      </c>
      <c r="BB308" t="s">
        <v>74</v>
      </c>
      <c r="BC308" t="s">
        <v>74</v>
      </c>
      <c r="BD308" t="s">
        <v>6139</v>
      </c>
      <c r="BE308" t="s">
        <v>6140</v>
      </c>
      <c r="BF308" t="str">
        <f>HYPERLINK("http://dx.doi.org/10.1002/widm.1268","http://dx.doi.org/10.1002/widm.1268")</f>
        <v>http://dx.doi.org/10.1002/widm.1268</v>
      </c>
      <c r="BG308" t="s">
        <v>74</v>
      </c>
      <c r="BH308" t="s">
        <v>74</v>
      </c>
      <c r="BI308">
        <v>25</v>
      </c>
      <c r="BJ308" t="s">
        <v>5037</v>
      </c>
      <c r="BK308" t="s">
        <v>98</v>
      </c>
      <c r="BL308" t="s">
        <v>99</v>
      </c>
      <c r="BM308" t="s">
        <v>6141</v>
      </c>
      <c r="BN308" t="s">
        <v>74</v>
      </c>
      <c r="BO308" t="s">
        <v>74</v>
      </c>
      <c r="BP308" t="s">
        <v>74</v>
      </c>
      <c r="BQ308" t="s">
        <v>74</v>
      </c>
      <c r="BR308" t="s">
        <v>102</v>
      </c>
      <c r="BS308" t="s">
        <v>6142</v>
      </c>
      <c r="BT308" t="str">
        <f>HYPERLINK("https%3A%2F%2Fwww.webofscience.com%2Fwos%2Fwoscc%2Ffull-record%2FWOS:000441767200005","View Full Record in Web of Science")</f>
        <v>View Full Record in Web of Science</v>
      </c>
    </row>
    <row r="309" spans="1:72" x14ac:dyDescent="0.2">
      <c r="A309" t="s">
        <v>72</v>
      </c>
      <c r="B309" t="s">
        <v>6143</v>
      </c>
      <c r="C309" t="s">
        <v>74</v>
      </c>
      <c r="D309" t="s">
        <v>74</v>
      </c>
      <c r="E309" t="s">
        <v>74</v>
      </c>
      <c r="F309" t="s">
        <v>6144</v>
      </c>
      <c r="G309" t="s">
        <v>74</v>
      </c>
      <c r="H309" t="s">
        <v>74</v>
      </c>
      <c r="I309" t="s">
        <v>6145</v>
      </c>
      <c r="J309" t="s">
        <v>6146</v>
      </c>
      <c r="K309" t="s">
        <v>74</v>
      </c>
      <c r="L309" t="s">
        <v>74</v>
      </c>
      <c r="M309" t="s">
        <v>78</v>
      </c>
      <c r="N309" t="s">
        <v>108</v>
      </c>
      <c r="O309" t="s">
        <v>74</v>
      </c>
      <c r="P309" t="s">
        <v>74</v>
      </c>
      <c r="Q309" t="s">
        <v>74</v>
      </c>
      <c r="R309" t="s">
        <v>74</v>
      </c>
      <c r="S309" t="s">
        <v>74</v>
      </c>
      <c r="T309" t="s">
        <v>6147</v>
      </c>
      <c r="U309" t="s">
        <v>74</v>
      </c>
      <c r="V309" t="s">
        <v>6148</v>
      </c>
      <c r="W309" t="s">
        <v>6149</v>
      </c>
      <c r="X309" t="s">
        <v>6150</v>
      </c>
      <c r="Y309" t="s">
        <v>6151</v>
      </c>
      <c r="Z309" t="s">
        <v>6152</v>
      </c>
      <c r="AA309" t="s">
        <v>6153</v>
      </c>
      <c r="AB309" t="s">
        <v>6154</v>
      </c>
      <c r="AC309" t="s">
        <v>6155</v>
      </c>
      <c r="AD309" t="s">
        <v>6156</v>
      </c>
      <c r="AE309" t="s">
        <v>6157</v>
      </c>
      <c r="AF309" t="s">
        <v>74</v>
      </c>
      <c r="AG309">
        <v>27</v>
      </c>
      <c r="AH309">
        <v>0</v>
      </c>
      <c r="AI309">
        <v>0</v>
      </c>
      <c r="AJ309">
        <v>4</v>
      </c>
      <c r="AK309">
        <v>4</v>
      </c>
      <c r="AL309" t="s">
        <v>116</v>
      </c>
      <c r="AM309" t="s">
        <v>117</v>
      </c>
      <c r="AN309" t="s">
        <v>118</v>
      </c>
      <c r="AO309" t="s">
        <v>74</v>
      </c>
      <c r="AP309" t="s">
        <v>6158</v>
      </c>
      <c r="AQ309" t="s">
        <v>74</v>
      </c>
      <c r="AR309" t="s">
        <v>6159</v>
      </c>
      <c r="AS309" t="s">
        <v>6160</v>
      </c>
      <c r="AT309" t="s">
        <v>121</v>
      </c>
      <c r="AU309">
        <v>2023</v>
      </c>
      <c r="AV309">
        <v>12</v>
      </c>
      <c r="AW309">
        <v>13</v>
      </c>
      <c r="AX309" t="s">
        <v>74</v>
      </c>
      <c r="AY309" t="s">
        <v>74</v>
      </c>
      <c r="AZ309" t="s">
        <v>74</v>
      </c>
      <c r="BA309" t="s">
        <v>74</v>
      </c>
      <c r="BB309" t="s">
        <v>74</v>
      </c>
      <c r="BC309" t="s">
        <v>74</v>
      </c>
      <c r="BD309">
        <v>2760</v>
      </c>
      <c r="BE309" t="s">
        <v>6161</v>
      </c>
      <c r="BF309" t="str">
        <f>HYPERLINK("http://dx.doi.org/10.3390/electronics12132760","http://dx.doi.org/10.3390/electronics12132760")</f>
        <v>http://dx.doi.org/10.3390/electronics12132760</v>
      </c>
      <c r="BG309" t="s">
        <v>74</v>
      </c>
      <c r="BH309" t="s">
        <v>74</v>
      </c>
      <c r="BI309">
        <v>24</v>
      </c>
      <c r="BJ309" t="s">
        <v>6162</v>
      </c>
      <c r="BK309" t="s">
        <v>98</v>
      </c>
      <c r="BL309" t="s">
        <v>6163</v>
      </c>
      <c r="BM309" t="s">
        <v>6164</v>
      </c>
      <c r="BN309" t="s">
        <v>74</v>
      </c>
      <c r="BO309" t="s">
        <v>101</v>
      </c>
      <c r="BP309" t="s">
        <v>74</v>
      </c>
      <c r="BQ309" t="s">
        <v>74</v>
      </c>
      <c r="BR309" t="s">
        <v>102</v>
      </c>
      <c r="BS309" t="s">
        <v>6165</v>
      </c>
      <c r="BT309" t="str">
        <f>HYPERLINK("https%3A%2F%2Fwww.webofscience.com%2Fwos%2Fwoscc%2Ffull-record%2FWOS:001031174500001","View Full Record in Web of Science")</f>
        <v>View Full Record in Web of Science</v>
      </c>
    </row>
    <row r="310" spans="1:72" x14ac:dyDescent="0.2">
      <c r="A310" t="s">
        <v>72</v>
      </c>
      <c r="B310" t="s">
        <v>6166</v>
      </c>
      <c r="C310" t="s">
        <v>74</v>
      </c>
      <c r="D310" t="s">
        <v>74</v>
      </c>
      <c r="E310" t="s">
        <v>74</v>
      </c>
      <c r="F310" t="s">
        <v>6167</v>
      </c>
      <c r="G310" t="s">
        <v>74</v>
      </c>
      <c r="H310" t="s">
        <v>74</v>
      </c>
      <c r="I310" t="s">
        <v>6168</v>
      </c>
      <c r="J310" t="s">
        <v>6169</v>
      </c>
      <c r="K310" t="s">
        <v>74</v>
      </c>
      <c r="L310" t="s">
        <v>74</v>
      </c>
      <c r="M310" t="s">
        <v>78</v>
      </c>
      <c r="N310" t="s">
        <v>917</v>
      </c>
      <c r="O310" t="s">
        <v>74</v>
      </c>
      <c r="P310" t="s">
        <v>74</v>
      </c>
      <c r="Q310" t="s">
        <v>74</v>
      </c>
      <c r="R310" t="s">
        <v>74</v>
      </c>
      <c r="S310" t="s">
        <v>74</v>
      </c>
      <c r="T310" t="s">
        <v>6170</v>
      </c>
      <c r="U310" t="s">
        <v>74</v>
      </c>
      <c r="V310" t="s">
        <v>6171</v>
      </c>
      <c r="W310" t="s">
        <v>6172</v>
      </c>
      <c r="X310" t="s">
        <v>6173</v>
      </c>
      <c r="Y310" t="s">
        <v>6174</v>
      </c>
      <c r="Z310" t="s">
        <v>6175</v>
      </c>
      <c r="AA310" t="s">
        <v>74</v>
      </c>
      <c r="AB310" t="s">
        <v>74</v>
      </c>
      <c r="AC310" t="s">
        <v>6176</v>
      </c>
      <c r="AD310" t="s">
        <v>6177</v>
      </c>
      <c r="AE310" t="s">
        <v>6178</v>
      </c>
      <c r="AF310" t="s">
        <v>74</v>
      </c>
      <c r="AG310">
        <v>44</v>
      </c>
      <c r="AH310">
        <v>0</v>
      </c>
      <c r="AI310">
        <v>0</v>
      </c>
      <c r="AJ310">
        <v>3</v>
      </c>
      <c r="AK310">
        <v>5</v>
      </c>
      <c r="AL310" t="s">
        <v>409</v>
      </c>
      <c r="AM310" t="s">
        <v>410</v>
      </c>
      <c r="AN310" t="s">
        <v>411</v>
      </c>
      <c r="AO310" t="s">
        <v>6179</v>
      </c>
      <c r="AP310" t="s">
        <v>6180</v>
      </c>
      <c r="AQ310" t="s">
        <v>74</v>
      </c>
      <c r="AR310" t="s">
        <v>6181</v>
      </c>
      <c r="AS310" t="s">
        <v>6182</v>
      </c>
      <c r="AT310" t="s">
        <v>6183</v>
      </c>
      <c r="AU310">
        <v>2023</v>
      </c>
      <c r="AV310" t="s">
        <v>74</v>
      </c>
      <c r="AW310" t="s">
        <v>74</v>
      </c>
      <c r="AX310" t="s">
        <v>74</v>
      </c>
      <c r="AY310" t="s">
        <v>74</v>
      </c>
      <c r="AZ310" t="s">
        <v>74</v>
      </c>
      <c r="BA310" t="s">
        <v>74</v>
      </c>
      <c r="BB310" t="s">
        <v>74</v>
      </c>
      <c r="BC310" t="s">
        <v>74</v>
      </c>
      <c r="BD310" t="s">
        <v>74</v>
      </c>
      <c r="BE310" t="s">
        <v>6184</v>
      </c>
      <c r="BF310" t="str">
        <f>HYPERLINK("http://dx.doi.org/10.1111/exsy.13259","http://dx.doi.org/10.1111/exsy.13259")</f>
        <v>http://dx.doi.org/10.1111/exsy.13259</v>
      </c>
      <c r="BG310" t="s">
        <v>74</v>
      </c>
      <c r="BH310" t="s">
        <v>6185</v>
      </c>
      <c r="BI310">
        <v>21</v>
      </c>
      <c r="BJ310" t="s">
        <v>5037</v>
      </c>
      <c r="BK310" t="s">
        <v>98</v>
      </c>
      <c r="BL310" t="s">
        <v>99</v>
      </c>
      <c r="BM310" t="s">
        <v>6186</v>
      </c>
      <c r="BN310" t="s">
        <v>74</v>
      </c>
      <c r="BO310" t="s">
        <v>74</v>
      </c>
      <c r="BP310" t="s">
        <v>74</v>
      </c>
      <c r="BQ310" t="s">
        <v>74</v>
      </c>
      <c r="BR310" t="s">
        <v>102</v>
      </c>
      <c r="BS310" t="s">
        <v>6187</v>
      </c>
      <c r="BT310" t="str">
        <f>HYPERLINK("https%3A%2F%2Fwww.webofscience.com%2Fwos%2Fwoscc%2Ffull-record%2FWOS:000939622900001","View Full Record in Web of Science")</f>
        <v>View Full Record in Web of Science</v>
      </c>
    </row>
    <row r="311" spans="1:72" x14ac:dyDescent="0.2">
      <c r="A311" t="s">
        <v>72</v>
      </c>
      <c r="B311" t="s">
        <v>6188</v>
      </c>
      <c r="C311" t="s">
        <v>74</v>
      </c>
      <c r="D311" t="s">
        <v>74</v>
      </c>
      <c r="E311" t="s">
        <v>74</v>
      </c>
      <c r="F311" t="s">
        <v>6189</v>
      </c>
      <c r="G311" t="s">
        <v>74</v>
      </c>
      <c r="H311" t="s">
        <v>74</v>
      </c>
      <c r="I311" t="s">
        <v>6190</v>
      </c>
      <c r="J311" t="s">
        <v>873</v>
      </c>
      <c r="K311" t="s">
        <v>74</v>
      </c>
      <c r="L311" t="s">
        <v>74</v>
      </c>
      <c r="M311" t="s">
        <v>78</v>
      </c>
      <c r="N311" t="s">
        <v>108</v>
      </c>
      <c r="O311" t="s">
        <v>74</v>
      </c>
      <c r="P311" t="s">
        <v>74</v>
      </c>
      <c r="Q311" t="s">
        <v>74</v>
      </c>
      <c r="R311" t="s">
        <v>74</v>
      </c>
      <c r="S311" t="s">
        <v>74</v>
      </c>
      <c r="T311" t="s">
        <v>6191</v>
      </c>
      <c r="U311" t="s">
        <v>6192</v>
      </c>
      <c r="V311" t="s">
        <v>6193</v>
      </c>
      <c r="W311" t="s">
        <v>6194</v>
      </c>
      <c r="X311" t="s">
        <v>6195</v>
      </c>
      <c r="Y311" t="s">
        <v>6196</v>
      </c>
      <c r="Z311" t="s">
        <v>6197</v>
      </c>
      <c r="AA311" t="s">
        <v>6198</v>
      </c>
      <c r="AB311" t="s">
        <v>6199</v>
      </c>
      <c r="AC311" t="s">
        <v>6200</v>
      </c>
      <c r="AD311" t="s">
        <v>6200</v>
      </c>
      <c r="AE311" t="s">
        <v>6201</v>
      </c>
      <c r="AF311" t="s">
        <v>74</v>
      </c>
      <c r="AG311">
        <v>144</v>
      </c>
      <c r="AH311">
        <v>0</v>
      </c>
      <c r="AI311">
        <v>0</v>
      </c>
      <c r="AJ311">
        <v>11</v>
      </c>
      <c r="AK311">
        <v>11</v>
      </c>
      <c r="AL311" t="s">
        <v>209</v>
      </c>
      <c r="AM311" t="s">
        <v>210</v>
      </c>
      <c r="AN311" t="s">
        <v>211</v>
      </c>
      <c r="AO311" t="s">
        <v>883</v>
      </c>
      <c r="AP311" t="s">
        <v>884</v>
      </c>
      <c r="AQ311" t="s">
        <v>74</v>
      </c>
      <c r="AR311" t="s">
        <v>885</v>
      </c>
      <c r="AS311" t="s">
        <v>886</v>
      </c>
      <c r="AT311" t="s">
        <v>121</v>
      </c>
      <c r="AU311">
        <v>2023</v>
      </c>
      <c r="AV311">
        <v>261</v>
      </c>
      <c r="AW311" t="s">
        <v>74</v>
      </c>
      <c r="AX311" t="s">
        <v>74</v>
      </c>
      <c r="AY311" t="s">
        <v>74</v>
      </c>
      <c r="AZ311" t="s">
        <v>74</v>
      </c>
      <c r="BA311" t="s">
        <v>74</v>
      </c>
      <c r="BB311" t="s">
        <v>74</v>
      </c>
      <c r="BC311" t="s">
        <v>74</v>
      </c>
      <c r="BD311">
        <v>108871</v>
      </c>
      <c r="BE311" t="s">
        <v>6202</v>
      </c>
      <c r="BF311" t="str">
        <f>HYPERLINK("http://dx.doi.org/10.1016/j.ijpe.2023.108871","http://dx.doi.org/10.1016/j.ijpe.2023.108871")</f>
        <v>http://dx.doi.org/10.1016/j.ijpe.2023.108871</v>
      </c>
      <c r="BG311" t="s">
        <v>74</v>
      </c>
      <c r="BH311" t="s">
        <v>355</v>
      </c>
      <c r="BI311">
        <v>18</v>
      </c>
      <c r="BJ311" t="s">
        <v>780</v>
      </c>
      <c r="BK311" t="s">
        <v>98</v>
      </c>
      <c r="BL311" t="s">
        <v>781</v>
      </c>
      <c r="BM311" t="s">
        <v>6203</v>
      </c>
      <c r="BN311" t="s">
        <v>74</v>
      </c>
      <c r="BO311" t="s">
        <v>74</v>
      </c>
      <c r="BP311" t="s">
        <v>74</v>
      </c>
      <c r="BQ311" t="s">
        <v>74</v>
      </c>
      <c r="BR311" t="s">
        <v>102</v>
      </c>
      <c r="BS311" t="s">
        <v>6204</v>
      </c>
      <c r="BT311" t="str">
        <f>HYPERLINK("https%3A%2F%2Fwww.webofscience.com%2Fwos%2Fwoscc%2Ffull-record%2FWOS:000989872200001","View Full Record in Web of Science")</f>
        <v>View Full Record in Web of Science</v>
      </c>
    </row>
    <row r="312" spans="1:72" x14ac:dyDescent="0.2">
      <c r="A312" t="s">
        <v>72</v>
      </c>
      <c r="B312" t="s">
        <v>6205</v>
      </c>
      <c r="C312" t="s">
        <v>74</v>
      </c>
      <c r="D312" t="s">
        <v>74</v>
      </c>
      <c r="E312" t="s">
        <v>74</v>
      </c>
      <c r="F312" t="s">
        <v>6206</v>
      </c>
      <c r="G312" t="s">
        <v>74</v>
      </c>
      <c r="H312" t="s">
        <v>74</v>
      </c>
      <c r="I312" t="s">
        <v>6207</v>
      </c>
      <c r="J312" t="s">
        <v>762</v>
      </c>
      <c r="K312" t="s">
        <v>74</v>
      </c>
      <c r="L312" t="s">
        <v>74</v>
      </c>
      <c r="M312" t="s">
        <v>78</v>
      </c>
      <c r="N312" t="s">
        <v>108</v>
      </c>
      <c r="O312" t="s">
        <v>74</v>
      </c>
      <c r="P312" t="s">
        <v>74</v>
      </c>
      <c r="Q312" t="s">
        <v>74</v>
      </c>
      <c r="R312" t="s">
        <v>74</v>
      </c>
      <c r="S312" t="s">
        <v>74</v>
      </c>
      <c r="T312" t="s">
        <v>6208</v>
      </c>
      <c r="U312" t="s">
        <v>6209</v>
      </c>
      <c r="V312" t="s">
        <v>6210</v>
      </c>
      <c r="W312" t="s">
        <v>6211</v>
      </c>
      <c r="X312" t="s">
        <v>6212</v>
      </c>
      <c r="Y312" t="s">
        <v>6213</v>
      </c>
      <c r="Z312" t="s">
        <v>6214</v>
      </c>
      <c r="AA312" t="s">
        <v>6215</v>
      </c>
      <c r="AB312" t="s">
        <v>6216</v>
      </c>
      <c r="AC312" t="s">
        <v>6217</v>
      </c>
      <c r="AD312" t="s">
        <v>6218</v>
      </c>
      <c r="AE312" t="s">
        <v>6219</v>
      </c>
      <c r="AF312" t="s">
        <v>74</v>
      </c>
      <c r="AG312">
        <v>79</v>
      </c>
      <c r="AH312">
        <v>29</v>
      </c>
      <c r="AI312">
        <v>29</v>
      </c>
      <c r="AJ312">
        <v>9</v>
      </c>
      <c r="AK312">
        <v>53</v>
      </c>
      <c r="AL312" t="s">
        <v>279</v>
      </c>
      <c r="AM312" t="s">
        <v>280</v>
      </c>
      <c r="AN312" t="s">
        <v>281</v>
      </c>
      <c r="AO312" t="s">
        <v>773</v>
      </c>
      <c r="AP312" t="s">
        <v>774</v>
      </c>
      <c r="AQ312" t="s">
        <v>74</v>
      </c>
      <c r="AR312" t="s">
        <v>775</v>
      </c>
      <c r="AS312" t="s">
        <v>776</v>
      </c>
      <c r="AT312" t="s">
        <v>6220</v>
      </c>
      <c r="AU312">
        <v>2020</v>
      </c>
      <c r="AV312">
        <v>58</v>
      </c>
      <c r="AW312">
        <v>21</v>
      </c>
      <c r="AX312" t="s">
        <v>74</v>
      </c>
      <c r="AY312" t="s">
        <v>74</v>
      </c>
      <c r="AZ312" t="s">
        <v>74</v>
      </c>
      <c r="BA312" t="s">
        <v>74</v>
      </c>
      <c r="BB312">
        <v>6493</v>
      </c>
      <c r="BC312">
        <v>6512</v>
      </c>
      <c r="BD312" t="s">
        <v>74</v>
      </c>
      <c r="BE312" t="s">
        <v>6221</v>
      </c>
      <c r="BF312" t="str">
        <f>HYPERLINK("http://dx.doi.org/10.1080/00207543.2019.1682707","http://dx.doi.org/10.1080/00207543.2019.1682707")</f>
        <v>http://dx.doi.org/10.1080/00207543.2019.1682707</v>
      </c>
      <c r="BG312" t="s">
        <v>74</v>
      </c>
      <c r="BH312" t="s">
        <v>6222</v>
      </c>
      <c r="BI312">
        <v>20</v>
      </c>
      <c r="BJ312" t="s">
        <v>780</v>
      </c>
      <c r="BK312" t="s">
        <v>98</v>
      </c>
      <c r="BL312" t="s">
        <v>781</v>
      </c>
      <c r="BM312" t="s">
        <v>6223</v>
      </c>
      <c r="BN312" t="s">
        <v>74</v>
      </c>
      <c r="BO312" t="s">
        <v>889</v>
      </c>
      <c r="BP312" t="s">
        <v>74</v>
      </c>
      <c r="BQ312" t="s">
        <v>74</v>
      </c>
      <c r="BR312" t="s">
        <v>102</v>
      </c>
      <c r="BS312" t="s">
        <v>6224</v>
      </c>
      <c r="BT312" t="str">
        <f>HYPERLINK("https%3A%2F%2Fwww.webofscience.com%2Fwos%2Fwoscc%2Ffull-record%2FWOS:000492116800001","View Full Record in Web of Science")</f>
        <v>View Full Record in Web of Science</v>
      </c>
    </row>
    <row r="313" spans="1:72" x14ac:dyDescent="0.2">
      <c r="A313" t="s">
        <v>72</v>
      </c>
      <c r="B313" t="s">
        <v>6225</v>
      </c>
      <c r="C313" t="s">
        <v>74</v>
      </c>
      <c r="D313" t="s">
        <v>74</v>
      </c>
      <c r="E313" t="s">
        <v>74</v>
      </c>
      <c r="F313" t="s">
        <v>6226</v>
      </c>
      <c r="G313" t="s">
        <v>74</v>
      </c>
      <c r="H313" t="s">
        <v>74</v>
      </c>
      <c r="I313" t="s">
        <v>6227</v>
      </c>
      <c r="J313" t="s">
        <v>6228</v>
      </c>
      <c r="K313" t="s">
        <v>74</v>
      </c>
      <c r="L313" t="s">
        <v>74</v>
      </c>
      <c r="M313" t="s">
        <v>78</v>
      </c>
      <c r="N313" t="s">
        <v>108</v>
      </c>
      <c r="O313" t="s">
        <v>74</v>
      </c>
      <c r="P313" t="s">
        <v>74</v>
      </c>
      <c r="Q313" t="s">
        <v>74</v>
      </c>
      <c r="R313" t="s">
        <v>74</v>
      </c>
      <c r="S313" t="s">
        <v>74</v>
      </c>
      <c r="T313" t="s">
        <v>6229</v>
      </c>
      <c r="U313" t="s">
        <v>6230</v>
      </c>
      <c r="V313" t="s">
        <v>6231</v>
      </c>
      <c r="W313" t="s">
        <v>6232</v>
      </c>
      <c r="X313" t="s">
        <v>6233</v>
      </c>
      <c r="Y313" t="s">
        <v>6234</v>
      </c>
      <c r="Z313" t="s">
        <v>6235</v>
      </c>
      <c r="AA313" t="s">
        <v>74</v>
      </c>
      <c r="AB313" t="s">
        <v>74</v>
      </c>
      <c r="AC313" t="s">
        <v>6236</v>
      </c>
      <c r="AD313" t="s">
        <v>6237</v>
      </c>
      <c r="AE313" t="s">
        <v>6238</v>
      </c>
      <c r="AF313" t="s">
        <v>74</v>
      </c>
      <c r="AG313">
        <v>22</v>
      </c>
      <c r="AH313">
        <v>8</v>
      </c>
      <c r="AI313">
        <v>9</v>
      </c>
      <c r="AJ313">
        <v>2</v>
      </c>
      <c r="AK313">
        <v>30</v>
      </c>
      <c r="AL313" t="s">
        <v>209</v>
      </c>
      <c r="AM313" t="s">
        <v>210</v>
      </c>
      <c r="AN313" t="s">
        <v>211</v>
      </c>
      <c r="AO313" t="s">
        <v>6239</v>
      </c>
      <c r="AP313" t="s">
        <v>6240</v>
      </c>
      <c r="AQ313" t="s">
        <v>74</v>
      </c>
      <c r="AR313" t="s">
        <v>6241</v>
      </c>
      <c r="AS313" t="s">
        <v>6242</v>
      </c>
      <c r="AT313" t="s">
        <v>239</v>
      </c>
      <c r="AU313">
        <v>2013</v>
      </c>
      <c r="AV313">
        <v>91</v>
      </c>
      <c r="AW313">
        <v>8</v>
      </c>
      <c r="AX313" t="s">
        <v>74</v>
      </c>
      <c r="AY313" t="s">
        <v>74</v>
      </c>
      <c r="AZ313" t="s">
        <v>570</v>
      </c>
      <c r="BA313" t="s">
        <v>74</v>
      </c>
      <c r="BB313">
        <v>1383</v>
      </c>
      <c r="BC313">
        <v>1389</v>
      </c>
      <c r="BD313" t="s">
        <v>74</v>
      </c>
      <c r="BE313" t="s">
        <v>6243</v>
      </c>
      <c r="BF313" t="str">
        <f>HYPERLINK("http://dx.doi.org/10.1016/j.cherd.2013.02.021","http://dx.doi.org/10.1016/j.cherd.2013.02.021")</f>
        <v>http://dx.doi.org/10.1016/j.cherd.2013.02.021</v>
      </c>
      <c r="BG313" t="s">
        <v>74</v>
      </c>
      <c r="BH313" t="s">
        <v>74</v>
      </c>
      <c r="BI313">
        <v>7</v>
      </c>
      <c r="BJ313" t="s">
        <v>1291</v>
      </c>
      <c r="BK313" t="s">
        <v>98</v>
      </c>
      <c r="BL313" t="s">
        <v>1292</v>
      </c>
      <c r="BM313" t="s">
        <v>6244</v>
      </c>
      <c r="BN313" t="s">
        <v>74</v>
      </c>
      <c r="BO313" t="s">
        <v>74</v>
      </c>
      <c r="BP313" t="s">
        <v>74</v>
      </c>
      <c r="BQ313" t="s">
        <v>74</v>
      </c>
      <c r="BR313" t="s">
        <v>102</v>
      </c>
      <c r="BS313" t="s">
        <v>6245</v>
      </c>
      <c r="BT313" t="str">
        <f>HYPERLINK("https%3A%2F%2Fwww.webofscience.com%2Fwos%2Fwoscc%2Ffull-record%2FWOS:000323872500003","View Full Record in Web of Science")</f>
        <v>View Full Record in Web of Science</v>
      </c>
    </row>
    <row r="314" spans="1:72" x14ac:dyDescent="0.2">
      <c r="A314" t="s">
        <v>72</v>
      </c>
      <c r="B314" t="s">
        <v>6246</v>
      </c>
      <c r="C314" t="s">
        <v>74</v>
      </c>
      <c r="D314" t="s">
        <v>74</v>
      </c>
      <c r="E314" t="s">
        <v>74</v>
      </c>
      <c r="F314" t="s">
        <v>6247</v>
      </c>
      <c r="G314" t="s">
        <v>74</v>
      </c>
      <c r="H314" t="s">
        <v>74</v>
      </c>
      <c r="I314" t="s">
        <v>6248</v>
      </c>
      <c r="J314" t="s">
        <v>6249</v>
      </c>
      <c r="K314" t="s">
        <v>74</v>
      </c>
      <c r="L314" t="s">
        <v>74</v>
      </c>
      <c r="M314" t="s">
        <v>78</v>
      </c>
      <c r="N314" t="s">
        <v>108</v>
      </c>
      <c r="O314" t="s">
        <v>74</v>
      </c>
      <c r="P314" t="s">
        <v>74</v>
      </c>
      <c r="Q314" t="s">
        <v>74</v>
      </c>
      <c r="R314" t="s">
        <v>74</v>
      </c>
      <c r="S314" t="s">
        <v>74</v>
      </c>
      <c r="T314" t="s">
        <v>6250</v>
      </c>
      <c r="U314" t="s">
        <v>6251</v>
      </c>
      <c r="V314" t="s">
        <v>6252</v>
      </c>
      <c r="W314" t="s">
        <v>6253</v>
      </c>
      <c r="X314" t="s">
        <v>633</v>
      </c>
      <c r="Y314" t="s">
        <v>6254</v>
      </c>
      <c r="Z314" t="s">
        <v>6255</v>
      </c>
      <c r="AA314" t="s">
        <v>74</v>
      </c>
      <c r="AB314" t="s">
        <v>74</v>
      </c>
      <c r="AC314" t="s">
        <v>74</v>
      </c>
      <c r="AD314" t="s">
        <v>74</v>
      </c>
      <c r="AE314" t="s">
        <v>74</v>
      </c>
      <c r="AF314" t="s">
        <v>74</v>
      </c>
      <c r="AG314">
        <v>53</v>
      </c>
      <c r="AH314">
        <v>8</v>
      </c>
      <c r="AI314">
        <v>8</v>
      </c>
      <c r="AJ314">
        <v>7</v>
      </c>
      <c r="AK314">
        <v>44</v>
      </c>
      <c r="AL314" t="s">
        <v>437</v>
      </c>
      <c r="AM314" t="s">
        <v>438</v>
      </c>
      <c r="AN314" t="s">
        <v>439</v>
      </c>
      <c r="AO314" t="s">
        <v>6256</v>
      </c>
      <c r="AP314" t="s">
        <v>6257</v>
      </c>
      <c r="AQ314" t="s">
        <v>74</v>
      </c>
      <c r="AR314" t="s">
        <v>6258</v>
      </c>
      <c r="AS314" t="s">
        <v>6259</v>
      </c>
      <c r="AT314" t="s">
        <v>4164</v>
      </c>
      <c r="AU314">
        <v>2021</v>
      </c>
      <c r="AV314">
        <v>25</v>
      </c>
      <c r="AW314">
        <v>3</v>
      </c>
      <c r="AX314" t="s">
        <v>74</v>
      </c>
      <c r="AY314" t="s">
        <v>74</v>
      </c>
      <c r="AZ314" t="s">
        <v>74</v>
      </c>
      <c r="BA314" t="s">
        <v>74</v>
      </c>
      <c r="BB314">
        <v>465</v>
      </c>
      <c r="BC314">
        <v>481</v>
      </c>
      <c r="BD314" t="s">
        <v>74</v>
      </c>
      <c r="BE314" t="s">
        <v>6260</v>
      </c>
      <c r="BF314" t="str">
        <f>HYPERLINK("http://dx.doi.org/10.1108/JFMM-09-2019-0220","http://dx.doi.org/10.1108/JFMM-09-2019-0220")</f>
        <v>http://dx.doi.org/10.1108/JFMM-09-2019-0220</v>
      </c>
      <c r="BG314" t="s">
        <v>74</v>
      </c>
      <c r="BH314" t="s">
        <v>910</v>
      </c>
      <c r="BI314">
        <v>17</v>
      </c>
      <c r="BJ314" t="s">
        <v>849</v>
      </c>
      <c r="BK314" t="s">
        <v>242</v>
      </c>
      <c r="BL314" t="s">
        <v>419</v>
      </c>
      <c r="BM314" t="s">
        <v>6261</v>
      </c>
      <c r="BN314" t="s">
        <v>74</v>
      </c>
      <c r="BO314" t="s">
        <v>74</v>
      </c>
      <c r="BP314" t="s">
        <v>74</v>
      </c>
      <c r="BQ314" t="s">
        <v>74</v>
      </c>
      <c r="BR314" t="s">
        <v>102</v>
      </c>
      <c r="BS314" t="s">
        <v>6262</v>
      </c>
      <c r="BT314" t="str">
        <f>HYPERLINK("https%3A%2F%2Fwww.webofscience.com%2Fwos%2Fwoscc%2Ffull-record%2FWOS:000590946900001","View Full Record in Web of Science")</f>
        <v>View Full Record in Web of Science</v>
      </c>
    </row>
    <row r="315" spans="1:72" x14ac:dyDescent="0.2">
      <c r="A315" t="s">
        <v>72</v>
      </c>
      <c r="B315" t="s">
        <v>6263</v>
      </c>
      <c r="C315" t="s">
        <v>74</v>
      </c>
      <c r="D315" t="s">
        <v>74</v>
      </c>
      <c r="E315" t="s">
        <v>74</v>
      </c>
      <c r="F315" t="s">
        <v>6264</v>
      </c>
      <c r="G315" t="s">
        <v>74</v>
      </c>
      <c r="H315" t="s">
        <v>74</v>
      </c>
      <c r="I315" t="s">
        <v>6265</v>
      </c>
      <c r="J315" t="s">
        <v>4673</v>
      </c>
      <c r="K315" t="s">
        <v>74</v>
      </c>
      <c r="L315" t="s">
        <v>74</v>
      </c>
      <c r="M315" t="s">
        <v>78</v>
      </c>
      <c r="N315" t="s">
        <v>108</v>
      </c>
      <c r="O315" t="s">
        <v>74</v>
      </c>
      <c r="P315" t="s">
        <v>74</v>
      </c>
      <c r="Q315" t="s">
        <v>74</v>
      </c>
      <c r="R315" t="s">
        <v>74</v>
      </c>
      <c r="S315" t="s">
        <v>74</v>
      </c>
      <c r="T315" t="s">
        <v>6266</v>
      </c>
      <c r="U315" t="s">
        <v>6267</v>
      </c>
      <c r="V315" t="s">
        <v>6268</v>
      </c>
      <c r="W315" t="s">
        <v>6269</v>
      </c>
      <c r="X315" t="s">
        <v>6270</v>
      </c>
      <c r="Y315" t="s">
        <v>6271</v>
      </c>
      <c r="Z315" t="s">
        <v>6272</v>
      </c>
      <c r="AA315" t="s">
        <v>74</v>
      </c>
      <c r="AB315" t="s">
        <v>6273</v>
      </c>
      <c r="AC315" t="s">
        <v>74</v>
      </c>
      <c r="AD315" t="s">
        <v>74</v>
      </c>
      <c r="AE315" t="s">
        <v>74</v>
      </c>
      <c r="AF315" t="s">
        <v>74</v>
      </c>
      <c r="AG315">
        <v>41</v>
      </c>
      <c r="AH315">
        <v>75</v>
      </c>
      <c r="AI315">
        <v>80</v>
      </c>
      <c r="AJ315">
        <v>10</v>
      </c>
      <c r="AK315">
        <v>71</v>
      </c>
      <c r="AL315" t="s">
        <v>543</v>
      </c>
      <c r="AM315" t="s">
        <v>260</v>
      </c>
      <c r="AN315" t="s">
        <v>544</v>
      </c>
      <c r="AO315" t="s">
        <v>4682</v>
      </c>
      <c r="AP315" t="s">
        <v>74</v>
      </c>
      <c r="AQ315" t="s">
        <v>74</v>
      </c>
      <c r="AR315" t="s">
        <v>4683</v>
      </c>
      <c r="AS315" t="s">
        <v>4684</v>
      </c>
      <c r="AT315" t="s">
        <v>121</v>
      </c>
      <c r="AU315">
        <v>2015</v>
      </c>
      <c r="AV315">
        <v>79</v>
      </c>
      <c r="AW315" t="s">
        <v>74</v>
      </c>
      <c r="AX315" t="s">
        <v>74</v>
      </c>
      <c r="AY315" t="s">
        <v>74</v>
      </c>
      <c r="AZ315" t="s">
        <v>74</v>
      </c>
      <c r="BA315" t="s">
        <v>74</v>
      </c>
      <c r="BB315">
        <v>1</v>
      </c>
      <c r="BC315">
        <v>21</v>
      </c>
      <c r="BD315" t="s">
        <v>74</v>
      </c>
      <c r="BE315" t="s">
        <v>6274</v>
      </c>
      <c r="BF315" t="str">
        <f>HYPERLINK("http://dx.doi.org/10.1016/j.tre.2015.03.003","http://dx.doi.org/10.1016/j.tre.2015.03.003")</f>
        <v>http://dx.doi.org/10.1016/j.tre.2015.03.003</v>
      </c>
      <c r="BG315" t="s">
        <v>74</v>
      </c>
      <c r="BH315" t="s">
        <v>74</v>
      </c>
      <c r="BI315">
        <v>21</v>
      </c>
      <c r="BJ315" t="s">
        <v>4686</v>
      </c>
      <c r="BK315" t="s">
        <v>147</v>
      </c>
      <c r="BL315" t="s">
        <v>4687</v>
      </c>
      <c r="BM315" t="s">
        <v>6275</v>
      </c>
      <c r="BN315" t="s">
        <v>74</v>
      </c>
      <c r="BO315" t="s">
        <v>74</v>
      </c>
      <c r="BP315" t="s">
        <v>74</v>
      </c>
      <c r="BQ315" t="s">
        <v>74</v>
      </c>
      <c r="BR315" t="s">
        <v>102</v>
      </c>
      <c r="BS315" t="s">
        <v>6276</v>
      </c>
      <c r="BT315" t="str">
        <f>HYPERLINK("https%3A%2F%2Fwww.webofscience.com%2Fwos%2Fwoscc%2Ffull-record%2FWOS:000356736400001","View Full Record in Web of Science")</f>
        <v>View Full Record in Web of Science</v>
      </c>
    </row>
    <row r="316" spans="1:72" x14ac:dyDescent="0.2">
      <c r="A316" t="s">
        <v>72</v>
      </c>
      <c r="B316" t="s">
        <v>6277</v>
      </c>
      <c r="C316" t="s">
        <v>74</v>
      </c>
      <c r="D316" t="s">
        <v>74</v>
      </c>
      <c r="E316" t="s">
        <v>74</v>
      </c>
      <c r="F316" t="s">
        <v>6278</v>
      </c>
      <c r="G316" t="s">
        <v>74</v>
      </c>
      <c r="H316" t="s">
        <v>74</v>
      </c>
      <c r="I316" t="s">
        <v>6279</v>
      </c>
      <c r="J316" t="s">
        <v>6280</v>
      </c>
      <c r="K316" t="s">
        <v>74</v>
      </c>
      <c r="L316" t="s">
        <v>74</v>
      </c>
      <c r="M316" t="s">
        <v>78</v>
      </c>
      <c r="N316" t="s">
        <v>482</v>
      </c>
      <c r="O316" t="s">
        <v>6281</v>
      </c>
      <c r="P316" t="s">
        <v>6282</v>
      </c>
      <c r="Q316" t="s">
        <v>6283</v>
      </c>
      <c r="R316" t="s">
        <v>6284</v>
      </c>
      <c r="S316" t="s">
        <v>74</v>
      </c>
      <c r="T316" t="s">
        <v>6285</v>
      </c>
      <c r="U316" t="s">
        <v>6286</v>
      </c>
      <c r="V316" t="s">
        <v>6287</v>
      </c>
      <c r="W316" t="s">
        <v>6288</v>
      </c>
      <c r="X316" t="s">
        <v>6289</v>
      </c>
      <c r="Y316" t="s">
        <v>6290</v>
      </c>
      <c r="Z316" t="s">
        <v>6291</v>
      </c>
      <c r="AA316" t="s">
        <v>74</v>
      </c>
      <c r="AB316" t="s">
        <v>74</v>
      </c>
      <c r="AC316" t="s">
        <v>74</v>
      </c>
      <c r="AD316" t="s">
        <v>74</v>
      </c>
      <c r="AE316" t="s">
        <v>74</v>
      </c>
      <c r="AF316" t="s">
        <v>74</v>
      </c>
      <c r="AG316">
        <v>32</v>
      </c>
      <c r="AH316">
        <v>15</v>
      </c>
      <c r="AI316">
        <v>16</v>
      </c>
      <c r="AJ316">
        <v>0</v>
      </c>
      <c r="AK316">
        <v>7</v>
      </c>
      <c r="AL316" t="s">
        <v>2752</v>
      </c>
      <c r="AM316" t="s">
        <v>2753</v>
      </c>
      <c r="AN316" t="s">
        <v>2754</v>
      </c>
      <c r="AO316" t="s">
        <v>6292</v>
      </c>
      <c r="AP316" t="s">
        <v>6293</v>
      </c>
      <c r="AQ316" t="s">
        <v>74</v>
      </c>
      <c r="AR316" t="s">
        <v>6294</v>
      </c>
      <c r="AS316" t="s">
        <v>6295</v>
      </c>
      <c r="AT316" t="s">
        <v>216</v>
      </c>
      <c r="AU316">
        <v>2006</v>
      </c>
      <c r="AV316">
        <v>5</v>
      </c>
      <c r="AW316">
        <v>4</v>
      </c>
      <c r="AX316" t="s">
        <v>74</v>
      </c>
      <c r="AY316" t="s">
        <v>74</v>
      </c>
      <c r="AZ316" t="s">
        <v>74</v>
      </c>
      <c r="BA316" t="s">
        <v>74</v>
      </c>
      <c r="BB316">
        <v>683</v>
      </c>
      <c r="BC316">
        <v>698</v>
      </c>
      <c r="BD316" t="s">
        <v>74</v>
      </c>
      <c r="BE316" t="s">
        <v>6296</v>
      </c>
      <c r="BF316" t="str">
        <f>HYPERLINK("http://dx.doi.org/10.1142/S0219622006002167","http://dx.doi.org/10.1142/S0219622006002167")</f>
        <v>http://dx.doi.org/10.1142/S0219622006002167</v>
      </c>
      <c r="BG316" t="s">
        <v>74</v>
      </c>
      <c r="BH316" t="s">
        <v>74</v>
      </c>
      <c r="BI316">
        <v>16</v>
      </c>
      <c r="BJ316" t="s">
        <v>6297</v>
      </c>
      <c r="BK316" t="s">
        <v>3093</v>
      </c>
      <c r="BL316" t="s">
        <v>1194</v>
      </c>
      <c r="BM316" t="s">
        <v>6298</v>
      </c>
      <c r="BN316" t="s">
        <v>74</v>
      </c>
      <c r="BO316" t="s">
        <v>74</v>
      </c>
      <c r="BP316" t="s">
        <v>74</v>
      </c>
      <c r="BQ316" t="s">
        <v>74</v>
      </c>
      <c r="BR316" t="s">
        <v>102</v>
      </c>
      <c r="BS316" t="s">
        <v>6299</v>
      </c>
      <c r="BT316" t="str">
        <f>HYPERLINK("https%3A%2F%2Fwww.webofscience.com%2Fwos%2Fwoscc%2Ffull-record%2FWOS:000243318400010","View Full Record in Web of Science")</f>
        <v>View Full Record in Web of Science</v>
      </c>
    </row>
    <row r="317" spans="1:72" x14ac:dyDescent="0.2">
      <c r="A317" t="s">
        <v>72</v>
      </c>
      <c r="B317" t="s">
        <v>6300</v>
      </c>
      <c r="C317" t="s">
        <v>74</v>
      </c>
      <c r="D317" t="s">
        <v>74</v>
      </c>
      <c r="E317" t="s">
        <v>74</v>
      </c>
      <c r="F317" t="s">
        <v>6301</v>
      </c>
      <c r="G317" t="s">
        <v>74</v>
      </c>
      <c r="H317" t="s">
        <v>74</v>
      </c>
      <c r="I317" t="s">
        <v>6302</v>
      </c>
      <c r="J317" t="s">
        <v>131</v>
      </c>
      <c r="K317" t="s">
        <v>74</v>
      </c>
      <c r="L317" t="s">
        <v>74</v>
      </c>
      <c r="M317" t="s">
        <v>78</v>
      </c>
      <c r="N317" t="s">
        <v>108</v>
      </c>
      <c r="O317" t="s">
        <v>74</v>
      </c>
      <c r="P317" t="s">
        <v>74</v>
      </c>
      <c r="Q317" t="s">
        <v>74</v>
      </c>
      <c r="R317" t="s">
        <v>74</v>
      </c>
      <c r="S317" t="s">
        <v>74</v>
      </c>
      <c r="T317" t="s">
        <v>6303</v>
      </c>
      <c r="U317" t="s">
        <v>6304</v>
      </c>
      <c r="V317" t="s">
        <v>6305</v>
      </c>
      <c r="W317" t="s">
        <v>6306</v>
      </c>
      <c r="X317" t="s">
        <v>6307</v>
      </c>
      <c r="Y317" t="s">
        <v>6308</v>
      </c>
      <c r="Z317" t="s">
        <v>6309</v>
      </c>
      <c r="AA317" t="s">
        <v>74</v>
      </c>
      <c r="AB317" t="s">
        <v>6310</v>
      </c>
      <c r="AC317" t="s">
        <v>6311</v>
      </c>
      <c r="AD317" t="s">
        <v>6312</v>
      </c>
      <c r="AE317" t="s">
        <v>6313</v>
      </c>
      <c r="AF317" t="s">
        <v>74</v>
      </c>
      <c r="AG317">
        <v>76</v>
      </c>
      <c r="AH317">
        <v>2</v>
      </c>
      <c r="AI317">
        <v>2</v>
      </c>
      <c r="AJ317">
        <v>8</v>
      </c>
      <c r="AK317">
        <v>17</v>
      </c>
      <c r="AL317" t="s">
        <v>116</v>
      </c>
      <c r="AM317" t="s">
        <v>117</v>
      </c>
      <c r="AN317" t="s">
        <v>118</v>
      </c>
      <c r="AO317" t="s">
        <v>74</v>
      </c>
      <c r="AP317" t="s">
        <v>142</v>
      </c>
      <c r="AQ317" t="s">
        <v>74</v>
      </c>
      <c r="AR317" t="s">
        <v>143</v>
      </c>
      <c r="AS317" t="s">
        <v>144</v>
      </c>
      <c r="AT317" t="s">
        <v>174</v>
      </c>
      <c r="AU317">
        <v>2022</v>
      </c>
      <c r="AV317">
        <v>14</v>
      </c>
      <c r="AW317">
        <v>19</v>
      </c>
      <c r="AX317" t="s">
        <v>74</v>
      </c>
      <c r="AY317" t="s">
        <v>74</v>
      </c>
      <c r="AZ317" t="s">
        <v>74</v>
      </c>
      <c r="BA317" t="s">
        <v>74</v>
      </c>
      <c r="BB317" t="s">
        <v>74</v>
      </c>
      <c r="BC317" t="s">
        <v>74</v>
      </c>
      <c r="BD317">
        <v>12060</v>
      </c>
      <c r="BE317" t="s">
        <v>6314</v>
      </c>
      <c r="BF317" t="str">
        <f>HYPERLINK("http://dx.doi.org/10.3390/su141912060","http://dx.doi.org/10.3390/su141912060")</f>
        <v>http://dx.doi.org/10.3390/su141912060</v>
      </c>
      <c r="BG317" t="s">
        <v>74</v>
      </c>
      <c r="BH317" t="s">
        <v>74</v>
      </c>
      <c r="BI317">
        <v>20</v>
      </c>
      <c r="BJ317" t="s">
        <v>146</v>
      </c>
      <c r="BK317" t="s">
        <v>147</v>
      </c>
      <c r="BL317" t="s">
        <v>148</v>
      </c>
      <c r="BM317" t="s">
        <v>6315</v>
      </c>
      <c r="BN317" t="s">
        <v>74</v>
      </c>
      <c r="BO317" t="s">
        <v>126</v>
      </c>
      <c r="BP317" t="s">
        <v>74</v>
      </c>
      <c r="BQ317" t="s">
        <v>74</v>
      </c>
      <c r="BR317" t="s">
        <v>102</v>
      </c>
      <c r="BS317" t="s">
        <v>6316</v>
      </c>
      <c r="BT317" t="str">
        <f>HYPERLINK("https%3A%2F%2Fwww.webofscience.com%2Fwos%2Fwoscc%2Ffull-record%2FWOS:000867232100001","View Full Record in Web of Science")</f>
        <v>View Full Record in Web of Science</v>
      </c>
    </row>
    <row r="318" spans="1:72" x14ac:dyDescent="0.2">
      <c r="A318" t="s">
        <v>72</v>
      </c>
      <c r="B318" t="s">
        <v>4865</v>
      </c>
      <c r="C318" t="s">
        <v>74</v>
      </c>
      <c r="D318" t="s">
        <v>74</v>
      </c>
      <c r="E318" t="s">
        <v>74</v>
      </c>
      <c r="F318" t="s">
        <v>4866</v>
      </c>
      <c r="G318" t="s">
        <v>74</v>
      </c>
      <c r="H318" t="s">
        <v>74</v>
      </c>
      <c r="I318" t="s">
        <v>6317</v>
      </c>
      <c r="J318" t="s">
        <v>6318</v>
      </c>
      <c r="K318" t="s">
        <v>74</v>
      </c>
      <c r="L318" t="s">
        <v>74</v>
      </c>
      <c r="M318" t="s">
        <v>78</v>
      </c>
      <c r="N318" t="s">
        <v>108</v>
      </c>
      <c r="O318" t="s">
        <v>74</v>
      </c>
      <c r="P318" t="s">
        <v>74</v>
      </c>
      <c r="Q318" t="s">
        <v>74</v>
      </c>
      <c r="R318" t="s">
        <v>74</v>
      </c>
      <c r="S318" t="s">
        <v>74</v>
      </c>
      <c r="T318" t="s">
        <v>6319</v>
      </c>
      <c r="U318" t="s">
        <v>6320</v>
      </c>
      <c r="V318" t="s">
        <v>6321</v>
      </c>
      <c r="W318" t="s">
        <v>6322</v>
      </c>
      <c r="X318" t="s">
        <v>4872</v>
      </c>
      <c r="Y318" t="s">
        <v>4873</v>
      </c>
      <c r="Z318" t="s">
        <v>4874</v>
      </c>
      <c r="AA318" t="s">
        <v>6323</v>
      </c>
      <c r="AB318" t="s">
        <v>6324</v>
      </c>
      <c r="AC318" t="s">
        <v>4877</v>
      </c>
      <c r="AD318" t="s">
        <v>4878</v>
      </c>
      <c r="AE318" t="s">
        <v>6325</v>
      </c>
      <c r="AF318" t="s">
        <v>74</v>
      </c>
      <c r="AG318">
        <v>46</v>
      </c>
      <c r="AH318">
        <v>19</v>
      </c>
      <c r="AI318">
        <v>19</v>
      </c>
      <c r="AJ318">
        <v>1</v>
      </c>
      <c r="AK318">
        <v>17</v>
      </c>
      <c r="AL318" t="s">
        <v>209</v>
      </c>
      <c r="AM318" t="s">
        <v>210</v>
      </c>
      <c r="AN318" t="s">
        <v>211</v>
      </c>
      <c r="AO318" t="s">
        <v>6326</v>
      </c>
      <c r="AP318" t="s">
        <v>6327</v>
      </c>
      <c r="AQ318" t="s">
        <v>74</v>
      </c>
      <c r="AR318" t="s">
        <v>6328</v>
      </c>
      <c r="AS318" t="s">
        <v>6329</v>
      </c>
      <c r="AT318" t="s">
        <v>6330</v>
      </c>
      <c r="AU318">
        <v>2019</v>
      </c>
      <c r="AV318">
        <v>35</v>
      </c>
      <c r="AW318">
        <v>1</v>
      </c>
      <c r="AX318" t="s">
        <v>74</v>
      </c>
      <c r="AY318" t="s">
        <v>74</v>
      </c>
      <c r="AZ318" t="s">
        <v>74</v>
      </c>
      <c r="BA318" t="s">
        <v>74</v>
      </c>
      <c r="BB318">
        <v>239</v>
      </c>
      <c r="BC318">
        <v>250</v>
      </c>
      <c r="BD318" t="s">
        <v>74</v>
      </c>
      <c r="BE318" t="s">
        <v>6331</v>
      </c>
      <c r="BF318" t="str">
        <f>HYPERLINK("http://dx.doi.org/10.1016/j.ijforecast.2018.05.009","http://dx.doi.org/10.1016/j.ijforecast.2018.05.009")</f>
        <v>http://dx.doi.org/10.1016/j.ijforecast.2018.05.009</v>
      </c>
      <c r="BG318" t="s">
        <v>74</v>
      </c>
      <c r="BH318" t="s">
        <v>74</v>
      </c>
      <c r="BI318">
        <v>12</v>
      </c>
      <c r="BJ318" t="s">
        <v>6332</v>
      </c>
      <c r="BK318" t="s">
        <v>242</v>
      </c>
      <c r="BL318" t="s">
        <v>419</v>
      </c>
      <c r="BM318" t="s">
        <v>6333</v>
      </c>
      <c r="BN318" t="s">
        <v>74</v>
      </c>
      <c r="BO318" t="s">
        <v>4883</v>
      </c>
      <c r="BP318" t="s">
        <v>74</v>
      </c>
      <c r="BQ318" t="s">
        <v>74</v>
      </c>
      <c r="BR318" t="s">
        <v>102</v>
      </c>
      <c r="BS318" t="s">
        <v>6334</v>
      </c>
      <c r="BT318" t="str">
        <f>HYPERLINK("https%3A%2F%2Fwww.webofscience.com%2Fwos%2Fwoscc%2Ffull-record%2FWOS:000454976000017","View Full Record in Web of Science")</f>
        <v>View Full Record in Web of Science</v>
      </c>
    </row>
    <row r="319" spans="1:72" x14ac:dyDescent="0.2">
      <c r="A319" t="s">
        <v>72</v>
      </c>
      <c r="B319" t="s">
        <v>6335</v>
      </c>
      <c r="C319" t="s">
        <v>74</v>
      </c>
      <c r="D319" t="s">
        <v>74</v>
      </c>
      <c r="E319" t="s">
        <v>74</v>
      </c>
      <c r="F319" t="s">
        <v>6336</v>
      </c>
      <c r="G319" t="s">
        <v>74</v>
      </c>
      <c r="H319" t="s">
        <v>74</v>
      </c>
      <c r="I319" t="s">
        <v>6337</v>
      </c>
      <c r="J319" t="s">
        <v>4086</v>
      </c>
      <c r="K319" t="s">
        <v>74</v>
      </c>
      <c r="L319" t="s">
        <v>74</v>
      </c>
      <c r="M319" t="s">
        <v>78</v>
      </c>
      <c r="N319" t="s">
        <v>108</v>
      </c>
      <c r="O319" t="s">
        <v>74</v>
      </c>
      <c r="P319" t="s">
        <v>74</v>
      </c>
      <c r="Q319" t="s">
        <v>74</v>
      </c>
      <c r="R319" t="s">
        <v>74</v>
      </c>
      <c r="S319" t="s">
        <v>74</v>
      </c>
      <c r="T319" t="s">
        <v>6338</v>
      </c>
      <c r="U319" t="s">
        <v>6339</v>
      </c>
      <c r="V319" t="s">
        <v>6340</v>
      </c>
      <c r="W319" t="s">
        <v>6341</v>
      </c>
      <c r="X319" t="s">
        <v>6342</v>
      </c>
      <c r="Y319" t="s">
        <v>6343</v>
      </c>
      <c r="Z319" t="s">
        <v>6344</v>
      </c>
      <c r="AA319" t="s">
        <v>74</v>
      </c>
      <c r="AB319" t="s">
        <v>74</v>
      </c>
      <c r="AC319" t="s">
        <v>74</v>
      </c>
      <c r="AD319" t="s">
        <v>74</v>
      </c>
      <c r="AE319" t="s">
        <v>74</v>
      </c>
      <c r="AF319" t="s">
        <v>74</v>
      </c>
      <c r="AG319">
        <v>48</v>
      </c>
      <c r="AH319">
        <v>19</v>
      </c>
      <c r="AI319">
        <v>19</v>
      </c>
      <c r="AJ319">
        <v>0</v>
      </c>
      <c r="AK319">
        <v>25</v>
      </c>
      <c r="AL319" t="s">
        <v>6345</v>
      </c>
      <c r="AM319" t="s">
        <v>210</v>
      </c>
      <c r="AN319" t="s">
        <v>6346</v>
      </c>
      <c r="AO319" t="s">
        <v>4097</v>
      </c>
      <c r="AP319" t="s">
        <v>74</v>
      </c>
      <c r="AQ319" t="s">
        <v>74</v>
      </c>
      <c r="AR319" t="s">
        <v>4098</v>
      </c>
      <c r="AS319" t="s">
        <v>4099</v>
      </c>
      <c r="AT319" t="s">
        <v>416</v>
      </c>
      <c r="AU319">
        <v>2013</v>
      </c>
      <c r="AV319">
        <v>20</v>
      </c>
      <c r="AW319">
        <v>3</v>
      </c>
      <c r="AX319" t="s">
        <v>74</v>
      </c>
      <c r="AY319" t="s">
        <v>74</v>
      </c>
      <c r="AZ319" t="s">
        <v>74</v>
      </c>
      <c r="BA319" t="s">
        <v>74</v>
      </c>
      <c r="BB319">
        <v>879</v>
      </c>
      <c r="BC319">
        <v>899</v>
      </c>
      <c r="BD319" t="s">
        <v>74</v>
      </c>
      <c r="BE319" t="s">
        <v>6347</v>
      </c>
      <c r="BF319" t="str">
        <f>HYPERLINK("http://dx.doi.org/10.1016/j.scient.2013.05.004","http://dx.doi.org/10.1016/j.scient.2013.05.004")</f>
        <v>http://dx.doi.org/10.1016/j.scient.2013.05.004</v>
      </c>
      <c r="BG319" t="s">
        <v>74</v>
      </c>
      <c r="BH319" t="s">
        <v>74</v>
      </c>
      <c r="BI319">
        <v>21</v>
      </c>
      <c r="BJ319" t="s">
        <v>2462</v>
      </c>
      <c r="BK319" t="s">
        <v>98</v>
      </c>
      <c r="BL319" t="s">
        <v>1292</v>
      </c>
      <c r="BM319" t="s">
        <v>6348</v>
      </c>
      <c r="BN319" t="s">
        <v>74</v>
      </c>
      <c r="BO319" t="s">
        <v>74</v>
      </c>
      <c r="BP319" t="s">
        <v>74</v>
      </c>
      <c r="BQ319" t="s">
        <v>74</v>
      </c>
      <c r="BR319" t="s">
        <v>102</v>
      </c>
      <c r="BS319" t="s">
        <v>6349</v>
      </c>
      <c r="BT319" t="str">
        <f>HYPERLINK("https%3A%2F%2Fwww.webofscience.com%2Fwos%2Fwoscc%2Ffull-record%2FWOS:000324896800052","View Full Record in Web of Science")</f>
        <v>View Full Record in Web of Science</v>
      </c>
    </row>
    <row r="320" spans="1:72" x14ac:dyDescent="0.2">
      <c r="A320" t="s">
        <v>72</v>
      </c>
      <c r="B320" t="s">
        <v>6350</v>
      </c>
      <c r="C320" t="s">
        <v>74</v>
      </c>
      <c r="D320" t="s">
        <v>74</v>
      </c>
      <c r="E320" t="s">
        <v>74</v>
      </c>
      <c r="F320" t="s">
        <v>6351</v>
      </c>
      <c r="G320" t="s">
        <v>74</v>
      </c>
      <c r="H320" t="s">
        <v>74</v>
      </c>
      <c r="I320" t="s">
        <v>6352</v>
      </c>
      <c r="J320" t="s">
        <v>311</v>
      </c>
      <c r="K320" t="s">
        <v>74</v>
      </c>
      <c r="L320" t="s">
        <v>74</v>
      </c>
      <c r="M320" t="s">
        <v>78</v>
      </c>
      <c r="N320" t="s">
        <v>108</v>
      </c>
      <c r="O320" t="s">
        <v>74</v>
      </c>
      <c r="P320" t="s">
        <v>74</v>
      </c>
      <c r="Q320" t="s">
        <v>74</v>
      </c>
      <c r="R320" t="s">
        <v>74</v>
      </c>
      <c r="S320" t="s">
        <v>74</v>
      </c>
      <c r="T320" t="s">
        <v>6353</v>
      </c>
      <c r="U320" t="s">
        <v>6354</v>
      </c>
      <c r="V320" t="s">
        <v>6355</v>
      </c>
      <c r="W320" t="s">
        <v>6356</v>
      </c>
      <c r="X320" t="s">
        <v>6357</v>
      </c>
      <c r="Y320" t="s">
        <v>6358</v>
      </c>
      <c r="Z320" t="s">
        <v>6359</v>
      </c>
      <c r="AA320" t="s">
        <v>6360</v>
      </c>
      <c r="AB320" t="s">
        <v>6361</v>
      </c>
      <c r="AC320" t="s">
        <v>6362</v>
      </c>
      <c r="AD320" t="s">
        <v>6362</v>
      </c>
      <c r="AE320" t="s">
        <v>6363</v>
      </c>
      <c r="AF320" t="s">
        <v>74</v>
      </c>
      <c r="AG320">
        <v>63</v>
      </c>
      <c r="AH320">
        <v>43</v>
      </c>
      <c r="AI320">
        <v>45</v>
      </c>
      <c r="AJ320">
        <v>4</v>
      </c>
      <c r="AK320">
        <v>90</v>
      </c>
      <c r="AL320" t="s">
        <v>321</v>
      </c>
      <c r="AM320" t="s">
        <v>322</v>
      </c>
      <c r="AN320" t="s">
        <v>323</v>
      </c>
      <c r="AO320" t="s">
        <v>324</v>
      </c>
      <c r="AP320" t="s">
        <v>325</v>
      </c>
      <c r="AQ320" t="s">
        <v>74</v>
      </c>
      <c r="AR320" t="s">
        <v>326</v>
      </c>
      <c r="AS320" t="s">
        <v>327</v>
      </c>
      <c r="AT320" t="s">
        <v>194</v>
      </c>
      <c r="AU320">
        <v>2018</v>
      </c>
      <c r="AV320">
        <v>270</v>
      </c>
      <c r="AW320" t="s">
        <v>1459</v>
      </c>
      <c r="AX320" t="s">
        <v>74</v>
      </c>
      <c r="AY320" t="s">
        <v>74</v>
      </c>
      <c r="AZ320" t="s">
        <v>570</v>
      </c>
      <c r="BA320" t="s">
        <v>74</v>
      </c>
      <c r="BB320">
        <v>287</v>
      </c>
      <c r="BC320">
        <v>312</v>
      </c>
      <c r="BD320" t="s">
        <v>74</v>
      </c>
      <c r="BE320" t="s">
        <v>6364</v>
      </c>
      <c r="BF320" t="str">
        <f>HYPERLINK("http://dx.doi.org/10.1007/s10479-016-2393-z","http://dx.doi.org/10.1007/s10479-016-2393-z")</f>
        <v>http://dx.doi.org/10.1007/s10479-016-2393-z</v>
      </c>
      <c r="BG320" t="s">
        <v>74</v>
      </c>
      <c r="BH320" t="s">
        <v>74</v>
      </c>
      <c r="BI320">
        <v>26</v>
      </c>
      <c r="BJ320" t="s">
        <v>330</v>
      </c>
      <c r="BK320" t="s">
        <v>147</v>
      </c>
      <c r="BL320" t="s">
        <v>330</v>
      </c>
      <c r="BM320" t="s">
        <v>6365</v>
      </c>
      <c r="BN320" t="s">
        <v>74</v>
      </c>
      <c r="BO320" t="s">
        <v>1833</v>
      </c>
      <c r="BP320" t="s">
        <v>74</v>
      </c>
      <c r="BQ320" t="s">
        <v>74</v>
      </c>
      <c r="BR320" t="s">
        <v>102</v>
      </c>
      <c r="BS320" t="s">
        <v>6366</v>
      </c>
      <c r="BT320" t="str">
        <f>HYPERLINK("https%3A%2F%2Fwww.webofscience.com%2Fwos%2Fwoscc%2Ffull-record%2FWOS:000445733300016","View Full Record in Web of Science")</f>
        <v>View Full Record in Web of Science</v>
      </c>
    </row>
    <row r="321" spans="1:72" x14ac:dyDescent="0.2">
      <c r="A321" t="s">
        <v>72</v>
      </c>
      <c r="B321" t="s">
        <v>6367</v>
      </c>
      <c r="C321" t="s">
        <v>74</v>
      </c>
      <c r="D321" t="s">
        <v>74</v>
      </c>
      <c r="E321" t="s">
        <v>74</v>
      </c>
      <c r="F321" t="s">
        <v>6368</v>
      </c>
      <c r="G321" t="s">
        <v>74</v>
      </c>
      <c r="H321" t="s">
        <v>74</v>
      </c>
      <c r="I321" t="s">
        <v>6369</v>
      </c>
      <c r="J321" t="s">
        <v>6370</v>
      </c>
      <c r="K321" t="s">
        <v>74</v>
      </c>
      <c r="L321" t="s">
        <v>74</v>
      </c>
      <c r="M321" t="s">
        <v>78</v>
      </c>
      <c r="N321" t="s">
        <v>108</v>
      </c>
      <c r="O321" t="s">
        <v>74</v>
      </c>
      <c r="P321" t="s">
        <v>74</v>
      </c>
      <c r="Q321" t="s">
        <v>74</v>
      </c>
      <c r="R321" t="s">
        <v>74</v>
      </c>
      <c r="S321" t="s">
        <v>74</v>
      </c>
      <c r="T321" t="s">
        <v>6371</v>
      </c>
      <c r="U321" t="s">
        <v>74</v>
      </c>
      <c r="V321" t="s">
        <v>6372</v>
      </c>
      <c r="W321" t="s">
        <v>6373</v>
      </c>
      <c r="X321" t="s">
        <v>6374</v>
      </c>
      <c r="Y321" t="s">
        <v>6375</v>
      </c>
      <c r="Z321" t="s">
        <v>6376</v>
      </c>
      <c r="AA321" t="s">
        <v>74</v>
      </c>
      <c r="AB321" t="s">
        <v>74</v>
      </c>
      <c r="AC321" t="s">
        <v>6377</v>
      </c>
      <c r="AD321" t="s">
        <v>6378</v>
      </c>
      <c r="AE321" t="s">
        <v>6379</v>
      </c>
      <c r="AF321" t="s">
        <v>74</v>
      </c>
      <c r="AG321">
        <v>10</v>
      </c>
      <c r="AH321">
        <v>0</v>
      </c>
      <c r="AI321">
        <v>0</v>
      </c>
      <c r="AJ321">
        <v>0</v>
      </c>
      <c r="AK321">
        <v>0</v>
      </c>
      <c r="AL321" t="s">
        <v>6380</v>
      </c>
      <c r="AM321" t="s">
        <v>6381</v>
      </c>
      <c r="AN321" t="s">
        <v>6382</v>
      </c>
      <c r="AO321" t="s">
        <v>6383</v>
      </c>
      <c r="AP321" t="s">
        <v>6384</v>
      </c>
      <c r="AQ321" t="s">
        <v>74</v>
      </c>
      <c r="AR321" t="s">
        <v>6385</v>
      </c>
      <c r="AS321" t="s">
        <v>6386</v>
      </c>
      <c r="AT321" t="s">
        <v>74</v>
      </c>
      <c r="AU321">
        <v>2022</v>
      </c>
      <c r="AV321">
        <v>26</v>
      </c>
      <c r="AW321">
        <v>4</v>
      </c>
      <c r="AX321" t="s">
        <v>74</v>
      </c>
      <c r="AY321" t="s">
        <v>74</v>
      </c>
      <c r="AZ321" t="s">
        <v>74</v>
      </c>
      <c r="BA321" t="s">
        <v>74</v>
      </c>
      <c r="BB321">
        <v>280</v>
      </c>
      <c r="BC321">
        <v>295</v>
      </c>
      <c r="BD321" t="s">
        <v>74</v>
      </c>
      <c r="BE321" t="s">
        <v>6387</v>
      </c>
      <c r="BF321" t="str">
        <f>HYPERLINK("http://dx.doi.org/10.12941/jksiam.2022.26.280","http://dx.doi.org/10.12941/jksiam.2022.26.280")</f>
        <v>http://dx.doi.org/10.12941/jksiam.2022.26.280</v>
      </c>
      <c r="BG321" t="s">
        <v>74</v>
      </c>
      <c r="BH321" t="s">
        <v>74</v>
      </c>
      <c r="BI321">
        <v>16</v>
      </c>
      <c r="BJ321" t="s">
        <v>5078</v>
      </c>
      <c r="BK321" t="s">
        <v>124</v>
      </c>
      <c r="BL321" t="s">
        <v>1611</v>
      </c>
      <c r="BM321" t="s">
        <v>6388</v>
      </c>
      <c r="BN321" t="s">
        <v>74</v>
      </c>
      <c r="BO321" t="s">
        <v>74</v>
      </c>
      <c r="BP321" t="s">
        <v>74</v>
      </c>
      <c r="BQ321" t="s">
        <v>74</v>
      </c>
      <c r="BR321" t="s">
        <v>102</v>
      </c>
      <c r="BS321" t="s">
        <v>6389</v>
      </c>
      <c r="BT321" t="str">
        <f>HYPERLINK("https%3A%2F%2Fwww.webofscience.com%2Fwos%2Fwoscc%2Ffull-record%2FWOS:000960441300005","View Full Record in Web of Science")</f>
        <v>View Full Record in Web of Science</v>
      </c>
    </row>
    <row r="322" spans="1:72" x14ac:dyDescent="0.2">
      <c r="A322" t="s">
        <v>72</v>
      </c>
      <c r="B322" t="s">
        <v>6390</v>
      </c>
      <c r="C322" t="s">
        <v>74</v>
      </c>
      <c r="D322" t="s">
        <v>74</v>
      </c>
      <c r="E322" t="s">
        <v>74</v>
      </c>
      <c r="F322" t="s">
        <v>6391</v>
      </c>
      <c r="G322" t="s">
        <v>74</v>
      </c>
      <c r="H322" t="s">
        <v>74</v>
      </c>
      <c r="I322" t="s">
        <v>6392</v>
      </c>
      <c r="J322" t="s">
        <v>6393</v>
      </c>
      <c r="K322" t="s">
        <v>74</v>
      </c>
      <c r="L322" t="s">
        <v>74</v>
      </c>
      <c r="M322" t="s">
        <v>78</v>
      </c>
      <c r="N322" t="s">
        <v>108</v>
      </c>
      <c r="O322" t="s">
        <v>74</v>
      </c>
      <c r="P322" t="s">
        <v>74</v>
      </c>
      <c r="Q322" t="s">
        <v>74</v>
      </c>
      <c r="R322" t="s">
        <v>74</v>
      </c>
      <c r="S322" t="s">
        <v>74</v>
      </c>
      <c r="T322" t="s">
        <v>6394</v>
      </c>
      <c r="U322" t="s">
        <v>6395</v>
      </c>
      <c r="V322" t="s">
        <v>6396</v>
      </c>
      <c r="W322" t="s">
        <v>6397</v>
      </c>
      <c r="X322" t="s">
        <v>6398</v>
      </c>
      <c r="Y322" t="s">
        <v>6399</v>
      </c>
      <c r="Z322" t="s">
        <v>6400</v>
      </c>
      <c r="AA322" t="s">
        <v>74</v>
      </c>
      <c r="AB322" t="s">
        <v>74</v>
      </c>
      <c r="AC322" t="s">
        <v>6401</v>
      </c>
      <c r="AD322" t="s">
        <v>6402</v>
      </c>
      <c r="AE322" t="s">
        <v>6403</v>
      </c>
      <c r="AF322" t="s">
        <v>74</v>
      </c>
      <c r="AG322">
        <v>64</v>
      </c>
      <c r="AH322">
        <v>0</v>
      </c>
      <c r="AI322">
        <v>0</v>
      </c>
      <c r="AJ322">
        <v>0</v>
      </c>
      <c r="AK322">
        <v>0</v>
      </c>
      <c r="AL322" t="s">
        <v>167</v>
      </c>
      <c r="AM322" t="s">
        <v>168</v>
      </c>
      <c r="AN322" t="s">
        <v>169</v>
      </c>
      <c r="AO322" t="s">
        <v>6404</v>
      </c>
      <c r="AP322" t="s">
        <v>6405</v>
      </c>
      <c r="AQ322" t="s">
        <v>74</v>
      </c>
      <c r="AR322" t="s">
        <v>6406</v>
      </c>
      <c r="AS322" t="s">
        <v>6407</v>
      </c>
      <c r="AT322" t="s">
        <v>74</v>
      </c>
      <c r="AU322">
        <v>2023</v>
      </c>
      <c r="AV322">
        <v>18</v>
      </c>
      <c r="AW322" t="s">
        <v>74</v>
      </c>
      <c r="AX322" t="s">
        <v>74</v>
      </c>
      <c r="AY322" t="s">
        <v>74</v>
      </c>
      <c r="AZ322" t="s">
        <v>74</v>
      </c>
      <c r="BA322" t="s">
        <v>74</v>
      </c>
      <c r="BB322">
        <v>3590</v>
      </c>
      <c r="BC322">
        <v>3605</v>
      </c>
      <c r="BD322" t="s">
        <v>74</v>
      </c>
      <c r="BE322" t="s">
        <v>6408</v>
      </c>
      <c r="BF322" t="str">
        <f>HYPERLINK("http://dx.doi.org/10.1109/TIFS.2023.3285490","http://dx.doi.org/10.1109/TIFS.2023.3285490")</f>
        <v>http://dx.doi.org/10.1109/TIFS.2023.3285490</v>
      </c>
      <c r="BG322" t="s">
        <v>74</v>
      </c>
      <c r="BH322" t="s">
        <v>74</v>
      </c>
      <c r="BI322">
        <v>16</v>
      </c>
      <c r="BJ322" t="s">
        <v>6409</v>
      </c>
      <c r="BK322" t="s">
        <v>98</v>
      </c>
      <c r="BL322" t="s">
        <v>269</v>
      </c>
      <c r="BM322" t="s">
        <v>6410</v>
      </c>
      <c r="BN322" t="s">
        <v>74</v>
      </c>
      <c r="BO322" t="s">
        <v>1833</v>
      </c>
      <c r="BP322" t="s">
        <v>74</v>
      </c>
      <c r="BQ322" t="s">
        <v>74</v>
      </c>
      <c r="BR322" t="s">
        <v>102</v>
      </c>
      <c r="BS322" t="s">
        <v>6411</v>
      </c>
      <c r="BT322" t="str">
        <f>HYPERLINK("https%3A%2F%2Fwww.webofscience.com%2Fwos%2Fwoscc%2Ffull-record%2FWOS:001018630400001","View Full Record in Web of Science")</f>
        <v>View Full Record in Web of Science</v>
      </c>
    </row>
    <row r="323" spans="1:72" x14ac:dyDescent="0.2">
      <c r="A323" t="s">
        <v>72</v>
      </c>
      <c r="B323" t="s">
        <v>6412</v>
      </c>
      <c r="C323" t="s">
        <v>74</v>
      </c>
      <c r="D323" t="s">
        <v>74</v>
      </c>
      <c r="E323" t="s">
        <v>74</v>
      </c>
      <c r="F323" t="s">
        <v>6413</v>
      </c>
      <c r="G323" t="s">
        <v>74</v>
      </c>
      <c r="H323" t="s">
        <v>74</v>
      </c>
      <c r="I323" t="s">
        <v>6414</v>
      </c>
      <c r="J323" t="s">
        <v>4673</v>
      </c>
      <c r="K323" t="s">
        <v>74</v>
      </c>
      <c r="L323" t="s">
        <v>74</v>
      </c>
      <c r="M323" t="s">
        <v>78</v>
      </c>
      <c r="N323" t="s">
        <v>108</v>
      </c>
      <c r="O323" t="s">
        <v>74</v>
      </c>
      <c r="P323" t="s">
        <v>74</v>
      </c>
      <c r="Q323" t="s">
        <v>74</v>
      </c>
      <c r="R323" t="s">
        <v>74</v>
      </c>
      <c r="S323" t="s">
        <v>74</v>
      </c>
      <c r="T323" t="s">
        <v>6415</v>
      </c>
      <c r="U323" t="s">
        <v>6416</v>
      </c>
      <c r="V323" t="s">
        <v>6417</v>
      </c>
      <c r="W323" t="s">
        <v>6418</v>
      </c>
      <c r="X323" t="s">
        <v>6419</v>
      </c>
      <c r="Y323" t="s">
        <v>6420</v>
      </c>
      <c r="Z323" t="s">
        <v>6421</v>
      </c>
      <c r="AA323" t="s">
        <v>6422</v>
      </c>
      <c r="AB323" t="s">
        <v>6423</v>
      </c>
      <c r="AC323" t="s">
        <v>74</v>
      </c>
      <c r="AD323" t="s">
        <v>74</v>
      </c>
      <c r="AE323" t="s">
        <v>74</v>
      </c>
      <c r="AF323" t="s">
        <v>74</v>
      </c>
      <c r="AG323">
        <v>88</v>
      </c>
      <c r="AH323">
        <v>32</v>
      </c>
      <c r="AI323">
        <v>32</v>
      </c>
      <c r="AJ323">
        <v>22</v>
      </c>
      <c r="AK323">
        <v>58</v>
      </c>
      <c r="AL323" t="s">
        <v>543</v>
      </c>
      <c r="AM323" t="s">
        <v>260</v>
      </c>
      <c r="AN323" t="s">
        <v>544</v>
      </c>
      <c r="AO323" t="s">
        <v>4682</v>
      </c>
      <c r="AP323" t="s">
        <v>6424</v>
      </c>
      <c r="AQ323" t="s">
        <v>74</v>
      </c>
      <c r="AR323" t="s">
        <v>4683</v>
      </c>
      <c r="AS323" t="s">
        <v>4684</v>
      </c>
      <c r="AT323" t="s">
        <v>372</v>
      </c>
      <c r="AU323">
        <v>2022</v>
      </c>
      <c r="AV323">
        <v>157</v>
      </c>
      <c r="AW323" t="s">
        <v>74</v>
      </c>
      <c r="AX323" t="s">
        <v>74</v>
      </c>
      <c r="AY323" t="s">
        <v>74</v>
      </c>
      <c r="AZ323" t="s">
        <v>74</v>
      </c>
      <c r="BA323" t="s">
        <v>74</v>
      </c>
      <c r="BB323" t="s">
        <v>74</v>
      </c>
      <c r="BC323" t="s">
        <v>74</v>
      </c>
      <c r="BD323">
        <v>102582</v>
      </c>
      <c r="BE323" t="s">
        <v>6425</v>
      </c>
      <c r="BF323" t="str">
        <f>HYPERLINK("http://dx.doi.org/10.1016/j.tre.2021.102582","http://dx.doi.org/10.1016/j.tre.2021.102582")</f>
        <v>http://dx.doi.org/10.1016/j.tre.2021.102582</v>
      </c>
      <c r="BG323" t="s">
        <v>74</v>
      </c>
      <c r="BH323" t="s">
        <v>74</v>
      </c>
      <c r="BI323">
        <v>25</v>
      </c>
      <c r="BJ323" t="s">
        <v>4686</v>
      </c>
      <c r="BK323" t="s">
        <v>147</v>
      </c>
      <c r="BL323" t="s">
        <v>4687</v>
      </c>
      <c r="BM323" t="s">
        <v>6426</v>
      </c>
      <c r="BN323" t="s">
        <v>74</v>
      </c>
      <c r="BO323" t="s">
        <v>74</v>
      </c>
      <c r="BP323" t="s">
        <v>74</v>
      </c>
      <c r="BQ323" t="s">
        <v>74</v>
      </c>
      <c r="BR323" t="s">
        <v>102</v>
      </c>
      <c r="BS323" t="s">
        <v>6427</v>
      </c>
      <c r="BT323" t="str">
        <f>HYPERLINK("https%3A%2F%2Fwww.webofscience.com%2Fwos%2Fwoscc%2Ffull-record%2FWOS:000793142700005","View Full Record in Web of Science")</f>
        <v>View Full Record in Web of Science</v>
      </c>
    </row>
    <row r="324" spans="1:72" x14ac:dyDescent="0.2">
      <c r="A324" t="s">
        <v>72</v>
      </c>
      <c r="B324" t="s">
        <v>6428</v>
      </c>
      <c r="C324" t="s">
        <v>74</v>
      </c>
      <c r="D324" t="s">
        <v>74</v>
      </c>
      <c r="E324" t="s">
        <v>74</v>
      </c>
      <c r="F324" t="s">
        <v>6429</v>
      </c>
      <c r="G324" t="s">
        <v>74</v>
      </c>
      <c r="H324" t="s">
        <v>74</v>
      </c>
      <c r="I324" t="s">
        <v>6430</v>
      </c>
      <c r="J324" t="s">
        <v>531</v>
      </c>
      <c r="K324" t="s">
        <v>74</v>
      </c>
      <c r="L324" t="s">
        <v>74</v>
      </c>
      <c r="M324" t="s">
        <v>78</v>
      </c>
      <c r="N324" t="s">
        <v>108</v>
      </c>
      <c r="O324" t="s">
        <v>74</v>
      </c>
      <c r="P324" t="s">
        <v>74</v>
      </c>
      <c r="Q324" t="s">
        <v>74</v>
      </c>
      <c r="R324" t="s">
        <v>74</v>
      </c>
      <c r="S324" t="s">
        <v>74</v>
      </c>
      <c r="T324" t="s">
        <v>6431</v>
      </c>
      <c r="U324" t="s">
        <v>6432</v>
      </c>
      <c r="V324" t="s">
        <v>6433</v>
      </c>
      <c r="W324" t="s">
        <v>6434</v>
      </c>
      <c r="X324" t="s">
        <v>6435</v>
      </c>
      <c r="Y324" t="s">
        <v>6436</v>
      </c>
      <c r="Z324" t="s">
        <v>6437</v>
      </c>
      <c r="AA324" t="s">
        <v>6438</v>
      </c>
      <c r="AB324" t="s">
        <v>6439</v>
      </c>
      <c r="AC324" t="s">
        <v>74</v>
      </c>
      <c r="AD324" t="s">
        <v>74</v>
      </c>
      <c r="AE324" t="s">
        <v>74</v>
      </c>
      <c r="AF324" t="s">
        <v>74</v>
      </c>
      <c r="AG324">
        <v>47</v>
      </c>
      <c r="AH324">
        <v>27</v>
      </c>
      <c r="AI324">
        <v>27</v>
      </c>
      <c r="AJ324">
        <v>3</v>
      </c>
      <c r="AK324">
        <v>27</v>
      </c>
      <c r="AL324" t="s">
        <v>543</v>
      </c>
      <c r="AM324" t="s">
        <v>260</v>
      </c>
      <c r="AN324" t="s">
        <v>544</v>
      </c>
      <c r="AO324" t="s">
        <v>545</v>
      </c>
      <c r="AP324" t="s">
        <v>546</v>
      </c>
      <c r="AQ324" t="s">
        <v>74</v>
      </c>
      <c r="AR324" t="s">
        <v>547</v>
      </c>
      <c r="AS324" t="s">
        <v>548</v>
      </c>
      <c r="AT324" t="s">
        <v>372</v>
      </c>
      <c r="AU324">
        <v>2020</v>
      </c>
      <c r="AV324">
        <v>139</v>
      </c>
      <c r="AW324" t="s">
        <v>74</v>
      </c>
      <c r="AX324" t="s">
        <v>74</v>
      </c>
      <c r="AY324" t="s">
        <v>74</v>
      </c>
      <c r="AZ324" t="s">
        <v>74</v>
      </c>
      <c r="BA324" t="s">
        <v>74</v>
      </c>
      <c r="BB324" t="s">
        <v>74</v>
      </c>
      <c r="BC324" t="s">
        <v>74</v>
      </c>
      <c r="BD324">
        <v>105944</v>
      </c>
      <c r="BE324" t="s">
        <v>6440</v>
      </c>
      <c r="BF324" t="str">
        <f>HYPERLINK("http://dx.doi.org/10.1016/j.cie.2019.07.001","http://dx.doi.org/10.1016/j.cie.2019.07.001")</f>
        <v>http://dx.doi.org/10.1016/j.cie.2019.07.001</v>
      </c>
      <c r="BG324" t="s">
        <v>74</v>
      </c>
      <c r="BH324" t="s">
        <v>74</v>
      </c>
      <c r="BI324">
        <v>17</v>
      </c>
      <c r="BJ324" t="s">
        <v>550</v>
      </c>
      <c r="BK324" t="s">
        <v>98</v>
      </c>
      <c r="BL324" t="s">
        <v>269</v>
      </c>
      <c r="BM324" t="s">
        <v>2979</v>
      </c>
      <c r="BN324" t="s">
        <v>74</v>
      </c>
      <c r="BO324" t="s">
        <v>74</v>
      </c>
      <c r="BP324" t="s">
        <v>74</v>
      </c>
      <c r="BQ324" t="s">
        <v>74</v>
      </c>
      <c r="BR324" t="s">
        <v>102</v>
      </c>
      <c r="BS324" t="s">
        <v>6441</v>
      </c>
      <c r="BT324" t="str">
        <f>HYPERLINK("https%3A%2F%2Fwww.webofscience.com%2Fwos%2Fwoscc%2Ffull-record%2FWOS:000509784000059","View Full Record in Web of Science")</f>
        <v>View Full Record in Web of Science</v>
      </c>
    </row>
    <row r="325" spans="1:72" x14ac:dyDescent="0.2">
      <c r="A325" t="s">
        <v>72</v>
      </c>
      <c r="B325" t="s">
        <v>6442</v>
      </c>
      <c r="C325" t="s">
        <v>74</v>
      </c>
      <c r="D325" t="s">
        <v>74</v>
      </c>
      <c r="E325" t="s">
        <v>74</v>
      </c>
      <c r="F325" t="s">
        <v>6443</v>
      </c>
      <c r="G325" t="s">
        <v>74</v>
      </c>
      <c r="H325" t="s">
        <v>74</v>
      </c>
      <c r="I325" t="s">
        <v>6444</v>
      </c>
      <c r="J325" t="s">
        <v>3320</v>
      </c>
      <c r="K325" t="s">
        <v>74</v>
      </c>
      <c r="L325" t="s">
        <v>74</v>
      </c>
      <c r="M325" t="s">
        <v>78</v>
      </c>
      <c r="N325" t="s">
        <v>108</v>
      </c>
      <c r="O325" t="s">
        <v>74</v>
      </c>
      <c r="P325" t="s">
        <v>74</v>
      </c>
      <c r="Q325" t="s">
        <v>74</v>
      </c>
      <c r="R325" t="s">
        <v>74</v>
      </c>
      <c r="S325" t="s">
        <v>74</v>
      </c>
      <c r="T325" t="s">
        <v>6445</v>
      </c>
      <c r="U325" t="s">
        <v>6446</v>
      </c>
      <c r="V325" t="s">
        <v>6447</v>
      </c>
      <c r="W325" t="s">
        <v>6448</v>
      </c>
      <c r="X325" t="s">
        <v>6449</v>
      </c>
      <c r="Y325" t="s">
        <v>6450</v>
      </c>
      <c r="Z325" t="s">
        <v>6451</v>
      </c>
      <c r="AA325" t="s">
        <v>6452</v>
      </c>
      <c r="AB325" t="s">
        <v>6453</v>
      </c>
      <c r="AC325" t="s">
        <v>6454</v>
      </c>
      <c r="AD325" t="s">
        <v>6455</v>
      </c>
      <c r="AE325" t="s">
        <v>6456</v>
      </c>
      <c r="AF325" t="s">
        <v>74</v>
      </c>
      <c r="AG325">
        <v>29</v>
      </c>
      <c r="AH325">
        <v>3</v>
      </c>
      <c r="AI325">
        <v>4</v>
      </c>
      <c r="AJ325">
        <v>10</v>
      </c>
      <c r="AK325">
        <v>41</v>
      </c>
      <c r="AL325" t="s">
        <v>3329</v>
      </c>
      <c r="AM325" t="s">
        <v>3330</v>
      </c>
      <c r="AN325" t="s">
        <v>3331</v>
      </c>
      <c r="AO325" t="s">
        <v>3332</v>
      </c>
      <c r="AP325" t="s">
        <v>3333</v>
      </c>
      <c r="AQ325" t="s">
        <v>74</v>
      </c>
      <c r="AR325" t="s">
        <v>3320</v>
      </c>
      <c r="AS325" t="s">
        <v>3334</v>
      </c>
      <c r="AT325" t="s">
        <v>74</v>
      </c>
      <c r="AU325">
        <v>2020</v>
      </c>
      <c r="AV325">
        <v>16</v>
      </c>
      <c r="AW325">
        <v>4</v>
      </c>
      <c r="AX325" t="s">
        <v>74</v>
      </c>
      <c r="AY325" t="s">
        <v>74</v>
      </c>
      <c r="AZ325" t="s">
        <v>74</v>
      </c>
      <c r="BA325" t="s">
        <v>74</v>
      </c>
      <c r="BB325">
        <v>535</v>
      </c>
      <c r="BC325">
        <v>547</v>
      </c>
      <c r="BD325" t="s">
        <v>74</v>
      </c>
      <c r="BE325" t="s">
        <v>6457</v>
      </c>
      <c r="BF325" t="str">
        <f>HYPERLINK("http://dx.doi.org/10.17270/J.LOG.2020.512","http://dx.doi.org/10.17270/J.LOG.2020.512")</f>
        <v>http://dx.doi.org/10.17270/J.LOG.2020.512</v>
      </c>
      <c r="BG325" t="s">
        <v>74</v>
      </c>
      <c r="BH325" t="s">
        <v>74</v>
      </c>
      <c r="BI325">
        <v>13</v>
      </c>
      <c r="BJ325" t="s">
        <v>418</v>
      </c>
      <c r="BK325" t="s">
        <v>124</v>
      </c>
      <c r="BL325" t="s">
        <v>419</v>
      </c>
      <c r="BM325" t="s">
        <v>6458</v>
      </c>
      <c r="BN325" t="s">
        <v>74</v>
      </c>
      <c r="BO325" t="s">
        <v>126</v>
      </c>
      <c r="BP325" t="s">
        <v>74</v>
      </c>
      <c r="BQ325" t="s">
        <v>74</v>
      </c>
      <c r="BR325" t="s">
        <v>102</v>
      </c>
      <c r="BS325" t="s">
        <v>6459</v>
      </c>
      <c r="BT325" t="str">
        <f>HYPERLINK("https%3A%2F%2Fwww.webofscience.com%2Fwos%2Fwoscc%2Ffull-record%2FWOS:000574455200005","View Full Record in Web of Science")</f>
        <v>View Full Record in Web of Science</v>
      </c>
    </row>
    <row r="326" spans="1:72" x14ac:dyDescent="0.2">
      <c r="A326" t="s">
        <v>72</v>
      </c>
      <c r="B326" t="s">
        <v>6460</v>
      </c>
      <c r="C326" t="s">
        <v>74</v>
      </c>
      <c r="D326" t="s">
        <v>74</v>
      </c>
      <c r="E326" t="s">
        <v>74</v>
      </c>
      <c r="F326" t="s">
        <v>6461</v>
      </c>
      <c r="G326" t="s">
        <v>74</v>
      </c>
      <c r="H326" t="s">
        <v>74</v>
      </c>
      <c r="I326" t="s">
        <v>6462</v>
      </c>
      <c r="J326" t="s">
        <v>6463</v>
      </c>
      <c r="K326" t="s">
        <v>74</v>
      </c>
      <c r="L326" t="s">
        <v>74</v>
      </c>
      <c r="M326" t="s">
        <v>78</v>
      </c>
      <c r="N326" t="s">
        <v>108</v>
      </c>
      <c r="O326" t="s">
        <v>74</v>
      </c>
      <c r="P326" t="s">
        <v>74</v>
      </c>
      <c r="Q326" t="s">
        <v>74</v>
      </c>
      <c r="R326" t="s">
        <v>74</v>
      </c>
      <c r="S326" t="s">
        <v>74</v>
      </c>
      <c r="T326" t="s">
        <v>74</v>
      </c>
      <c r="U326" t="s">
        <v>74</v>
      </c>
      <c r="V326" t="s">
        <v>6464</v>
      </c>
      <c r="W326" t="s">
        <v>6465</v>
      </c>
      <c r="X326" t="s">
        <v>6466</v>
      </c>
      <c r="Y326" t="s">
        <v>6467</v>
      </c>
      <c r="Z326" t="s">
        <v>6468</v>
      </c>
      <c r="AA326" t="s">
        <v>74</v>
      </c>
      <c r="AB326" t="s">
        <v>74</v>
      </c>
      <c r="AC326" t="s">
        <v>74</v>
      </c>
      <c r="AD326" t="s">
        <v>74</v>
      </c>
      <c r="AE326" t="s">
        <v>74</v>
      </c>
      <c r="AF326" t="s">
        <v>74</v>
      </c>
      <c r="AG326">
        <v>25</v>
      </c>
      <c r="AH326">
        <v>3</v>
      </c>
      <c r="AI326">
        <v>3</v>
      </c>
      <c r="AJ326">
        <v>1</v>
      </c>
      <c r="AK326">
        <v>1</v>
      </c>
      <c r="AL326" t="s">
        <v>409</v>
      </c>
      <c r="AM326" t="s">
        <v>410</v>
      </c>
      <c r="AN326" t="s">
        <v>411</v>
      </c>
      <c r="AO326" t="s">
        <v>74</v>
      </c>
      <c r="AP326" t="s">
        <v>6469</v>
      </c>
      <c r="AQ326" t="s">
        <v>74</v>
      </c>
      <c r="AR326" t="s">
        <v>6470</v>
      </c>
      <c r="AS326" t="s">
        <v>6471</v>
      </c>
      <c r="AT326" t="s">
        <v>394</v>
      </c>
      <c r="AU326">
        <v>2021</v>
      </c>
      <c r="AV326">
        <v>3</v>
      </c>
      <c r="AW326">
        <v>3</v>
      </c>
      <c r="AX326" t="s">
        <v>74</v>
      </c>
      <c r="AY326" t="s">
        <v>74</v>
      </c>
      <c r="AZ326" t="s">
        <v>570</v>
      </c>
      <c r="BA326" t="s">
        <v>74</v>
      </c>
      <c r="BB326">
        <v>273</v>
      </c>
      <c r="BC326">
        <v>280</v>
      </c>
      <c r="BD326" t="s">
        <v>74</v>
      </c>
      <c r="BE326" t="s">
        <v>6472</v>
      </c>
      <c r="BF326" t="str">
        <f>HYPERLINK("http://dx.doi.org/10.1049/cim2.12007","http://dx.doi.org/10.1049/cim2.12007")</f>
        <v>http://dx.doi.org/10.1049/cim2.12007</v>
      </c>
      <c r="BG326" t="s">
        <v>74</v>
      </c>
      <c r="BH326" t="s">
        <v>74</v>
      </c>
      <c r="BI326">
        <v>8</v>
      </c>
      <c r="BJ326" t="s">
        <v>6047</v>
      </c>
      <c r="BK326" t="s">
        <v>124</v>
      </c>
      <c r="BL326" t="s">
        <v>1292</v>
      </c>
      <c r="BM326" t="s">
        <v>6473</v>
      </c>
      <c r="BN326" t="s">
        <v>74</v>
      </c>
      <c r="BO326" t="s">
        <v>126</v>
      </c>
      <c r="BP326" t="s">
        <v>74</v>
      </c>
      <c r="BQ326" t="s">
        <v>74</v>
      </c>
      <c r="BR326" t="s">
        <v>102</v>
      </c>
      <c r="BS326" t="s">
        <v>6474</v>
      </c>
      <c r="BT326" t="str">
        <f>HYPERLINK("https%3A%2F%2Fwww.webofscience.com%2Fwos%2Fwoscc%2Ffull-record%2FWOS:000937718100009","View Full Record in Web of Science")</f>
        <v>View Full Record in Web of Science</v>
      </c>
    </row>
    <row r="327" spans="1:72" x14ac:dyDescent="0.2">
      <c r="A327" t="s">
        <v>72</v>
      </c>
      <c r="B327" t="s">
        <v>6475</v>
      </c>
      <c r="C327" t="s">
        <v>74</v>
      </c>
      <c r="D327" t="s">
        <v>74</v>
      </c>
      <c r="E327" t="s">
        <v>74</v>
      </c>
      <c r="F327" t="s">
        <v>6476</v>
      </c>
      <c r="G327" t="s">
        <v>74</v>
      </c>
      <c r="H327" t="s">
        <v>74</v>
      </c>
      <c r="I327" t="s">
        <v>6477</v>
      </c>
      <c r="J327" t="s">
        <v>531</v>
      </c>
      <c r="K327" t="s">
        <v>74</v>
      </c>
      <c r="L327" t="s">
        <v>74</v>
      </c>
      <c r="M327" t="s">
        <v>78</v>
      </c>
      <c r="N327" t="s">
        <v>108</v>
      </c>
      <c r="O327" t="s">
        <v>74</v>
      </c>
      <c r="P327" t="s">
        <v>74</v>
      </c>
      <c r="Q327" t="s">
        <v>74</v>
      </c>
      <c r="R327" t="s">
        <v>74</v>
      </c>
      <c r="S327" t="s">
        <v>74</v>
      </c>
      <c r="T327" t="s">
        <v>6478</v>
      </c>
      <c r="U327" t="s">
        <v>6479</v>
      </c>
      <c r="V327" t="s">
        <v>6480</v>
      </c>
      <c r="W327" t="s">
        <v>6481</v>
      </c>
      <c r="X327" t="s">
        <v>6482</v>
      </c>
      <c r="Y327" t="s">
        <v>6483</v>
      </c>
      <c r="Z327" t="s">
        <v>6484</v>
      </c>
      <c r="AA327" t="s">
        <v>6485</v>
      </c>
      <c r="AB327" t="s">
        <v>6486</v>
      </c>
      <c r="AC327" t="s">
        <v>6487</v>
      </c>
      <c r="AD327" t="s">
        <v>6488</v>
      </c>
      <c r="AE327" t="s">
        <v>6489</v>
      </c>
      <c r="AF327" t="s">
        <v>74</v>
      </c>
      <c r="AG327">
        <v>58</v>
      </c>
      <c r="AH327">
        <v>31</v>
      </c>
      <c r="AI327">
        <v>31</v>
      </c>
      <c r="AJ327">
        <v>1</v>
      </c>
      <c r="AK327">
        <v>46</v>
      </c>
      <c r="AL327" t="s">
        <v>543</v>
      </c>
      <c r="AM327" t="s">
        <v>260</v>
      </c>
      <c r="AN327" t="s">
        <v>544</v>
      </c>
      <c r="AO327" t="s">
        <v>545</v>
      </c>
      <c r="AP327" t="s">
        <v>546</v>
      </c>
      <c r="AQ327" t="s">
        <v>74</v>
      </c>
      <c r="AR327" t="s">
        <v>547</v>
      </c>
      <c r="AS327" t="s">
        <v>548</v>
      </c>
      <c r="AT327" t="s">
        <v>800</v>
      </c>
      <c r="AU327">
        <v>2018</v>
      </c>
      <c r="AV327">
        <v>118</v>
      </c>
      <c r="AW327" t="s">
        <v>74</v>
      </c>
      <c r="AX327" t="s">
        <v>74</v>
      </c>
      <c r="AY327" t="s">
        <v>74</v>
      </c>
      <c r="AZ327" t="s">
        <v>74</v>
      </c>
      <c r="BA327" t="s">
        <v>74</v>
      </c>
      <c r="BB327">
        <v>33</v>
      </c>
      <c r="BC327">
        <v>43</v>
      </c>
      <c r="BD327" t="s">
        <v>74</v>
      </c>
      <c r="BE327" t="s">
        <v>6490</v>
      </c>
      <c r="BF327" t="str">
        <f>HYPERLINK("http://dx.doi.org/10.1016/j.cie.2018.02.007","http://dx.doi.org/10.1016/j.cie.2018.02.007")</f>
        <v>http://dx.doi.org/10.1016/j.cie.2018.02.007</v>
      </c>
      <c r="BG327" t="s">
        <v>74</v>
      </c>
      <c r="BH327" t="s">
        <v>74</v>
      </c>
      <c r="BI327">
        <v>11</v>
      </c>
      <c r="BJ327" t="s">
        <v>550</v>
      </c>
      <c r="BK327" t="s">
        <v>147</v>
      </c>
      <c r="BL327" t="s">
        <v>269</v>
      </c>
      <c r="BM327" t="s">
        <v>5411</v>
      </c>
      <c r="BN327" t="s">
        <v>74</v>
      </c>
      <c r="BO327" t="s">
        <v>74</v>
      </c>
      <c r="BP327" t="s">
        <v>74</v>
      </c>
      <c r="BQ327" t="s">
        <v>74</v>
      </c>
      <c r="BR327" t="s">
        <v>102</v>
      </c>
      <c r="BS327" t="s">
        <v>6491</v>
      </c>
      <c r="BT327" t="str">
        <f>HYPERLINK("https%3A%2F%2Fwww.webofscience.com%2Fwos%2Fwoscc%2Ffull-record%2FWOS:000430785500004","View Full Record in Web of Science")</f>
        <v>View Full Record in Web of Science</v>
      </c>
    </row>
    <row r="328" spans="1:72" x14ac:dyDescent="0.2">
      <c r="A328" t="s">
        <v>72</v>
      </c>
      <c r="B328" t="s">
        <v>6492</v>
      </c>
      <c r="C328" t="s">
        <v>74</v>
      </c>
      <c r="D328" t="s">
        <v>74</v>
      </c>
      <c r="E328" t="s">
        <v>74</v>
      </c>
      <c r="F328" t="s">
        <v>6493</v>
      </c>
      <c r="G328" t="s">
        <v>74</v>
      </c>
      <c r="H328" t="s">
        <v>74</v>
      </c>
      <c r="I328" t="s">
        <v>6494</v>
      </c>
      <c r="J328" t="s">
        <v>6495</v>
      </c>
      <c r="K328" t="s">
        <v>74</v>
      </c>
      <c r="L328" t="s">
        <v>74</v>
      </c>
      <c r="M328" t="s">
        <v>78</v>
      </c>
      <c r="N328" t="s">
        <v>79</v>
      </c>
      <c r="O328" t="s">
        <v>74</v>
      </c>
      <c r="P328" t="s">
        <v>74</v>
      </c>
      <c r="Q328" t="s">
        <v>74</v>
      </c>
      <c r="R328" t="s">
        <v>74</v>
      </c>
      <c r="S328" t="s">
        <v>74</v>
      </c>
      <c r="T328" t="s">
        <v>6496</v>
      </c>
      <c r="U328" t="s">
        <v>6497</v>
      </c>
      <c r="V328" t="s">
        <v>6498</v>
      </c>
      <c r="W328" t="s">
        <v>6499</v>
      </c>
      <c r="X328" t="s">
        <v>6500</v>
      </c>
      <c r="Y328" t="s">
        <v>6501</v>
      </c>
      <c r="Z328" t="s">
        <v>6502</v>
      </c>
      <c r="AA328" t="s">
        <v>6503</v>
      </c>
      <c r="AB328" t="s">
        <v>6504</v>
      </c>
      <c r="AC328" t="s">
        <v>74</v>
      </c>
      <c r="AD328" t="s">
        <v>74</v>
      </c>
      <c r="AE328" t="s">
        <v>74</v>
      </c>
      <c r="AF328" t="s">
        <v>74</v>
      </c>
      <c r="AG328">
        <v>209</v>
      </c>
      <c r="AH328">
        <v>165</v>
      </c>
      <c r="AI328">
        <v>169</v>
      </c>
      <c r="AJ328">
        <v>4</v>
      </c>
      <c r="AK328">
        <v>143</v>
      </c>
      <c r="AL328" t="s">
        <v>279</v>
      </c>
      <c r="AM328" t="s">
        <v>280</v>
      </c>
      <c r="AN328" t="s">
        <v>281</v>
      </c>
      <c r="AO328" t="s">
        <v>6505</v>
      </c>
      <c r="AP328" t="s">
        <v>6506</v>
      </c>
      <c r="AQ328" t="s">
        <v>74</v>
      </c>
      <c r="AR328" t="s">
        <v>6507</v>
      </c>
      <c r="AS328" t="s">
        <v>6508</v>
      </c>
      <c r="AT328" t="s">
        <v>394</v>
      </c>
      <c r="AU328">
        <v>2008</v>
      </c>
      <c r="AV328">
        <v>59</v>
      </c>
      <c r="AW328">
        <v>9</v>
      </c>
      <c r="AX328" t="s">
        <v>74</v>
      </c>
      <c r="AY328" t="s">
        <v>74</v>
      </c>
      <c r="AZ328" t="s">
        <v>74</v>
      </c>
      <c r="BA328" t="s">
        <v>74</v>
      </c>
      <c r="BB328">
        <v>1150</v>
      </c>
      <c r="BC328">
        <v>1172</v>
      </c>
      <c r="BD328" t="s">
        <v>74</v>
      </c>
      <c r="BE328" t="s">
        <v>6509</v>
      </c>
      <c r="BF328" t="str">
        <f>HYPERLINK("http://dx.doi.org/10.1057/palgrave.jors.2602597","http://dx.doi.org/10.1057/palgrave.jors.2602597")</f>
        <v>http://dx.doi.org/10.1057/palgrave.jors.2602597</v>
      </c>
      <c r="BG328" t="s">
        <v>74</v>
      </c>
      <c r="BH328" t="s">
        <v>74</v>
      </c>
      <c r="BI328">
        <v>23</v>
      </c>
      <c r="BJ328" t="s">
        <v>524</v>
      </c>
      <c r="BK328" t="s">
        <v>147</v>
      </c>
      <c r="BL328" t="s">
        <v>525</v>
      </c>
      <c r="BM328" t="s">
        <v>6510</v>
      </c>
      <c r="BN328" t="s">
        <v>74</v>
      </c>
      <c r="BO328" t="s">
        <v>889</v>
      </c>
      <c r="BP328" t="s">
        <v>74</v>
      </c>
      <c r="BQ328" t="s">
        <v>74</v>
      </c>
      <c r="BR328" t="s">
        <v>102</v>
      </c>
      <c r="BS328" t="s">
        <v>6511</v>
      </c>
      <c r="BT328" t="str">
        <f>HYPERLINK("https%3A%2F%2Fwww.webofscience.com%2Fwos%2Fwoscc%2Ffull-record%2FWOS:000258904200003","View Full Record in Web of Science")</f>
        <v>View Full Record in Web of Science</v>
      </c>
    </row>
    <row r="329" spans="1:72" x14ac:dyDescent="0.2">
      <c r="A329" t="s">
        <v>72</v>
      </c>
      <c r="B329" t="s">
        <v>6512</v>
      </c>
      <c r="C329" t="s">
        <v>74</v>
      </c>
      <c r="D329" t="s">
        <v>74</v>
      </c>
      <c r="E329" t="s">
        <v>74</v>
      </c>
      <c r="F329" t="s">
        <v>6513</v>
      </c>
      <c r="G329" t="s">
        <v>74</v>
      </c>
      <c r="H329" t="s">
        <v>74</v>
      </c>
      <c r="I329" t="s">
        <v>6514</v>
      </c>
      <c r="J329" t="s">
        <v>531</v>
      </c>
      <c r="K329" t="s">
        <v>74</v>
      </c>
      <c r="L329" t="s">
        <v>74</v>
      </c>
      <c r="M329" t="s">
        <v>78</v>
      </c>
      <c r="N329" t="s">
        <v>108</v>
      </c>
      <c r="O329" t="s">
        <v>74</v>
      </c>
      <c r="P329" t="s">
        <v>74</v>
      </c>
      <c r="Q329" t="s">
        <v>74</v>
      </c>
      <c r="R329" t="s">
        <v>74</v>
      </c>
      <c r="S329" t="s">
        <v>74</v>
      </c>
      <c r="T329" t="s">
        <v>6515</v>
      </c>
      <c r="U329" t="s">
        <v>6516</v>
      </c>
      <c r="V329" t="s">
        <v>6517</v>
      </c>
      <c r="W329" t="s">
        <v>6518</v>
      </c>
      <c r="X329" t="s">
        <v>6519</v>
      </c>
      <c r="Y329" t="s">
        <v>6520</v>
      </c>
      <c r="Z329" t="s">
        <v>6521</v>
      </c>
      <c r="AA329" t="s">
        <v>6522</v>
      </c>
      <c r="AB329" t="s">
        <v>6523</v>
      </c>
      <c r="AC329" t="s">
        <v>74</v>
      </c>
      <c r="AD329" t="s">
        <v>74</v>
      </c>
      <c r="AE329" t="s">
        <v>74</v>
      </c>
      <c r="AF329" t="s">
        <v>74</v>
      </c>
      <c r="AG329">
        <v>93</v>
      </c>
      <c r="AH329">
        <v>129</v>
      </c>
      <c r="AI329">
        <v>132</v>
      </c>
      <c r="AJ329">
        <v>2</v>
      </c>
      <c r="AK329">
        <v>95</v>
      </c>
      <c r="AL329" t="s">
        <v>543</v>
      </c>
      <c r="AM329" t="s">
        <v>260</v>
      </c>
      <c r="AN329" t="s">
        <v>544</v>
      </c>
      <c r="AO329" t="s">
        <v>545</v>
      </c>
      <c r="AP329" t="s">
        <v>546</v>
      </c>
      <c r="AQ329" t="s">
        <v>74</v>
      </c>
      <c r="AR329" t="s">
        <v>547</v>
      </c>
      <c r="AS329" t="s">
        <v>548</v>
      </c>
      <c r="AT329" t="s">
        <v>239</v>
      </c>
      <c r="AU329">
        <v>2015</v>
      </c>
      <c r="AV329">
        <v>86</v>
      </c>
      <c r="AW329" t="s">
        <v>74</v>
      </c>
      <c r="AX329" t="s">
        <v>74</v>
      </c>
      <c r="AY329" t="s">
        <v>74</v>
      </c>
      <c r="AZ329" t="s">
        <v>570</v>
      </c>
      <c r="BA329" t="s">
        <v>74</v>
      </c>
      <c r="BB329">
        <v>69</v>
      </c>
      <c r="BC329">
        <v>82</v>
      </c>
      <c r="BD329" t="s">
        <v>74</v>
      </c>
      <c r="BE329" t="s">
        <v>6524</v>
      </c>
      <c r="BF329" t="str">
        <f>HYPERLINK("http://dx.doi.org/10.1016/j.cie.2014.10.013","http://dx.doi.org/10.1016/j.cie.2014.10.013")</f>
        <v>http://dx.doi.org/10.1016/j.cie.2014.10.013</v>
      </c>
      <c r="BG329" t="s">
        <v>74</v>
      </c>
      <c r="BH329" t="s">
        <v>74</v>
      </c>
      <c r="BI329">
        <v>14</v>
      </c>
      <c r="BJ329" t="s">
        <v>550</v>
      </c>
      <c r="BK329" t="s">
        <v>98</v>
      </c>
      <c r="BL329" t="s">
        <v>269</v>
      </c>
      <c r="BM329" t="s">
        <v>6525</v>
      </c>
      <c r="BN329" t="s">
        <v>74</v>
      </c>
      <c r="BO329" t="s">
        <v>74</v>
      </c>
      <c r="BP329" t="s">
        <v>74</v>
      </c>
      <c r="BQ329" t="s">
        <v>74</v>
      </c>
      <c r="BR329" t="s">
        <v>102</v>
      </c>
      <c r="BS329" t="s">
        <v>6526</v>
      </c>
      <c r="BT329" t="str">
        <f>HYPERLINK("https%3A%2F%2Fwww.webofscience.com%2Fwos%2Fwoscc%2Ffull-record%2FWOS:000358804500008","View Full Record in Web of Science")</f>
        <v>View Full Record in Web of Science</v>
      </c>
    </row>
    <row r="330" spans="1:72" x14ac:dyDescent="0.2">
      <c r="A330" t="s">
        <v>72</v>
      </c>
      <c r="B330" t="s">
        <v>6527</v>
      </c>
      <c r="C330" t="s">
        <v>74</v>
      </c>
      <c r="D330" t="s">
        <v>74</v>
      </c>
      <c r="E330" t="s">
        <v>74</v>
      </c>
      <c r="F330" t="s">
        <v>6528</v>
      </c>
      <c r="G330" t="s">
        <v>74</v>
      </c>
      <c r="H330" t="s">
        <v>74</v>
      </c>
      <c r="I330" t="s">
        <v>6529</v>
      </c>
      <c r="J330" t="s">
        <v>6530</v>
      </c>
      <c r="K330" t="s">
        <v>74</v>
      </c>
      <c r="L330" t="s">
        <v>74</v>
      </c>
      <c r="M330" t="s">
        <v>78</v>
      </c>
      <c r="N330" t="s">
        <v>108</v>
      </c>
      <c r="O330" t="s">
        <v>74</v>
      </c>
      <c r="P330" t="s">
        <v>74</v>
      </c>
      <c r="Q330" t="s">
        <v>74</v>
      </c>
      <c r="R330" t="s">
        <v>74</v>
      </c>
      <c r="S330" t="s">
        <v>74</v>
      </c>
      <c r="T330" t="s">
        <v>6531</v>
      </c>
      <c r="U330" t="s">
        <v>74</v>
      </c>
      <c r="V330" t="s">
        <v>6532</v>
      </c>
      <c r="W330" t="s">
        <v>6533</v>
      </c>
      <c r="X330" t="s">
        <v>6534</v>
      </c>
      <c r="Y330" t="s">
        <v>6535</v>
      </c>
      <c r="Z330" t="s">
        <v>6536</v>
      </c>
      <c r="AA330" t="s">
        <v>6537</v>
      </c>
      <c r="AB330" t="s">
        <v>6538</v>
      </c>
      <c r="AC330" t="s">
        <v>6539</v>
      </c>
      <c r="AD330" t="s">
        <v>6539</v>
      </c>
      <c r="AE330" t="s">
        <v>6540</v>
      </c>
      <c r="AF330" t="s">
        <v>74</v>
      </c>
      <c r="AG330">
        <v>42</v>
      </c>
      <c r="AH330">
        <v>15</v>
      </c>
      <c r="AI330">
        <v>15</v>
      </c>
      <c r="AJ330">
        <v>4</v>
      </c>
      <c r="AK330">
        <v>26</v>
      </c>
      <c r="AL330" t="s">
        <v>116</v>
      </c>
      <c r="AM330" t="s">
        <v>117</v>
      </c>
      <c r="AN330" t="s">
        <v>118</v>
      </c>
      <c r="AO330" t="s">
        <v>74</v>
      </c>
      <c r="AP330" t="s">
        <v>6541</v>
      </c>
      <c r="AQ330" t="s">
        <v>74</v>
      </c>
      <c r="AR330" t="s">
        <v>6530</v>
      </c>
      <c r="AS330" t="s">
        <v>6542</v>
      </c>
      <c r="AT330" t="s">
        <v>194</v>
      </c>
      <c r="AU330">
        <v>2020</v>
      </c>
      <c r="AV330">
        <v>10</v>
      </c>
      <c r="AW330">
        <v>11</v>
      </c>
      <c r="AX330" t="s">
        <v>74</v>
      </c>
      <c r="AY330" t="s">
        <v>74</v>
      </c>
      <c r="AZ330" t="s">
        <v>74</v>
      </c>
      <c r="BA330" t="s">
        <v>74</v>
      </c>
      <c r="BB330" t="s">
        <v>74</v>
      </c>
      <c r="BC330" t="s">
        <v>74</v>
      </c>
      <c r="BD330">
        <v>1642</v>
      </c>
      <c r="BE330" t="s">
        <v>6543</v>
      </c>
      <c r="BF330" t="str">
        <f>HYPERLINK("http://dx.doi.org/10.3390/agronomy10111642","http://dx.doi.org/10.3390/agronomy10111642")</f>
        <v>http://dx.doi.org/10.3390/agronomy10111642</v>
      </c>
      <c r="BG330" t="s">
        <v>74</v>
      </c>
      <c r="BH330" t="s">
        <v>74</v>
      </c>
      <c r="BI330">
        <v>16</v>
      </c>
      <c r="BJ330" t="s">
        <v>6544</v>
      </c>
      <c r="BK330" t="s">
        <v>98</v>
      </c>
      <c r="BL330" t="s">
        <v>6545</v>
      </c>
      <c r="BM330" t="s">
        <v>6546</v>
      </c>
      <c r="BN330" t="s">
        <v>74</v>
      </c>
      <c r="BO330" t="s">
        <v>126</v>
      </c>
      <c r="BP330" t="s">
        <v>74</v>
      </c>
      <c r="BQ330" t="s">
        <v>74</v>
      </c>
      <c r="BR330" t="s">
        <v>102</v>
      </c>
      <c r="BS330" t="s">
        <v>6547</v>
      </c>
      <c r="BT330" t="str">
        <f>HYPERLINK("https%3A%2F%2Fwww.webofscience.com%2Fwos%2Fwoscc%2Ffull-record%2FWOS:000592832800001","View Full Record in Web of Science")</f>
        <v>View Full Record in Web of Science</v>
      </c>
    </row>
    <row r="331" spans="1:72" x14ac:dyDescent="0.2">
      <c r="A331" t="s">
        <v>72</v>
      </c>
      <c r="B331" t="s">
        <v>6548</v>
      </c>
      <c r="C331" t="s">
        <v>74</v>
      </c>
      <c r="D331" t="s">
        <v>74</v>
      </c>
      <c r="E331" t="s">
        <v>74</v>
      </c>
      <c r="F331" t="s">
        <v>6549</v>
      </c>
      <c r="G331" t="s">
        <v>74</v>
      </c>
      <c r="H331" t="s">
        <v>74</v>
      </c>
      <c r="I331" t="s">
        <v>6550</v>
      </c>
      <c r="J331" t="s">
        <v>6551</v>
      </c>
      <c r="K331" t="s">
        <v>74</v>
      </c>
      <c r="L331" t="s">
        <v>74</v>
      </c>
      <c r="M331" t="s">
        <v>78</v>
      </c>
      <c r="N331" t="s">
        <v>108</v>
      </c>
      <c r="O331" t="s">
        <v>74</v>
      </c>
      <c r="P331" t="s">
        <v>74</v>
      </c>
      <c r="Q331" t="s">
        <v>74</v>
      </c>
      <c r="R331" t="s">
        <v>74</v>
      </c>
      <c r="S331" t="s">
        <v>74</v>
      </c>
      <c r="T331" t="s">
        <v>6552</v>
      </c>
      <c r="U331" t="s">
        <v>6553</v>
      </c>
      <c r="V331" t="s">
        <v>6554</v>
      </c>
      <c r="W331" t="s">
        <v>6555</v>
      </c>
      <c r="X331" t="s">
        <v>6556</v>
      </c>
      <c r="Y331" t="s">
        <v>6557</v>
      </c>
      <c r="Z331" t="s">
        <v>6558</v>
      </c>
      <c r="AA331" t="s">
        <v>6559</v>
      </c>
      <c r="AB331" t="s">
        <v>6560</v>
      </c>
      <c r="AC331" t="s">
        <v>6561</v>
      </c>
      <c r="AD331" t="s">
        <v>6561</v>
      </c>
      <c r="AE331" t="s">
        <v>6562</v>
      </c>
      <c r="AF331" t="s">
        <v>74</v>
      </c>
      <c r="AG331">
        <v>217</v>
      </c>
      <c r="AH331">
        <v>3</v>
      </c>
      <c r="AI331">
        <v>3</v>
      </c>
      <c r="AJ331">
        <v>14</v>
      </c>
      <c r="AK331">
        <v>30</v>
      </c>
      <c r="AL331" t="s">
        <v>462</v>
      </c>
      <c r="AM331" t="s">
        <v>280</v>
      </c>
      <c r="AN331" t="s">
        <v>463</v>
      </c>
      <c r="AO331" t="s">
        <v>6563</v>
      </c>
      <c r="AP331" t="s">
        <v>6564</v>
      </c>
      <c r="AQ331" t="s">
        <v>74</v>
      </c>
      <c r="AR331" t="s">
        <v>6565</v>
      </c>
      <c r="AS331" t="s">
        <v>6566</v>
      </c>
      <c r="AT331" t="s">
        <v>6567</v>
      </c>
      <c r="AU331">
        <v>2022</v>
      </c>
      <c r="AV331">
        <v>40</v>
      </c>
      <c r="AW331">
        <v>10</v>
      </c>
      <c r="AX331" t="s">
        <v>74</v>
      </c>
      <c r="AY331" t="s">
        <v>74</v>
      </c>
      <c r="AZ331" t="s">
        <v>74</v>
      </c>
      <c r="BA331" t="s">
        <v>74</v>
      </c>
      <c r="BB331">
        <v>796</v>
      </c>
      <c r="BC331">
        <v>834</v>
      </c>
      <c r="BD331" t="s">
        <v>74</v>
      </c>
      <c r="BE331" t="s">
        <v>6568</v>
      </c>
      <c r="BF331" t="str">
        <f>HYPERLINK("http://dx.doi.org/10.1080/01446193.2022.2110273","http://dx.doi.org/10.1080/01446193.2022.2110273")</f>
        <v>http://dx.doi.org/10.1080/01446193.2022.2110273</v>
      </c>
      <c r="BG331" t="s">
        <v>74</v>
      </c>
      <c r="BH331" t="s">
        <v>572</v>
      </c>
      <c r="BI331">
        <v>39</v>
      </c>
      <c r="BJ331" t="s">
        <v>931</v>
      </c>
      <c r="BK331" t="s">
        <v>124</v>
      </c>
      <c r="BL331" t="s">
        <v>419</v>
      </c>
      <c r="BM331" t="s">
        <v>6569</v>
      </c>
      <c r="BN331" t="s">
        <v>74</v>
      </c>
      <c r="BO331" t="s">
        <v>1833</v>
      </c>
      <c r="BP331" t="s">
        <v>74</v>
      </c>
      <c r="BQ331" t="s">
        <v>74</v>
      </c>
      <c r="BR331" t="s">
        <v>102</v>
      </c>
      <c r="BS331" t="s">
        <v>6570</v>
      </c>
      <c r="BT331" t="str">
        <f>HYPERLINK("https%3A%2F%2Fwww.webofscience.com%2Fwos%2Fwoscc%2Ffull-record%2FWOS:000842219700001","View Full Record in Web of Science")</f>
        <v>View Full Record in Web of Science</v>
      </c>
    </row>
    <row r="332" spans="1:72" x14ac:dyDescent="0.2">
      <c r="A332" t="s">
        <v>72</v>
      </c>
      <c r="B332" t="s">
        <v>6571</v>
      </c>
      <c r="C332" t="s">
        <v>74</v>
      </c>
      <c r="D332" t="s">
        <v>74</v>
      </c>
      <c r="E332" t="s">
        <v>74</v>
      </c>
      <c r="F332" t="s">
        <v>6572</v>
      </c>
      <c r="G332" t="s">
        <v>74</v>
      </c>
      <c r="H332" t="s">
        <v>74</v>
      </c>
      <c r="I332" t="s">
        <v>6573</v>
      </c>
      <c r="J332" t="s">
        <v>6574</v>
      </c>
      <c r="K332" t="s">
        <v>74</v>
      </c>
      <c r="L332" t="s">
        <v>74</v>
      </c>
      <c r="M332" t="s">
        <v>78</v>
      </c>
      <c r="N332" t="s">
        <v>108</v>
      </c>
      <c r="O332" t="s">
        <v>74</v>
      </c>
      <c r="P332" t="s">
        <v>74</v>
      </c>
      <c r="Q332" t="s">
        <v>74</v>
      </c>
      <c r="R332" t="s">
        <v>74</v>
      </c>
      <c r="S332" t="s">
        <v>74</v>
      </c>
      <c r="T332" t="s">
        <v>6575</v>
      </c>
      <c r="U332" t="s">
        <v>6576</v>
      </c>
      <c r="V332" t="s">
        <v>6577</v>
      </c>
      <c r="W332" t="s">
        <v>6578</v>
      </c>
      <c r="X332" t="s">
        <v>6579</v>
      </c>
      <c r="Y332" t="s">
        <v>6580</v>
      </c>
      <c r="Z332" t="s">
        <v>6581</v>
      </c>
      <c r="AA332" t="s">
        <v>6582</v>
      </c>
      <c r="AB332" t="s">
        <v>6583</v>
      </c>
      <c r="AC332" t="s">
        <v>74</v>
      </c>
      <c r="AD332" t="s">
        <v>74</v>
      </c>
      <c r="AE332" t="s">
        <v>74</v>
      </c>
      <c r="AF332" t="s">
        <v>74</v>
      </c>
      <c r="AG332">
        <v>42</v>
      </c>
      <c r="AH332">
        <v>0</v>
      </c>
      <c r="AI332">
        <v>0</v>
      </c>
      <c r="AJ332">
        <v>4</v>
      </c>
      <c r="AK332">
        <v>4</v>
      </c>
      <c r="AL332" t="s">
        <v>409</v>
      </c>
      <c r="AM332" t="s">
        <v>410</v>
      </c>
      <c r="AN332" t="s">
        <v>411</v>
      </c>
      <c r="AO332" t="s">
        <v>74</v>
      </c>
      <c r="AP332" t="s">
        <v>6584</v>
      </c>
      <c r="AQ332" t="s">
        <v>74</v>
      </c>
      <c r="AR332" t="s">
        <v>6585</v>
      </c>
      <c r="AS332" t="s">
        <v>6586</v>
      </c>
      <c r="AT332" t="s">
        <v>800</v>
      </c>
      <c r="AU332">
        <v>2023</v>
      </c>
      <c r="AV332">
        <v>2023</v>
      </c>
      <c r="AW332">
        <v>4</v>
      </c>
      <c r="AX332" t="s">
        <v>74</v>
      </c>
      <c r="AY332" t="s">
        <v>74</v>
      </c>
      <c r="AZ332" t="s">
        <v>74</v>
      </c>
      <c r="BA332" t="s">
        <v>74</v>
      </c>
      <c r="BB332" t="s">
        <v>74</v>
      </c>
      <c r="BC332" t="s">
        <v>74</v>
      </c>
      <c r="BD332" t="s">
        <v>6587</v>
      </c>
      <c r="BE332" t="s">
        <v>6588</v>
      </c>
      <c r="BF332" t="str">
        <f>HYPERLINK("http://dx.doi.org/10.1049/tje2.12265","http://dx.doi.org/10.1049/tje2.12265")</f>
        <v>http://dx.doi.org/10.1049/tje2.12265</v>
      </c>
      <c r="BG332" t="s">
        <v>74</v>
      </c>
      <c r="BH332" t="s">
        <v>74</v>
      </c>
      <c r="BI332">
        <v>17</v>
      </c>
      <c r="BJ332" t="s">
        <v>2462</v>
      </c>
      <c r="BK332" t="s">
        <v>124</v>
      </c>
      <c r="BL332" t="s">
        <v>1292</v>
      </c>
      <c r="BM332" t="s">
        <v>6589</v>
      </c>
      <c r="BN332" t="s">
        <v>74</v>
      </c>
      <c r="BO332" t="s">
        <v>126</v>
      </c>
      <c r="BP332" t="s">
        <v>74</v>
      </c>
      <c r="BQ332" t="s">
        <v>74</v>
      </c>
      <c r="BR332" t="s">
        <v>102</v>
      </c>
      <c r="BS332" t="s">
        <v>6590</v>
      </c>
      <c r="BT332" t="str">
        <f>HYPERLINK("https%3A%2F%2Fwww.webofscience.com%2Fwos%2Fwoscc%2Ffull-record%2FWOS:000973581300001","View Full Record in Web of Science")</f>
        <v>View Full Record in Web of Science</v>
      </c>
    </row>
    <row r="333" spans="1:72" x14ac:dyDescent="0.2">
      <c r="A333" t="s">
        <v>72</v>
      </c>
      <c r="B333" t="s">
        <v>6591</v>
      </c>
      <c r="C333" t="s">
        <v>74</v>
      </c>
      <c r="D333" t="s">
        <v>74</v>
      </c>
      <c r="E333" t="s">
        <v>74</v>
      </c>
      <c r="F333" t="s">
        <v>6592</v>
      </c>
      <c r="G333" t="s">
        <v>74</v>
      </c>
      <c r="H333" t="s">
        <v>74</v>
      </c>
      <c r="I333" t="s">
        <v>6593</v>
      </c>
      <c r="J333" t="s">
        <v>1600</v>
      </c>
      <c r="K333" t="s">
        <v>74</v>
      </c>
      <c r="L333" t="s">
        <v>74</v>
      </c>
      <c r="M333" t="s">
        <v>78</v>
      </c>
      <c r="N333" t="s">
        <v>108</v>
      </c>
      <c r="O333" t="s">
        <v>74</v>
      </c>
      <c r="P333" t="s">
        <v>74</v>
      </c>
      <c r="Q333" t="s">
        <v>74</v>
      </c>
      <c r="R333" t="s">
        <v>74</v>
      </c>
      <c r="S333" t="s">
        <v>74</v>
      </c>
      <c r="T333" t="s">
        <v>6594</v>
      </c>
      <c r="U333" t="s">
        <v>6595</v>
      </c>
      <c r="V333" t="s">
        <v>6596</v>
      </c>
      <c r="W333" t="s">
        <v>6597</v>
      </c>
      <c r="X333" t="s">
        <v>3494</v>
      </c>
      <c r="Y333" t="s">
        <v>6598</v>
      </c>
      <c r="Z333" t="s">
        <v>6599</v>
      </c>
      <c r="AA333" t="s">
        <v>74</v>
      </c>
      <c r="AB333" t="s">
        <v>6600</v>
      </c>
      <c r="AC333" t="s">
        <v>74</v>
      </c>
      <c r="AD333" t="s">
        <v>74</v>
      </c>
      <c r="AE333" t="s">
        <v>74</v>
      </c>
      <c r="AF333" t="s">
        <v>74</v>
      </c>
      <c r="AG333">
        <v>72</v>
      </c>
      <c r="AH333">
        <v>0</v>
      </c>
      <c r="AI333">
        <v>0</v>
      </c>
      <c r="AJ333">
        <v>2</v>
      </c>
      <c r="AK333">
        <v>6</v>
      </c>
      <c r="AL333" t="s">
        <v>116</v>
      </c>
      <c r="AM333" t="s">
        <v>117</v>
      </c>
      <c r="AN333" t="s">
        <v>118</v>
      </c>
      <c r="AO333" t="s">
        <v>74</v>
      </c>
      <c r="AP333" t="s">
        <v>1609</v>
      </c>
      <c r="AQ333" t="s">
        <v>74</v>
      </c>
      <c r="AR333" t="s">
        <v>1610</v>
      </c>
      <c r="AS333" t="s">
        <v>1611</v>
      </c>
      <c r="AT333" t="s">
        <v>616</v>
      </c>
      <c r="AU333">
        <v>2023</v>
      </c>
      <c r="AV333">
        <v>11</v>
      </c>
      <c r="AW333">
        <v>5</v>
      </c>
      <c r="AX333" t="s">
        <v>74</v>
      </c>
      <c r="AY333" t="s">
        <v>74</v>
      </c>
      <c r="AZ333" t="s">
        <v>74</v>
      </c>
      <c r="BA333" t="s">
        <v>74</v>
      </c>
      <c r="BB333" t="s">
        <v>74</v>
      </c>
      <c r="BC333" t="s">
        <v>74</v>
      </c>
      <c r="BD333">
        <v>1085</v>
      </c>
      <c r="BE333" t="s">
        <v>6601</v>
      </c>
      <c r="BF333" t="str">
        <f>HYPERLINK("http://dx.doi.org/10.3390/math11051085","http://dx.doi.org/10.3390/math11051085")</f>
        <v>http://dx.doi.org/10.3390/math11051085</v>
      </c>
      <c r="BG333" t="s">
        <v>74</v>
      </c>
      <c r="BH333" t="s">
        <v>74</v>
      </c>
      <c r="BI333">
        <v>20</v>
      </c>
      <c r="BJ333" t="s">
        <v>1611</v>
      </c>
      <c r="BK333" t="s">
        <v>98</v>
      </c>
      <c r="BL333" t="s">
        <v>1611</v>
      </c>
      <c r="BM333" t="s">
        <v>6602</v>
      </c>
      <c r="BN333" t="s">
        <v>74</v>
      </c>
      <c r="BO333" t="s">
        <v>126</v>
      </c>
      <c r="BP333" t="s">
        <v>74</v>
      </c>
      <c r="BQ333" t="s">
        <v>74</v>
      </c>
      <c r="BR333" t="s">
        <v>102</v>
      </c>
      <c r="BS333" t="s">
        <v>6603</v>
      </c>
      <c r="BT333" t="str">
        <f>HYPERLINK("https%3A%2F%2Fwww.webofscience.com%2Fwos%2Fwoscc%2Ffull-record%2FWOS:000947649200001","View Full Record in Web of Science")</f>
        <v>View Full Record in Web of Science</v>
      </c>
    </row>
    <row r="334" spans="1:72" x14ac:dyDescent="0.2">
      <c r="A334" t="s">
        <v>72</v>
      </c>
      <c r="B334" t="s">
        <v>6604</v>
      </c>
      <c r="C334" t="s">
        <v>74</v>
      </c>
      <c r="D334" t="s">
        <v>74</v>
      </c>
      <c r="E334" t="s">
        <v>74</v>
      </c>
      <c r="F334" t="s">
        <v>6605</v>
      </c>
      <c r="G334" t="s">
        <v>74</v>
      </c>
      <c r="H334" t="s">
        <v>74</v>
      </c>
      <c r="I334" t="s">
        <v>6606</v>
      </c>
      <c r="J334" t="s">
        <v>131</v>
      </c>
      <c r="K334" t="s">
        <v>74</v>
      </c>
      <c r="L334" t="s">
        <v>74</v>
      </c>
      <c r="M334" t="s">
        <v>78</v>
      </c>
      <c r="N334" t="s">
        <v>108</v>
      </c>
      <c r="O334" t="s">
        <v>74</v>
      </c>
      <c r="P334" t="s">
        <v>74</v>
      </c>
      <c r="Q334" t="s">
        <v>74</v>
      </c>
      <c r="R334" t="s">
        <v>74</v>
      </c>
      <c r="S334" t="s">
        <v>74</v>
      </c>
      <c r="T334" t="s">
        <v>6607</v>
      </c>
      <c r="U334" t="s">
        <v>6608</v>
      </c>
      <c r="V334" t="s">
        <v>6609</v>
      </c>
      <c r="W334" t="s">
        <v>6610</v>
      </c>
      <c r="X334" t="s">
        <v>6611</v>
      </c>
      <c r="Y334" t="s">
        <v>6612</v>
      </c>
      <c r="Z334" t="s">
        <v>6613</v>
      </c>
      <c r="AA334" t="s">
        <v>6614</v>
      </c>
      <c r="AB334" t="s">
        <v>6615</v>
      </c>
      <c r="AC334" t="s">
        <v>6616</v>
      </c>
      <c r="AD334" t="s">
        <v>6617</v>
      </c>
      <c r="AE334" t="s">
        <v>6618</v>
      </c>
      <c r="AF334" t="s">
        <v>74</v>
      </c>
      <c r="AG334">
        <v>71</v>
      </c>
      <c r="AH334">
        <v>10</v>
      </c>
      <c r="AI334">
        <v>11</v>
      </c>
      <c r="AJ334">
        <v>26</v>
      </c>
      <c r="AK334">
        <v>144</v>
      </c>
      <c r="AL334" t="s">
        <v>116</v>
      </c>
      <c r="AM334" t="s">
        <v>117</v>
      </c>
      <c r="AN334" t="s">
        <v>118</v>
      </c>
      <c r="AO334" t="s">
        <v>74</v>
      </c>
      <c r="AP334" t="s">
        <v>142</v>
      </c>
      <c r="AQ334" t="s">
        <v>74</v>
      </c>
      <c r="AR334" t="s">
        <v>143</v>
      </c>
      <c r="AS334" t="s">
        <v>144</v>
      </c>
      <c r="AT334" t="s">
        <v>800</v>
      </c>
      <c r="AU334">
        <v>2020</v>
      </c>
      <c r="AV334">
        <v>12</v>
      </c>
      <c r="AW334">
        <v>8</v>
      </c>
      <c r="AX334" t="s">
        <v>74</v>
      </c>
      <c r="AY334" t="s">
        <v>74</v>
      </c>
      <c r="AZ334" t="s">
        <v>74</v>
      </c>
      <c r="BA334" t="s">
        <v>74</v>
      </c>
      <c r="BB334" t="s">
        <v>74</v>
      </c>
      <c r="BC334" t="s">
        <v>74</v>
      </c>
      <c r="BD334">
        <v>3150</v>
      </c>
      <c r="BE334" t="s">
        <v>6619</v>
      </c>
      <c r="BF334" t="str">
        <f>HYPERLINK("http://dx.doi.org/10.3390/su12083150","http://dx.doi.org/10.3390/su12083150")</f>
        <v>http://dx.doi.org/10.3390/su12083150</v>
      </c>
      <c r="BG334" t="s">
        <v>74</v>
      </c>
      <c r="BH334" t="s">
        <v>74</v>
      </c>
      <c r="BI334">
        <v>21</v>
      </c>
      <c r="BJ334" t="s">
        <v>146</v>
      </c>
      <c r="BK334" t="s">
        <v>147</v>
      </c>
      <c r="BL334" t="s">
        <v>148</v>
      </c>
      <c r="BM334" t="s">
        <v>6620</v>
      </c>
      <c r="BN334" t="s">
        <v>74</v>
      </c>
      <c r="BO334" t="s">
        <v>623</v>
      </c>
      <c r="BP334" t="s">
        <v>74</v>
      </c>
      <c r="BQ334" t="s">
        <v>74</v>
      </c>
      <c r="BR334" t="s">
        <v>102</v>
      </c>
      <c r="BS334" t="s">
        <v>6621</v>
      </c>
      <c r="BT334" t="str">
        <f>HYPERLINK("https%3A%2F%2Fwww.webofscience.com%2Fwos%2Fwoscc%2Ffull-record%2FWOS:000535598700083","View Full Record in Web of Science")</f>
        <v>View Full Record in Web of Science</v>
      </c>
    </row>
    <row r="335" spans="1:72" x14ac:dyDescent="0.2">
      <c r="A335" t="s">
        <v>72</v>
      </c>
      <c r="B335" t="s">
        <v>6622</v>
      </c>
      <c r="C335" t="s">
        <v>74</v>
      </c>
      <c r="D335" t="s">
        <v>74</v>
      </c>
      <c r="E335" t="s">
        <v>74</v>
      </c>
      <c r="F335" t="s">
        <v>6623</v>
      </c>
      <c r="G335" t="s">
        <v>74</v>
      </c>
      <c r="H335" t="s">
        <v>74</v>
      </c>
      <c r="I335" t="s">
        <v>6624</v>
      </c>
      <c r="J335" t="s">
        <v>2042</v>
      </c>
      <c r="K335" t="s">
        <v>74</v>
      </c>
      <c r="L335" t="s">
        <v>74</v>
      </c>
      <c r="M335" t="s">
        <v>78</v>
      </c>
      <c r="N335" t="s">
        <v>108</v>
      </c>
      <c r="O335" t="s">
        <v>74</v>
      </c>
      <c r="P335" t="s">
        <v>74</v>
      </c>
      <c r="Q335" t="s">
        <v>74</v>
      </c>
      <c r="R335" t="s">
        <v>74</v>
      </c>
      <c r="S335" t="s">
        <v>74</v>
      </c>
      <c r="T335" t="s">
        <v>6625</v>
      </c>
      <c r="U335" t="s">
        <v>6626</v>
      </c>
      <c r="V335" t="s">
        <v>6627</v>
      </c>
      <c r="W335" t="s">
        <v>6628</v>
      </c>
      <c r="X335" t="s">
        <v>6629</v>
      </c>
      <c r="Y335" t="s">
        <v>6630</v>
      </c>
      <c r="Z335" t="s">
        <v>6631</v>
      </c>
      <c r="AA335" t="s">
        <v>74</v>
      </c>
      <c r="AB335" t="s">
        <v>74</v>
      </c>
      <c r="AC335" t="s">
        <v>74</v>
      </c>
      <c r="AD335" t="s">
        <v>74</v>
      </c>
      <c r="AE335" t="s">
        <v>74</v>
      </c>
      <c r="AF335" t="s">
        <v>74</v>
      </c>
      <c r="AG335">
        <v>83</v>
      </c>
      <c r="AH335">
        <v>3</v>
      </c>
      <c r="AI335">
        <v>3</v>
      </c>
      <c r="AJ335">
        <v>2</v>
      </c>
      <c r="AK335">
        <v>26</v>
      </c>
      <c r="AL335" t="s">
        <v>543</v>
      </c>
      <c r="AM335" t="s">
        <v>260</v>
      </c>
      <c r="AN335" t="s">
        <v>544</v>
      </c>
      <c r="AO335" t="s">
        <v>2054</v>
      </c>
      <c r="AP335" t="s">
        <v>2055</v>
      </c>
      <c r="AQ335" t="s">
        <v>74</v>
      </c>
      <c r="AR335" t="s">
        <v>2056</v>
      </c>
      <c r="AS335" t="s">
        <v>2057</v>
      </c>
      <c r="AT335" t="s">
        <v>6632</v>
      </c>
      <c r="AU335">
        <v>2022</v>
      </c>
      <c r="AV335">
        <v>190</v>
      </c>
      <c r="AW335" t="s">
        <v>74</v>
      </c>
      <c r="AX335" t="s">
        <v>74</v>
      </c>
      <c r="AY335" t="s">
        <v>74</v>
      </c>
      <c r="AZ335" t="s">
        <v>74</v>
      </c>
      <c r="BA335" t="s">
        <v>74</v>
      </c>
      <c r="BB335" t="s">
        <v>74</v>
      </c>
      <c r="BC335" t="s">
        <v>74</v>
      </c>
      <c r="BD335">
        <v>116208</v>
      </c>
      <c r="BE335" t="s">
        <v>6633</v>
      </c>
      <c r="BF335" t="str">
        <f>HYPERLINK("http://dx.doi.org/10.1016/j.eswa.2021.116208","http://dx.doi.org/10.1016/j.eswa.2021.116208")</f>
        <v>http://dx.doi.org/10.1016/j.eswa.2021.116208</v>
      </c>
      <c r="BG335" t="s">
        <v>74</v>
      </c>
      <c r="BH335" t="s">
        <v>5793</v>
      </c>
      <c r="BI335">
        <v>17</v>
      </c>
      <c r="BJ335" t="s">
        <v>2059</v>
      </c>
      <c r="BK335" t="s">
        <v>98</v>
      </c>
      <c r="BL335" t="s">
        <v>2060</v>
      </c>
      <c r="BM335" t="s">
        <v>6634</v>
      </c>
      <c r="BN335" t="s">
        <v>74</v>
      </c>
      <c r="BO335" t="s">
        <v>74</v>
      </c>
      <c r="BP335" t="s">
        <v>74</v>
      </c>
      <c r="BQ335" t="s">
        <v>74</v>
      </c>
      <c r="BR335" t="s">
        <v>102</v>
      </c>
      <c r="BS335" t="s">
        <v>6635</v>
      </c>
      <c r="BT335" t="str">
        <f>HYPERLINK("https%3A%2F%2Fwww.webofscience.com%2Fwos%2Fwoscc%2Ffull-record%2FWOS:000724533200002","View Full Record in Web of Science")</f>
        <v>View Full Record in Web of Science</v>
      </c>
    </row>
    <row r="336" spans="1:72" x14ac:dyDescent="0.2">
      <c r="A336" t="s">
        <v>72</v>
      </c>
      <c r="B336" t="s">
        <v>6636</v>
      </c>
      <c r="C336" t="s">
        <v>74</v>
      </c>
      <c r="D336" t="s">
        <v>74</v>
      </c>
      <c r="E336" t="s">
        <v>74</v>
      </c>
      <c r="F336" t="s">
        <v>6637</v>
      </c>
      <c r="G336" t="s">
        <v>74</v>
      </c>
      <c r="H336" t="s">
        <v>74</v>
      </c>
      <c r="I336" t="s">
        <v>6638</v>
      </c>
      <c r="J336" t="s">
        <v>6639</v>
      </c>
      <c r="K336" t="s">
        <v>74</v>
      </c>
      <c r="L336" t="s">
        <v>74</v>
      </c>
      <c r="M336" t="s">
        <v>78</v>
      </c>
      <c r="N336" t="s">
        <v>917</v>
      </c>
      <c r="O336" t="s">
        <v>74</v>
      </c>
      <c r="P336" t="s">
        <v>74</v>
      </c>
      <c r="Q336" t="s">
        <v>74</v>
      </c>
      <c r="R336" t="s">
        <v>74</v>
      </c>
      <c r="S336" t="s">
        <v>74</v>
      </c>
      <c r="T336" t="s">
        <v>6640</v>
      </c>
      <c r="U336" t="s">
        <v>6641</v>
      </c>
      <c r="V336" t="s">
        <v>6642</v>
      </c>
      <c r="W336" t="s">
        <v>6643</v>
      </c>
      <c r="X336" t="s">
        <v>6644</v>
      </c>
      <c r="Y336" t="s">
        <v>6645</v>
      </c>
      <c r="Z336" t="s">
        <v>6646</v>
      </c>
      <c r="AA336" t="s">
        <v>74</v>
      </c>
      <c r="AB336" t="s">
        <v>74</v>
      </c>
      <c r="AC336" t="s">
        <v>74</v>
      </c>
      <c r="AD336" t="s">
        <v>74</v>
      </c>
      <c r="AE336" t="s">
        <v>74</v>
      </c>
      <c r="AF336" t="s">
        <v>74</v>
      </c>
      <c r="AG336">
        <v>20</v>
      </c>
      <c r="AH336">
        <v>0</v>
      </c>
      <c r="AI336">
        <v>0</v>
      </c>
      <c r="AJ336">
        <v>1</v>
      </c>
      <c r="AK336">
        <v>1</v>
      </c>
      <c r="AL336" t="s">
        <v>279</v>
      </c>
      <c r="AM336" t="s">
        <v>280</v>
      </c>
      <c r="AN336" t="s">
        <v>281</v>
      </c>
      <c r="AO336" t="s">
        <v>6647</v>
      </c>
      <c r="AP336" t="s">
        <v>6648</v>
      </c>
      <c r="AQ336" t="s">
        <v>74</v>
      </c>
      <c r="AR336" t="s">
        <v>6649</v>
      </c>
      <c r="AS336" t="s">
        <v>6650</v>
      </c>
      <c r="AT336" t="s">
        <v>1329</v>
      </c>
      <c r="AU336">
        <v>2023</v>
      </c>
      <c r="AV336" t="s">
        <v>74</v>
      </c>
      <c r="AW336" t="s">
        <v>74</v>
      </c>
      <c r="AX336" t="s">
        <v>74</v>
      </c>
      <c r="AY336" t="s">
        <v>74</v>
      </c>
      <c r="AZ336" t="s">
        <v>74</v>
      </c>
      <c r="BA336" t="s">
        <v>74</v>
      </c>
      <c r="BB336" t="s">
        <v>74</v>
      </c>
      <c r="BC336" t="s">
        <v>74</v>
      </c>
      <c r="BD336" t="s">
        <v>74</v>
      </c>
      <c r="BE336" t="s">
        <v>6651</v>
      </c>
      <c r="BF336" t="str">
        <f>HYPERLINK("http://dx.doi.org/10.1080/23307706.2023.2229318","http://dx.doi.org/10.1080/23307706.2023.2229318")</f>
        <v>http://dx.doi.org/10.1080/23307706.2023.2229318</v>
      </c>
      <c r="BG336" t="s">
        <v>74</v>
      </c>
      <c r="BH336" t="s">
        <v>1331</v>
      </c>
      <c r="BI336">
        <v>14</v>
      </c>
      <c r="BJ336" t="s">
        <v>6652</v>
      </c>
      <c r="BK336" t="s">
        <v>124</v>
      </c>
      <c r="BL336" t="s">
        <v>3204</v>
      </c>
      <c r="BM336" t="s">
        <v>6653</v>
      </c>
      <c r="BN336" t="s">
        <v>74</v>
      </c>
      <c r="BO336" t="s">
        <v>74</v>
      </c>
      <c r="BP336" t="s">
        <v>74</v>
      </c>
      <c r="BQ336" t="s">
        <v>74</v>
      </c>
      <c r="BR336" t="s">
        <v>102</v>
      </c>
      <c r="BS336" t="s">
        <v>6654</v>
      </c>
      <c r="BT336" t="str">
        <f>HYPERLINK("https%3A%2F%2Fwww.webofscience.com%2Fwos%2Fwoscc%2Ffull-record%2FWOS:001029950800001","View Full Record in Web of Science")</f>
        <v>View Full Record in Web of Science</v>
      </c>
    </row>
    <row r="337" spans="1:72" x14ac:dyDescent="0.2">
      <c r="A337" t="s">
        <v>72</v>
      </c>
      <c r="B337" t="s">
        <v>6655</v>
      </c>
      <c r="C337" t="s">
        <v>74</v>
      </c>
      <c r="D337" t="s">
        <v>74</v>
      </c>
      <c r="E337" t="s">
        <v>74</v>
      </c>
      <c r="F337" t="s">
        <v>6656</v>
      </c>
      <c r="G337" t="s">
        <v>74</v>
      </c>
      <c r="H337" t="s">
        <v>74</v>
      </c>
      <c r="I337" t="s">
        <v>6657</v>
      </c>
      <c r="J337" t="s">
        <v>6658</v>
      </c>
      <c r="K337" t="s">
        <v>74</v>
      </c>
      <c r="L337" t="s">
        <v>74</v>
      </c>
      <c r="M337" t="s">
        <v>78</v>
      </c>
      <c r="N337" t="s">
        <v>108</v>
      </c>
      <c r="O337" t="s">
        <v>74</v>
      </c>
      <c r="P337" t="s">
        <v>74</v>
      </c>
      <c r="Q337" t="s">
        <v>74</v>
      </c>
      <c r="R337" t="s">
        <v>74</v>
      </c>
      <c r="S337" t="s">
        <v>74</v>
      </c>
      <c r="T337" t="s">
        <v>6659</v>
      </c>
      <c r="U337" t="s">
        <v>6660</v>
      </c>
      <c r="V337" t="s">
        <v>6661</v>
      </c>
      <c r="W337" t="s">
        <v>6662</v>
      </c>
      <c r="X337" t="s">
        <v>6663</v>
      </c>
      <c r="Y337" t="s">
        <v>6664</v>
      </c>
      <c r="Z337" t="s">
        <v>6665</v>
      </c>
      <c r="AA337" t="s">
        <v>74</v>
      </c>
      <c r="AB337" t="s">
        <v>74</v>
      </c>
      <c r="AC337" t="s">
        <v>74</v>
      </c>
      <c r="AD337" t="s">
        <v>74</v>
      </c>
      <c r="AE337" t="s">
        <v>74</v>
      </c>
      <c r="AF337" t="s">
        <v>74</v>
      </c>
      <c r="AG337">
        <v>23</v>
      </c>
      <c r="AH337">
        <v>0</v>
      </c>
      <c r="AI337">
        <v>0</v>
      </c>
      <c r="AJ337">
        <v>0</v>
      </c>
      <c r="AK337">
        <v>10</v>
      </c>
      <c r="AL337" t="s">
        <v>6666</v>
      </c>
      <c r="AM337" t="s">
        <v>6667</v>
      </c>
      <c r="AN337" t="s">
        <v>6668</v>
      </c>
      <c r="AO337" t="s">
        <v>6669</v>
      </c>
      <c r="AP337" t="s">
        <v>6670</v>
      </c>
      <c r="AQ337" t="s">
        <v>74</v>
      </c>
      <c r="AR337" t="s">
        <v>6671</v>
      </c>
      <c r="AS337" t="s">
        <v>6672</v>
      </c>
      <c r="AT337" t="s">
        <v>6673</v>
      </c>
      <c r="AU337">
        <v>2010</v>
      </c>
      <c r="AV337">
        <v>106</v>
      </c>
      <c r="AW337" t="s">
        <v>3201</v>
      </c>
      <c r="AX337" t="s">
        <v>74</v>
      </c>
      <c r="AY337" t="s">
        <v>74</v>
      </c>
      <c r="AZ337" t="s">
        <v>74</v>
      </c>
      <c r="BA337" t="s">
        <v>74</v>
      </c>
      <c r="BB337">
        <v>59</v>
      </c>
      <c r="BC337">
        <v>65</v>
      </c>
      <c r="BD337" t="s">
        <v>74</v>
      </c>
      <c r="BE337" t="s">
        <v>6674</v>
      </c>
      <c r="BF337" t="str">
        <f>HYPERLINK("http://dx.doi.org/10.4102/sajs.v106i11/12.422","http://dx.doi.org/10.4102/sajs.v106i11/12.422")</f>
        <v>http://dx.doi.org/10.4102/sajs.v106i11/12.422</v>
      </c>
      <c r="BG337" t="s">
        <v>74</v>
      </c>
      <c r="BH337" t="s">
        <v>74</v>
      </c>
      <c r="BI337">
        <v>7</v>
      </c>
      <c r="BJ337" t="s">
        <v>620</v>
      </c>
      <c r="BK337" t="s">
        <v>147</v>
      </c>
      <c r="BL337" t="s">
        <v>621</v>
      </c>
      <c r="BM337" t="s">
        <v>6675</v>
      </c>
      <c r="BN337" t="s">
        <v>74</v>
      </c>
      <c r="BO337" t="s">
        <v>126</v>
      </c>
      <c r="BP337" t="s">
        <v>74</v>
      </c>
      <c r="BQ337" t="s">
        <v>74</v>
      </c>
      <c r="BR337" t="s">
        <v>102</v>
      </c>
      <c r="BS337" t="s">
        <v>6676</v>
      </c>
      <c r="BT337" t="str">
        <f>HYPERLINK("https%3A%2F%2Fwww.webofscience.com%2Fwos%2Fwoscc%2Ffull-record%2FWOS:000287271500013","View Full Record in Web of Science")</f>
        <v>View Full Record in Web of Science</v>
      </c>
    </row>
    <row r="338" spans="1:72" x14ac:dyDescent="0.2">
      <c r="A338" t="s">
        <v>72</v>
      </c>
      <c r="B338" t="s">
        <v>6677</v>
      </c>
      <c r="C338" t="s">
        <v>74</v>
      </c>
      <c r="D338" t="s">
        <v>74</v>
      </c>
      <c r="E338" t="s">
        <v>74</v>
      </c>
      <c r="F338" t="s">
        <v>6678</v>
      </c>
      <c r="G338" t="s">
        <v>74</v>
      </c>
      <c r="H338" t="s">
        <v>74</v>
      </c>
      <c r="I338" t="s">
        <v>6679</v>
      </c>
      <c r="J338" t="s">
        <v>4673</v>
      </c>
      <c r="K338" t="s">
        <v>74</v>
      </c>
      <c r="L338" t="s">
        <v>74</v>
      </c>
      <c r="M338" t="s">
        <v>78</v>
      </c>
      <c r="N338" t="s">
        <v>108</v>
      </c>
      <c r="O338" t="s">
        <v>74</v>
      </c>
      <c r="P338" t="s">
        <v>74</v>
      </c>
      <c r="Q338" t="s">
        <v>74</v>
      </c>
      <c r="R338" t="s">
        <v>74</v>
      </c>
      <c r="S338" t="s">
        <v>74</v>
      </c>
      <c r="T338" t="s">
        <v>6680</v>
      </c>
      <c r="U338" t="s">
        <v>6681</v>
      </c>
      <c r="V338" t="s">
        <v>6682</v>
      </c>
      <c r="W338" t="s">
        <v>6683</v>
      </c>
      <c r="X338" t="s">
        <v>6684</v>
      </c>
      <c r="Y338" t="s">
        <v>879</v>
      </c>
      <c r="Z338" t="s">
        <v>6685</v>
      </c>
      <c r="AA338" t="s">
        <v>6686</v>
      </c>
      <c r="AB338" t="s">
        <v>6687</v>
      </c>
      <c r="AC338" t="s">
        <v>74</v>
      </c>
      <c r="AD338" t="s">
        <v>74</v>
      </c>
      <c r="AE338" t="s">
        <v>74</v>
      </c>
      <c r="AF338" t="s">
        <v>74</v>
      </c>
      <c r="AG338">
        <v>85</v>
      </c>
      <c r="AH338">
        <v>27</v>
      </c>
      <c r="AI338">
        <v>27</v>
      </c>
      <c r="AJ338">
        <v>13</v>
      </c>
      <c r="AK338">
        <v>117</v>
      </c>
      <c r="AL338" t="s">
        <v>543</v>
      </c>
      <c r="AM338" t="s">
        <v>260</v>
      </c>
      <c r="AN338" t="s">
        <v>544</v>
      </c>
      <c r="AO338" t="s">
        <v>4682</v>
      </c>
      <c r="AP338" t="s">
        <v>6424</v>
      </c>
      <c r="AQ338" t="s">
        <v>74</v>
      </c>
      <c r="AR338" t="s">
        <v>4683</v>
      </c>
      <c r="AS338" t="s">
        <v>4684</v>
      </c>
      <c r="AT338" t="s">
        <v>738</v>
      </c>
      <c r="AU338">
        <v>2020</v>
      </c>
      <c r="AV338">
        <v>134</v>
      </c>
      <c r="AW338" t="s">
        <v>74</v>
      </c>
      <c r="AX338" t="s">
        <v>74</v>
      </c>
      <c r="AY338" t="s">
        <v>74</v>
      </c>
      <c r="AZ338" t="s">
        <v>74</v>
      </c>
      <c r="BA338" t="s">
        <v>74</v>
      </c>
      <c r="BB338" t="s">
        <v>74</v>
      </c>
      <c r="BC338" t="s">
        <v>74</v>
      </c>
      <c r="BD338">
        <v>101816</v>
      </c>
      <c r="BE338" t="s">
        <v>6688</v>
      </c>
      <c r="BF338" t="str">
        <f>HYPERLINK("http://dx.doi.org/10.1016/j.tre.2019.11.010","http://dx.doi.org/10.1016/j.tre.2019.11.010")</f>
        <v>http://dx.doi.org/10.1016/j.tre.2019.11.010</v>
      </c>
      <c r="BG338" t="s">
        <v>74</v>
      </c>
      <c r="BH338" t="s">
        <v>74</v>
      </c>
      <c r="BI338">
        <v>17</v>
      </c>
      <c r="BJ338" t="s">
        <v>4686</v>
      </c>
      <c r="BK338" t="s">
        <v>147</v>
      </c>
      <c r="BL338" t="s">
        <v>4687</v>
      </c>
      <c r="BM338" t="s">
        <v>6689</v>
      </c>
      <c r="BN338" t="s">
        <v>74</v>
      </c>
      <c r="BO338" t="s">
        <v>889</v>
      </c>
      <c r="BP338" t="s">
        <v>74</v>
      </c>
      <c r="BQ338" t="s">
        <v>74</v>
      </c>
      <c r="BR338" t="s">
        <v>102</v>
      </c>
      <c r="BS338" t="s">
        <v>6690</v>
      </c>
      <c r="BT338" t="str">
        <f>HYPERLINK("https%3A%2F%2Fwww.webofscience.com%2Fwos%2Fwoscc%2Ffull-record%2FWOS:000518489600016","View Full Record in Web of Science")</f>
        <v>View Full Record in Web of Science</v>
      </c>
    </row>
    <row r="339" spans="1:72" x14ac:dyDescent="0.2">
      <c r="A339" t="s">
        <v>72</v>
      </c>
      <c r="B339" t="s">
        <v>6691</v>
      </c>
      <c r="C339" t="s">
        <v>74</v>
      </c>
      <c r="D339" t="s">
        <v>74</v>
      </c>
      <c r="E339" t="s">
        <v>74</v>
      </c>
      <c r="F339" t="s">
        <v>6692</v>
      </c>
      <c r="G339" t="s">
        <v>74</v>
      </c>
      <c r="H339" t="s">
        <v>74</v>
      </c>
      <c r="I339" t="s">
        <v>6693</v>
      </c>
      <c r="J339" t="s">
        <v>6694</v>
      </c>
      <c r="K339" t="s">
        <v>74</v>
      </c>
      <c r="L339" t="s">
        <v>74</v>
      </c>
      <c r="M339" t="s">
        <v>78</v>
      </c>
      <c r="N339" t="s">
        <v>108</v>
      </c>
      <c r="O339" t="s">
        <v>74</v>
      </c>
      <c r="P339" t="s">
        <v>74</v>
      </c>
      <c r="Q339" t="s">
        <v>74</v>
      </c>
      <c r="R339" t="s">
        <v>74</v>
      </c>
      <c r="S339" t="s">
        <v>74</v>
      </c>
      <c r="T339" t="s">
        <v>6695</v>
      </c>
      <c r="U339" t="s">
        <v>6696</v>
      </c>
      <c r="V339" t="s">
        <v>6697</v>
      </c>
      <c r="W339" t="s">
        <v>6698</v>
      </c>
      <c r="X339" t="s">
        <v>6699</v>
      </c>
      <c r="Y339" t="s">
        <v>6700</v>
      </c>
      <c r="Z339" t="s">
        <v>6701</v>
      </c>
      <c r="AA339" t="s">
        <v>6702</v>
      </c>
      <c r="AB339" t="s">
        <v>6703</v>
      </c>
      <c r="AC339" t="s">
        <v>74</v>
      </c>
      <c r="AD339" t="s">
        <v>74</v>
      </c>
      <c r="AE339" t="s">
        <v>74</v>
      </c>
      <c r="AF339" t="s">
        <v>74</v>
      </c>
      <c r="AG339">
        <v>53</v>
      </c>
      <c r="AH339">
        <v>6</v>
      </c>
      <c r="AI339">
        <v>6</v>
      </c>
      <c r="AJ339">
        <v>4</v>
      </c>
      <c r="AK339">
        <v>17</v>
      </c>
      <c r="AL339" t="s">
        <v>437</v>
      </c>
      <c r="AM339" t="s">
        <v>438</v>
      </c>
      <c r="AN339" t="s">
        <v>439</v>
      </c>
      <c r="AO339" t="s">
        <v>6704</v>
      </c>
      <c r="AP339" t="s">
        <v>6705</v>
      </c>
      <c r="AQ339" t="s">
        <v>74</v>
      </c>
      <c r="AR339" t="s">
        <v>6706</v>
      </c>
      <c r="AS339" t="s">
        <v>6707</v>
      </c>
      <c r="AT339" t="s">
        <v>6708</v>
      </c>
      <c r="AU339">
        <v>2023</v>
      </c>
      <c r="AV339">
        <v>18</v>
      </c>
      <c r="AW339">
        <v>6</v>
      </c>
      <c r="AX339" t="s">
        <v>74</v>
      </c>
      <c r="AY339" t="s">
        <v>74</v>
      </c>
      <c r="AZ339" t="s">
        <v>570</v>
      </c>
      <c r="BA339" t="s">
        <v>74</v>
      </c>
      <c r="BB339">
        <v>1307</v>
      </c>
      <c r="BC339">
        <v>1329</v>
      </c>
      <c r="BD339" t="s">
        <v>74</v>
      </c>
      <c r="BE339" t="s">
        <v>6709</v>
      </c>
      <c r="BF339" t="str">
        <f>HYPERLINK("http://dx.doi.org/10.1108/IJOEM-10-2021-1628","http://dx.doi.org/10.1108/IJOEM-10-2021-1628")</f>
        <v>http://dx.doi.org/10.1108/IJOEM-10-2021-1628</v>
      </c>
      <c r="BG339" t="s">
        <v>74</v>
      </c>
      <c r="BH339" t="s">
        <v>2921</v>
      </c>
      <c r="BI339">
        <v>23</v>
      </c>
      <c r="BJ339" t="s">
        <v>1705</v>
      </c>
      <c r="BK339" t="s">
        <v>242</v>
      </c>
      <c r="BL339" t="s">
        <v>419</v>
      </c>
      <c r="BM339" t="s">
        <v>6710</v>
      </c>
      <c r="BN339" t="s">
        <v>74</v>
      </c>
      <c r="BO339" t="s">
        <v>74</v>
      </c>
      <c r="BP339" t="s">
        <v>74</v>
      </c>
      <c r="BQ339" t="s">
        <v>74</v>
      </c>
      <c r="BR339" t="s">
        <v>102</v>
      </c>
      <c r="BS339" t="s">
        <v>6711</v>
      </c>
      <c r="BT339" t="str">
        <f>HYPERLINK("https%3A%2F%2Fwww.webofscience.com%2Fwos%2Fwoscc%2Ffull-record%2FWOS:000800345600001","View Full Record in Web of Science")</f>
        <v>View Full Record in Web of Science</v>
      </c>
    </row>
    <row r="340" spans="1:72" x14ac:dyDescent="0.2">
      <c r="A340" t="s">
        <v>72</v>
      </c>
      <c r="B340" t="s">
        <v>6712</v>
      </c>
      <c r="C340" t="s">
        <v>74</v>
      </c>
      <c r="D340" t="s">
        <v>74</v>
      </c>
      <c r="E340" t="s">
        <v>74</v>
      </c>
      <c r="F340" t="s">
        <v>6713</v>
      </c>
      <c r="G340" t="s">
        <v>74</v>
      </c>
      <c r="H340" t="s">
        <v>74</v>
      </c>
      <c r="I340" t="s">
        <v>6714</v>
      </c>
      <c r="J340" t="s">
        <v>5545</v>
      </c>
      <c r="K340" t="s">
        <v>74</v>
      </c>
      <c r="L340" t="s">
        <v>74</v>
      </c>
      <c r="M340" t="s">
        <v>78</v>
      </c>
      <c r="N340" t="s">
        <v>108</v>
      </c>
      <c r="O340" t="s">
        <v>74</v>
      </c>
      <c r="P340" t="s">
        <v>74</v>
      </c>
      <c r="Q340" t="s">
        <v>74</v>
      </c>
      <c r="R340" t="s">
        <v>74</v>
      </c>
      <c r="S340" t="s">
        <v>74</v>
      </c>
      <c r="T340" t="s">
        <v>6715</v>
      </c>
      <c r="U340" t="s">
        <v>6716</v>
      </c>
      <c r="V340" t="s">
        <v>6717</v>
      </c>
      <c r="W340" t="s">
        <v>6718</v>
      </c>
      <c r="X340" t="s">
        <v>6719</v>
      </c>
      <c r="Y340" t="s">
        <v>6720</v>
      </c>
      <c r="Z340" t="s">
        <v>6721</v>
      </c>
      <c r="AA340" t="s">
        <v>6722</v>
      </c>
      <c r="AB340" t="s">
        <v>6723</v>
      </c>
      <c r="AC340" t="s">
        <v>74</v>
      </c>
      <c r="AD340" t="s">
        <v>74</v>
      </c>
      <c r="AE340" t="s">
        <v>74</v>
      </c>
      <c r="AF340" t="s">
        <v>74</v>
      </c>
      <c r="AG340">
        <v>105</v>
      </c>
      <c r="AH340">
        <v>236</v>
      </c>
      <c r="AI340">
        <v>239</v>
      </c>
      <c r="AJ340">
        <v>38</v>
      </c>
      <c r="AK340">
        <v>411</v>
      </c>
      <c r="AL340" t="s">
        <v>437</v>
      </c>
      <c r="AM340" t="s">
        <v>438</v>
      </c>
      <c r="AN340" t="s">
        <v>439</v>
      </c>
      <c r="AO340" t="s">
        <v>5556</v>
      </c>
      <c r="AP340" t="s">
        <v>5557</v>
      </c>
      <c r="AQ340" t="s">
        <v>74</v>
      </c>
      <c r="AR340" t="s">
        <v>5558</v>
      </c>
      <c r="AS340" t="s">
        <v>5559</v>
      </c>
      <c r="AT340" t="s">
        <v>74</v>
      </c>
      <c r="AU340">
        <v>2013</v>
      </c>
      <c r="AV340">
        <v>33</v>
      </c>
      <c r="AW340" t="s">
        <v>3740</v>
      </c>
      <c r="AX340" t="s">
        <v>74</v>
      </c>
      <c r="AY340" t="s">
        <v>74</v>
      </c>
      <c r="AZ340" t="s">
        <v>74</v>
      </c>
      <c r="BA340" t="s">
        <v>74</v>
      </c>
      <c r="BB340">
        <v>442</v>
      </c>
      <c r="BC340">
        <v>469</v>
      </c>
      <c r="BD340" t="s">
        <v>74</v>
      </c>
      <c r="BE340" t="s">
        <v>6724</v>
      </c>
      <c r="BF340" t="str">
        <f>HYPERLINK("http://dx.doi.org/10.1108/01443571311307343","http://dx.doi.org/10.1108/01443571311307343")</f>
        <v>http://dx.doi.org/10.1108/01443571311307343</v>
      </c>
      <c r="BG340" t="s">
        <v>74</v>
      </c>
      <c r="BH340" t="s">
        <v>74</v>
      </c>
      <c r="BI340">
        <v>28</v>
      </c>
      <c r="BJ340" t="s">
        <v>418</v>
      </c>
      <c r="BK340" t="s">
        <v>242</v>
      </c>
      <c r="BL340" t="s">
        <v>419</v>
      </c>
      <c r="BM340" t="s">
        <v>6725</v>
      </c>
      <c r="BN340" t="s">
        <v>74</v>
      </c>
      <c r="BO340" t="s">
        <v>74</v>
      </c>
      <c r="BP340" t="s">
        <v>74</v>
      </c>
      <c r="BQ340" t="s">
        <v>74</v>
      </c>
      <c r="BR340" t="s">
        <v>102</v>
      </c>
      <c r="BS340" t="s">
        <v>6726</v>
      </c>
      <c r="BT340" t="str">
        <f>HYPERLINK("https%3A%2F%2Fwww.webofscience.com%2Fwos%2Fwoscc%2Ffull-record%2FWOS:000317149500009","View Full Record in Web of Science")</f>
        <v>View Full Record in Web of Science</v>
      </c>
    </row>
    <row r="341" spans="1:72" x14ac:dyDescent="0.2">
      <c r="A341" t="s">
        <v>72</v>
      </c>
      <c r="B341" t="s">
        <v>6727</v>
      </c>
      <c r="C341" t="s">
        <v>74</v>
      </c>
      <c r="D341" t="s">
        <v>74</v>
      </c>
      <c r="E341" t="s">
        <v>74</v>
      </c>
      <c r="F341" t="s">
        <v>6728</v>
      </c>
      <c r="G341" t="s">
        <v>74</v>
      </c>
      <c r="H341" t="s">
        <v>74</v>
      </c>
      <c r="I341" t="s">
        <v>6729</v>
      </c>
      <c r="J341" t="s">
        <v>5631</v>
      </c>
      <c r="K341" t="s">
        <v>74</v>
      </c>
      <c r="L341" t="s">
        <v>74</v>
      </c>
      <c r="M341" t="s">
        <v>78</v>
      </c>
      <c r="N341" t="s">
        <v>108</v>
      </c>
      <c r="O341" t="s">
        <v>74</v>
      </c>
      <c r="P341" t="s">
        <v>74</v>
      </c>
      <c r="Q341" t="s">
        <v>74</v>
      </c>
      <c r="R341" t="s">
        <v>74</v>
      </c>
      <c r="S341" t="s">
        <v>74</v>
      </c>
      <c r="T341" t="s">
        <v>6730</v>
      </c>
      <c r="U341" t="s">
        <v>6731</v>
      </c>
      <c r="V341" t="s">
        <v>6732</v>
      </c>
      <c r="W341" t="s">
        <v>6733</v>
      </c>
      <c r="X341" t="s">
        <v>5694</v>
      </c>
      <c r="Y341" t="s">
        <v>6734</v>
      </c>
      <c r="Z341" t="s">
        <v>5696</v>
      </c>
      <c r="AA341" t="s">
        <v>74</v>
      </c>
      <c r="AB341" t="s">
        <v>74</v>
      </c>
      <c r="AC341" t="s">
        <v>74</v>
      </c>
      <c r="AD341" t="s">
        <v>74</v>
      </c>
      <c r="AE341" t="s">
        <v>74</v>
      </c>
      <c r="AF341" t="s">
        <v>74</v>
      </c>
      <c r="AG341">
        <v>37</v>
      </c>
      <c r="AH341">
        <v>3</v>
      </c>
      <c r="AI341">
        <v>3</v>
      </c>
      <c r="AJ341">
        <v>2</v>
      </c>
      <c r="AK341">
        <v>6</v>
      </c>
      <c r="AL341" t="s">
        <v>279</v>
      </c>
      <c r="AM341" t="s">
        <v>280</v>
      </c>
      <c r="AN341" t="s">
        <v>281</v>
      </c>
      <c r="AO341" t="s">
        <v>5643</v>
      </c>
      <c r="AP341" t="s">
        <v>5644</v>
      </c>
      <c r="AQ341" t="s">
        <v>74</v>
      </c>
      <c r="AR341" t="s">
        <v>5645</v>
      </c>
      <c r="AS341" t="s">
        <v>5646</v>
      </c>
      <c r="AT341" t="s">
        <v>74</v>
      </c>
      <c r="AU341">
        <v>2018</v>
      </c>
      <c r="AV341">
        <v>21</v>
      </c>
      <c r="AW341">
        <v>3</v>
      </c>
      <c r="AX341" t="s">
        <v>74</v>
      </c>
      <c r="AY341" t="s">
        <v>74</v>
      </c>
      <c r="AZ341" t="s">
        <v>74</v>
      </c>
      <c r="BA341" t="s">
        <v>74</v>
      </c>
      <c r="BB341">
        <v>279</v>
      </c>
      <c r="BC341">
        <v>299</v>
      </c>
      <c r="BD341" t="s">
        <v>74</v>
      </c>
      <c r="BE341" t="s">
        <v>6735</v>
      </c>
      <c r="BF341" t="str">
        <f>HYPERLINK("http://dx.doi.org/10.1080/13675567.2017.1395829","http://dx.doi.org/10.1080/13675567.2017.1395829")</f>
        <v>http://dx.doi.org/10.1080/13675567.2017.1395829</v>
      </c>
      <c r="BG341" t="s">
        <v>74</v>
      </c>
      <c r="BH341" t="s">
        <v>74</v>
      </c>
      <c r="BI341">
        <v>21</v>
      </c>
      <c r="BJ341" t="s">
        <v>418</v>
      </c>
      <c r="BK341" t="s">
        <v>242</v>
      </c>
      <c r="BL341" t="s">
        <v>419</v>
      </c>
      <c r="BM341" t="s">
        <v>6736</v>
      </c>
      <c r="BN341" t="s">
        <v>74</v>
      </c>
      <c r="BO341" t="s">
        <v>594</v>
      </c>
      <c r="BP341" t="s">
        <v>74</v>
      </c>
      <c r="BQ341" t="s">
        <v>74</v>
      </c>
      <c r="BR341" t="s">
        <v>102</v>
      </c>
      <c r="BS341" t="s">
        <v>6737</v>
      </c>
      <c r="BT341" t="str">
        <f>HYPERLINK("https%3A%2F%2Fwww.webofscience.com%2Fwos%2Fwoscc%2Ffull-record%2FWOS:000430095200006","View Full Record in Web of Science")</f>
        <v>View Full Record in Web of Science</v>
      </c>
    </row>
    <row r="342" spans="1:72" x14ac:dyDescent="0.2">
      <c r="A342" t="s">
        <v>72</v>
      </c>
      <c r="B342" t="s">
        <v>6738</v>
      </c>
      <c r="C342" t="s">
        <v>74</v>
      </c>
      <c r="D342" t="s">
        <v>74</v>
      </c>
      <c r="E342" t="s">
        <v>74</v>
      </c>
      <c r="F342" t="s">
        <v>6739</v>
      </c>
      <c r="G342" t="s">
        <v>74</v>
      </c>
      <c r="H342" t="s">
        <v>74</v>
      </c>
      <c r="I342" t="s">
        <v>6740</v>
      </c>
      <c r="J342" t="s">
        <v>6741</v>
      </c>
      <c r="K342" t="s">
        <v>74</v>
      </c>
      <c r="L342" t="s">
        <v>74</v>
      </c>
      <c r="M342" t="s">
        <v>78</v>
      </c>
      <c r="N342" t="s">
        <v>108</v>
      </c>
      <c r="O342" t="s">
        <v>74</v>
      </c>
      <c r="P342" t="s">
        <v>74</v>
      </c>
      <c r="Q342" t="s">
        <v>74</v>
      </c>
      <c r="R342" t="s">
        <v>74</v>
      </c>
      <c r="S342" t="s">
        <v>74</v>
      </c>
      <c r="T342" t="s">
        <v>6742</v>
      </c>
      <c r="U342" t="s">
        <v>6743</v>
      </c>
      <c r="V342" t="s">
        <v>6744</v>
      </c>
      <c r="W342" t="s">
        <v>6745</v>
      </c>
      <c r="X342" t="s">
        <v>6746</v>
      </c>
      <c r="Y342" t="s">
        <v>6747</v>
      </c>
      <c r="Z342" t="s">
        <v>74</v>
      </c>
      <c r="AA342" t="s">
        <v>6748</v>
      </c>
      <c r="AB342" t="s">
        <v>74</v>
      </c>
      <c r="AC342" t="s">
        <v>6749</v>
      </c>
      <c r="AD342" t="s">
        <v>6750</v>
      </c>
      <c r="AE342" t="s">
        <v>6751</v>
      </c>
      <c r="AF342" t="s">
        <v>74</v>
      </c>
      <c r="AG342">
        <v>9</v>
      </c>
      <c r="AH342">
        <v>8</v>
      </c>
      <c r="AI342">
        <v>9</v>
      </c>
      <c r="AJ342">
        <v>4</v>
      </c>
      <c r="AK342">
        <v>63</v>
      </c>
      <c r="AL342" t="s">
        <v>209</v>
      </c>
      <c r="AM342" t="s">
        <v>210</v>
      </c>
      <c r="AN342" t="s">
        <v>211</v>
      </c>
      <c r="AO342" t="s">
        <v>6752</v>
      </c>
      <c r="AP342" t="s">
        <v>6753</v>
      </c>
      <c r="AQ342" t="s">
        <v>74</v>
      </c>
      <c r="AR342" t="s">
        <v>6754</v>
      </c>
      <c r="AS342" t="s">
        <v>6755</v>
      </c>
      <c r="AT342" t="s">
        <v>6756</v>
      </c>
      <c r="AU342">
        <v>2017</v>
      </c>
      <c r="AV342">
        <v>473</v>
      </c>
      <c r="AW342" t="s">
        <v>74</v>
      </c>
      <c r="AX342" t="s">
        <v>74</v>
      </c>
      <c r="AY342" t="s">
        <v>74</v>
      </c>
      <c r="AZ342" t="s">
        <v>74</v>
      </c>
      <c r="BA342" t="s">
        <v>74</v>
      </c>
      <c r="BB342">
        <v>377</v>
      </c>
      <c r="BC342">
        <v>389</v>
      </c>
      <c r="BD342" t="s">
        <v>74</v>
      </c>
      <c r="BE342" t="s">
        <v>6757</v>
      </c>
      <c r="BF342" t="str">
        <f>HYPERLINK("http://dx.doi.org/10.1016/j.physa.2017.01.036","http://dx.doi.org/10.1016/j.physa.2017.01.036")</f>
        <v>http://dx.doi.org/10.1016/j.physa.2017.01.036</v>
      </c>
      <c r="BG342" t="s">
        <v>74</v>
      </c>
      <c r="BH342" t="s">
        <v>74</v>
      </c>
      <c r="BI342">
        <v>13</v>
      </c>
      <c r="BJ342" t="s">
        <v>6758</v>
      </c>
      <c r="BK342" t="s">
        <v>98</v>
      </c>
      <c r="BL342" t="s">
        <v>6759</v>
      </c>
      <c r="BM342" t="s">
        <v>6760</v>
      </c>
      <c r="BN342" t="s">
        <v>74</v>
      </c>
      <c r="BO342" t="s">
        <v>74</v>
      </c>
      <c r="BP342" t="s">
        <v>74</v>
      </c>
      <c r="BQ342" t="s">
        <v>74</v>
      </c>
      <c r="BR342" t="s">
        <v>102</v>
      </c>
      <c r="BS342" t="s">
        <v>6761</v>
      </c>
      <c r="BT342" t="str">
        <f>HYPERLINK("https%3A%2F%2Fwww.webofscience.com%2Fwos%2Fwoscc%2Ffull-record%2FWOS:000394061500036","View Full Record in Web of Science")</f>
        <v>View Full Record in Web of Science</v>
      </c>
    </row>
    <row r="343" spans="1:72" x14ac:dyDescent="0.2">
      <c r="A343" t="s">
        <v>72</v>
      </c>
      <c r="B343" t="s">
        <v>6762</v>
      </c>
      <c r="C343" t="s">
        <v>74</v>
      </c>
      <c r="D343" t="s">
        <v>74</v>
      </c>
      <c r="E343" t="s">
        <v>74</v>
      </c>
      <c r="F343" t="s">
        <v>6763</v>
      </c>
      <c r="G343" t="s">
        <v>74</v>
      </c>
      <c r="H343" t="s">
        <v>74</v>
      </c>
      <c r="I343" t="s">
        <v>6764</v>
      </c>
      <c r="J343" t="s">
        <v>6765</v>
      </c>
      <c r="K343" t="s">
        <v>74</v>
      </c>
      <c r="L343" t="s">
        <v>74</v>
      </c>
      <c r="M343" t="s">
        <v>78</v>
      </c>
      <c r="N343" t="s">
        <v>108</v>
      </c>
      <c r="O343" t="s">
        <v>74</v>
      </c>
      <c r="P343" t="s">
        <v>74</v>
      </c>
      <c r="Q343" t="s">
        <v>74</v>
      </c>
      <c r="R343" t="s">
        <v>74</v>
      </c>
      <c r="S343" t="s">
        <v>74</v>
      </c>
      <c r="T343" t="s">
        <v>6766</v>
      </c>
      <c r="U343" t="s">
        <v>6767</v>
      </c>
      <c r="V343" t="s">
        <v>6768</v>
      </c>
      <c r="W343" t="s">
        <v>6769</v>
      </c>
      <c r="X343" t="s">
        <v>6770</v>
      </c>
      <c r="Y343" t="s">
        <v>6771</v>
      </c>
      <c r="Z343" t="s">
        <v>6772</v>
      </c>
      <c r="AA343" t="s">
        <v>6773</v>
      </c>
      <c r="AB343" t="s">
        <v>6774</v>
      </c>
      <c r="AC343" t="s">
        <v>6775</v>
      </c>
      <c r="AD343" t="s">
        <v>6776</v>
      </c>
      <c r="AE343" t="s">
        <v>6777</v>
      </c>
      <c r="AF343" t="s">
        <v>74</v>
      </c>
      <c r="AG343">
        <v>67</v>
      </c>
      <c r="AH343">
        <v>4</v>
      </c>
      <c r="AI343">
        <v>4</v>
      </c>
      <c r="AJ343">
        <v>18</v>
      </c>
      <c r="AK343">
        <v>18</v>
      </c>
      <c r="AL343" t="s">
        <v>167</v>
      </c>
      <c r="AM343" t="s">
        <v>168</v>
      </c>
      <c r="AN343" t="s">
        <v>169</v>
      </c>
      <c r="AO343" t="s">
        <v>6778</v>
      </c>
      <c r="AP343" t="s">
        <v>74</v>
      </c>
      <c r="AQ343" t="s">
        <v>74</v>
      </c>
      <c r="AR343" t="s">
        <v>6779</v>
      </c>
      <c r="AS343" t="s">
        <v>6780</v>
      </c>
      <c r="AT343" t="s">
        <v>6781</v>
      </c>
      <c r="AU343">
        <v>2023</v>
      </c>
      <c r="AV343">
        <v>10</v>
      </c>
      <c r="AW343">
        <v>8</v>
      </c>
      <c r="AX343" t="s">
        <v>74</v>
      </c>
      <c r="AY343" t="s">
        <v>74</v>
      </c>
      <c r="AZ343" t="s">
        <v>74</v>
      </c>
      <c r="BA343" t="s">
        <v>74</v>
      </c>
      <c r="BB343">
        <v>7272</v>
      </c>
      <c r="BC343">
        <v>7292</v>
      </c>
      <c r="BD343" t="s">
        <v>74</v>
      </c>
      <c r="BE343" t="s">
        <v>6782</v>
      </c>
      <c r="BF343" t="str">
        <f>HYPERLINK("http://dx.doi.org/10.1109/JIOT.2022.3228736","http://dx.doi.org/10.1109/JIOT.2022.3228736")</f>
        <v>http://dx.doi.org/10.1109/JIOT.2022.3228736</v>
      </c>
      <c r="BG343" t="s">
        <v>74</v>
      </c>
      <c r="BH343" t="s">
        <v>74</v>
      </c>
      <c r="BI343">
        <v>21</v>
      </c>
      <c r="BJ343" t="s">
        <v>2959</v>
      </c>
      <c r="BK343" t="s">
        <v>98</v>
      </c>
      <c r="BL343" t="s">
        <v>2960</v>
      </c>
      <c r="BM343" t="s">
        <v>6783</v>
      </c>
      <c r="BN343" t="s">
        <v>74</v>
      </c>
      <c r="BO343" t="s">
        <v>74</v>
      </c>
      <c r="BP343" t="s">
        <v>74</v>
      </c>
      <c r="BQ343" t="s">
        <v>74</v>
      </c>
      <c r="BR343" t="s">
        <v>102</v>
      </c>
      <c r="BS343" t="s">
        <v>6784</v>
      </c>
      <c r="BT343" t="str">
        <f>HYPERLINK("https%3A%2F%2Fwww.webofscience.com%2Fwos%2Fwoscc%2Ffull-record%2FWOS:000968830500058","View Full Record in Web of Science")</f>
        <v>View Full Record in Web of Science</v>
      </c>
    </row>
    <row r="344" spans="1:72" x14ac:dyDescent="0.2">
      <c r="A344" t="s">
        <v>72</v>
      </c>
      <c r="B344" t="s">
        <v>6785</v>
      </c>
      <c r="C344" t="s">
        <v>74</v>
      </c>
      <c r="D344" t="s">
        <v>74</v>
      </c>
      <c r="E344" t="s">
        <v>74</v>
      </c>
      <c r="F344" t="s">
        <v>6786</v>
      </c>
      <c r="G344" t="s">
        <v>74</v>
      </c>
      <c r="H344" t="s">
        <v>74</v>
      </c>
      <c r="I344" t="s">
        <v>6787</v>
      </c>
      <c r="J344" t="s">
        <v>107</v>
      </c>
      <c r="K344" t="s">
        <v>74</v>
      </c>
      <c r="L344" t="s">
        <v>74</v>
      </c>
      <c r="M344" t="s">
        <v>78</v>
      </c>
      <c r="N344" t="s">
        <v>108</v>
      </c>
      <c r="O344" t="s">
        <v>74</v>
      </c>
      <c r="P344" t="s">
        <v>74</v>
      </c>
      <c r="Q344" t="s">
        <v>74</v>
      </c>
      <c r="R344" t="s">
        <v>74</v>
      </c>
      <c r="S344" t="s">
        <v>74</v>
      </c>
      <c r="T344" t="s">
        <v>6788</v>
      </c>
      <c r="U344" t="s">
        <v>6789</v>
      </c>
      <c r="V344" t="s">
        <v>6790</v>
      </c>
      <c r="W344" t="s">
        <v>6791</v>
      </c>
      <c r="X344" t="s">
        <v>6792</v>
      </c>
      <c r="Y344" t="s">
        <v>6793</v>
      </c>
      <c r="Z344" t="s">
        <v>6794</v>
      </c>
      <c r="AA344" t="s">
        <v>6795</v>
      </c>
      <c r="AB344" t="s">
        <v>6796</v>
      </c>
      <c r="AC344" t="s">
        <v>74</v>
      </c>
      <c r="AD344" t="s">
        <v>74</v>
      </c>
      <c r="AE344" t="s">
        <v>74</v>
      </c>
      <c r="AF344" t="s">
        <v>74</v>
      </c>
      <c r="AG344">
        <v>61</v>
      </c>
      <c r="AH344">
        <v>0</v>
      </c>
      <c r="AI344">
        <v>0</v>
      </c>
      <c r="AJ344">
        <v>0</v>
      </c>
      <c r="AK344">
        <v>4</v>
      </c>
      <c r="AL344" t="s">
        <v>116</v>
      </c>
      <c r="AM344" t="s">
        <v>117</v>
      </c>
      <c r="AN344" t="s">
        <v>118</v>
      </c>
      <c r="AO344" t="s">
        <v>74</v>
      </c>
      <c r="AP344" t="s">
        <v>119</v>
      </c>
      <c r="AQ344" t="s">
        <v>74</v>
      </c>
      <c r="AR344" t="s">
        <v>107</v>
      </c>
      <c r="AS344" t="s">
        <v>120</v>
      </c>
      <c r="AT344" t="s">
        <v>846</v>
      </c>
      <c r="AU344">
        <v>2022</v>
      </c>
      <c r="AV344">
        <v>13</v>
      </c>
      <c r="AW344">
        <v>5</v>
      </c>
      <c r="AX344" t="s">
        <v>74</v>
      </c>
      <c r="AY344" t="s">
        <v>74</v>
      </c>
      <c r="AZ344" t="s">
        <v>74</v>
      </c>
      <c r="BA344" t="s">
        <v>74</v>
      </c>
      <c r="BB344" t="s">
        <v>74</v>
      </c>
      <c r="BC344" t="s">
        <v>74</v>
      </c>
      <c r="BD344">
        <v>261</v>
      </c>
      <c r="BE344" t="s">
        <v>6797</v>
      </c>
      <c r="BF344" t="str">
        <f>HYPERLINK("http://dx.doi.org/10.3390/info13050261","http://dx.doi.org/10.3390/info13050261")</f>
        <v>http://dx.doi.org/10.3390/info13050261</v>
      </c>
      <c r="BG344" t="s">
        <v>74</v>
      </c>
      <c r="BH344" t="s">
        <v>74</v>
      </c>
      <c r="BI344">
        <v>16</v>
      </c>
      <c r="BJ344" t="s">
        <v>123</v>
      </c>
      <c r="BK344" t="s">
        <v>124</v>
      </c>
      <c r="BL344" t="s">
        <v>99</v>
      </c>
      <c r="BM344" t="s">
        <v>6798</v>
      </c>
      <c r="BN344" t="s">
        <v>74</v>
      </c>
      <c r="BO344" t="s">
        <v>126</v>
      </c>
      <c r="BP344" t="s">
        <v>74</v>
      </c>
      <c r="BQ344" t="s">
        <v>74</v>
      </c>
      <c r="BR344" t="s">
        <v>102</v>
      </c>
      <c r="BS344" t="s">
        <v>6799</v>
      </c>
      <c r="BT344" t="str">
        <f>HYPERLINK("https%3A%2F%2Fwww.webofscience.com%2Fwos%2Fwoscc%2Ffull-record%2FWOS:000802624500001","View Full Record in Web of Science")</f>
        <v>View Full Record in Web of Science</v>
      </c>
    </row>
    <row r="345" spans="1:72" x14ac:dyDescent="0.2">
      <c r="A345" t="s">
        <v>72</v>
      </c>
      <c r="B345" t="s">
        <v>6800</v>
      </c>
      <c r="C345" t="s">
        <v>74</v>
      </c>
      <c r="D345" t="s">
        <v>74</v>
      </c>
      <c r="E345" t="s">
        <v>74</v>
      </c>
      <c r="F345" t="s">
        <v>6801</v>
      </c>
      <c r="G345" t="s">
        <v>74</v>
      </c>
      <c r="H345" t="s">
        <v>74</v>
      </c>
      <c r="I345" t="s">
        <v>6802</v>
      </c>
      <c r="J345" t="s">
        <v>1723</v>
      </c>
      <c r="K345" t="s">
        <v>74</v>
      </c>
      <c r="L345" t="s">
        <v>74</v>
      </c>
      <c r="M345" t="s">
        <v>78</v>
      </c>
      <c r="N345" t="s">
        <v>108</v>
      </c>
      <c r="O345" t="s">
        <v>74</v>
      </c>
      <c r="P345" t="s">
        <v>74</v>
      </c>
      <c r="Q345" t="s">
        <v>74</v>
      </c>
      <c r="R345" t="s">
        <v>74</v>
      </c>
      <c r="S345" t="s">
        <v>74</v>
      </c>
      <c r="T345" t="s">
        <v>6803</v>
      </c>
      <c r="U345" t="s">
        <v>6804</v>
      </c>
      <c r="V345" t="s">
        <v>6805</v>
      </c>
      <c r="W345" t="s">
        <v>6806</v>
      </c>
      <c r="X345" t="s">
        <v>2770</v>
      </c>
      <c r="Y345" t="s">
        <v>6807</v>
      </c>
      <c r="Z345" t="s">
        <v>2772</v>
      </c>
      <c r="AA345" t="s">
        <v>6808</v>
      </c>
      <c r="AB345" t="s">
        <v>6809</v>
      </c>
      <c r="AC345" t="s">
        <v>6810</v>
      </c>
      <c r="AD345" t="s">
        <v>6811</v>
      </c>
      <c r="AE345" t="s">
        <v>6812</v>
      </c>
      <c r="AF345" t="s">
        <v>74</v>
      </c>
      <c r="AG345">
        <v>32</v>
      </c>
      <c r="AH345">
        <v>14</v>
      </c>
      <c r="AI345">
        <v>14</v>
      </c>
      <c r="AJ345">
        <v>5</v>
      </c>
      <c r="AK345">
        <v>24</v>
      </c>
      <c r="AL345" t="s">
        <v>543</v>
      </c>
      <c r="AM345" t="s">
        <v>260</v>
      </c>
      <c r="AN345" t="s">
        <v>544</v>
      </c>
      <c r="AO345" t="s">
        <v>1735</v>
      </c>
      <c r="AP345" t="s">
        <v>1736</v>
      </c>
      <c r="AQ345" t="s">
        <v>74</v>
      </c>
      <c r="AR345" t="s">
        <v>1737</v>
      </c>
      <c r="AS345" t="s">
        <v>1738</v>
      </c>
      <c r="AT345" t="s">
        <v>6813</v>
      </c>
      <c r="AU345">
        <v>2021</v>
      </c>
      <c r="AV345">
        <v>246</v>
      </c>
      <c r="AW345" t="s">
        <v>74</v>
      </c>
      <c r="AX345" t="s">
        <v>74</v>
      </c>
      <c r="AY345" t="s">
        <v>74</v>
      </c>
      <c r="AZ345" t="s">
        <v>74</v>
      </c>
      <c r="BA345" t="s">
        <v>74</v>
      </c>
      <c r="BB345" t="s">
        <v>74</v>
      </c>
      <c r="BC345" t="s">
        <v>74</v>
      </c>
      <c r="BD345">
        <v>116889</v>
      </c>
      <c r="BE345" t="s">
        <v>6814</v>
      </c>
      <c r="BF345" t="str">
        <f>HYPERLINK("http://dx.doi.org/10.1016/j.ces.2021.116889","http://dx.doi.org/10.1016/j.ces.2021.116889")</f>
        <v>http://dx.doi.org/10.1016/j.ces.2021.116889</v>
      </c>
      <c r="BG345" t="s">
        <v>74</v>
      </c>
      <c r="BH345" t="s">
        <v>4013</v>
      </c>
      <c r="BI345">
        <v>16</v>
      </c>
      <c r="BJ345" t="s">
        <v>1291</v>
      </c>
      <c r="BK345" t="s">
        <v>98</v>
      </c>
      <c r="BL345" t="s">
        <v>1292</v>
      </c>
      <c r="BM345" t="s">
        <v>6815</v>
      </c>
      <c r="BN345" t="s">
        <v>74</v>
      </c>
      <c r="BO345" t="s">
        <v>74</v>
      </c>
      <c r="BP345" t="s">
        <v>74</v>
      </c>
      <c r="BQ345" t="s">
        <v>74</v>
      </c>
      <c r="BR345" t="s">
        <v>102</v>
      </c>
      <c r="BS345" t="s">
        <v>6816</v>
      </c>
      <c r="BT345" t="str">
        <f>HYPERLINK("https%3A%2F%2Fwww.webofscience.com%2Fwos%2Fwoscc%2Ffull-record%2FWOS:000705827800008","View Full Record in Web of Science")</f>
        <v>View Full Record in Web of Science</v>
      </c>
    </row>
    <row r="346" spans="1:72" x14ac:dyDescent="0.2">
      <c r="A346" t="s">
        <v>72</v>
      </c>
      <c r="B346" t="s">
        <v>6817</v>
      </c>
      <c r="C346" t="s">
        <v>74</v>
      </c>
      <c r="D346" t="s">
        <v>74</v>
      </c>
      <c r="E346" t="s">
        <v>74</v>
      </c>
      <c r="F346" t="s">
        <v>6818</v>
      </c>
      <c r="G346" t="s">
        <v>74</v>
      </c>
      <c r="H346" t="s">
        <v>74</v>
      </c>
      <c r="I346" t="s">
        <v>6819</v>
      </c>
      <c r="J346" t="s">
        <v>6820</v>
      </c>
      <c r="K346" t="s">
        <v>74</v>
      </c>
      <c r="L346" t="s">
        <v>74</v>
      </c>
      <c r="M346" t="s">
        <v>78</v>
      </c>
      <c r="N346" t="s">
        <v>79</v>
      </c>
      <c r="O346" t="s">
        <v>74</v>
      </c>
      <c r="P346" t="s">
        <v>74</v>
      </c>
      <c r="Q346" t="s">
        <v>74</v>
      </c>
      <c r="R346" t="s">
        <v>74</v>
      </c>
      <c r="S346" t="s">
        <v>74</v>
      </c>
      <c r="T346" t="s">
        <v>6821</v>
      </c>
      <c r="U346" t="s">
        <v>6822</v>
      </c>
      <c r="V346" t="s">
        <v>6823</v>
      </c>
      <c r="W346" t="s">
        <v>6824</v>
      </c>
      <c r="X346" t="s">
        <v>6825</v>
      </c>
      <c r="Y346" t="s">
        <v>6826</v>
      </c>
      <c r="Z346" t="s">
        <v>74</v>
      </c>
      <c r="AA346" t="s">
        <v>74</v>
      </c>
      <c r="AB346" t="s">
        <v>74</v>
      </c>
      <c r="AC346" t="s">
        <v>74</v>
      </c>
      <c r="AD346" t="s">
        <v>74</v>
      </c>
      <c r="AE346" t="s">
        <v>74</v>
      </c>
      <c r="AF346" t="s">
        <v>74</v>
      </c>
      <c r="AG346">
        <v>112</v>
      </c>
      <c r="AH346">
        <v>3</v>
      </c>
      <c r="AI346">
        <v>3</v>
      </c>
      <c r="AJ346">
        <v>1</v>
      </c>
      <c r="AK346">
        <v>3</v>
      </c>
      <c r="AL346" t="s">
        <v>6827</v>
      </c>
      <c r="AM346" t="s">
        <v>6828</v>
      </c>
      <c r="AN346" t="s">
        <v>6829</v>
      </c>
      <c r="AO346" t="s">
        <v>6830</v>
      </c>
      <c r="AP346" t="s">
        <v>6831</v>
      </c>
      <c r="AQ346" t="s">
        <v>74</v>
      </c>
      <c r="AR346" t="s">
        <v>6832</v>
      </c>
      <c r="AS346" t="s">
        <v>6833</v>
      </c>
      <c r="AT346" t="s">
        <v>239</v>
      </c>
      <c r="AU346">
        <v>2022</v>
      </c>
      <c r="AV346">
        <v>13</v>
      </c>
      <c r="AW346">
        <v>8</v>
      </c>
      <c r="AX346" t="s">
        <v>74</v>
      </c>
      <c r="AY346" t="s">
        <v>74</v>
      </c>
      <c r="AZ346" t="s">
        <v>74</v>
      </c>
      <c r="BA346" t="s">
        <v>74</v>
      </c>
      <c r="BB346">
        <v>404</v>
      </c>
      <c r="BC346">
        <v>422</v>
      </c>
      <c r="BD346" t="s">
        <v>74</v>
      </c>
      <c r="BE346" t="s">
        <v>74</v>
      </c>
      <c r="BF346" t="s">
        <v>74</v>
      </c>
      <c r="BG346" t="s">
        <v>74</v>
      </c>
      <c r="BH346" t="s">
        <v>74</v>
      </c>
      <c r="BI346">
        <v>19</v>
      </c>
      <c r="BJ346" t="s">
        <v>97</v>
      </c>
      <c r="BK346" t="s">
        <v>124</v>
      </c>
      <c r="BL346" t="s">
        <v>99</v>
      </c>
      <c r="BM346" t="s">
        <v>6834</v>
      </c>
      <c r="BN346" t="s">
        <v>74</v>
      </c>
      <c r="BO346" t="s">
        <v>74</v>
      </c>
      <c r="BP346" t="s">
        <v>74</v>
      </c>
      <c r="BQ346" t="s">
        <v>74</v>
      </c>
      <c r="BR346" t="s">
        <v>102</v>
      </c>
      <c r="BS346" t="s">
        <v>6835</v>
      </c>
      <c r="BT346" t="str">
        <f>HYPERLINK("https%3A%2F%2Fwww.webofscience.com%2Fwos%2Fwoscc%2Ffull-record%2FWOS:000859863000001","View Full Record in Web of Science")</f>
        <v>View Full Record in Web of Science</v>
      </c>
    </row>
    <row r="347" spans="1:72" x14ac:dyDescent="0.2">
      <c r="A347" t="s">
        <v>72</v>
      </c>
      <c r="B347" t="s">
        <v>6836</v>
      </c>
      <c r="C347" t="s">
        <v>74</v>
      </c>
      <c r="D347" t="s">
        <v>74</v>
      </c>
      <c r="E347" t="s">
        <v>74</v>
      </c>
      <c r="F347" t="s">
        <v>6837</v>
      </c>
      <c r="G347" t="s">
        <v>74</v>
      </c>
      <c r="H347" t="s">
        <v>74</v>
      </c>
      <c r="I347" t="s">
        <v>6838</v>
      </c>
      <c r="J347" t="s">
        <v>6839</v>
      </c>
      <c r="K347" t="s">
        <v>74</v>
      </c>
      <c r="L347" t="s">
        <v>74</v>
      </c>
      <c r="M347" t="s">
        <v>78</v>
      </c>
      <c r="N347" t="s">
        <v>108</v>
      </c>
      <c r="O347" t="s">
        <v>74</v>
      </c>
      <c r="P347" t="s">
        <v>74</v>
      </c>
      <c r="Q347" t="s">
        <v>74</v>
      </c>
      <c r="R347" t="s">
        <v>74</v>
      </c>
      <c r="S347" t="s">
        <v>74</v>
      </c>
      <c r="T347" t="s">
        <v>6840</v>
      </c>
      <c r="U347" t="s">
        <v>6841</v>
      </c>
      <c r="V347" t="s">
        <v>6842</v>
      </c>
      <c r="W347" t="s">
        <v>6843</v>
      </c>
      <c r="X347" t="s">
        <v>6844</v>
      </c>
      <c r="Y347" t="s">
        <v>6845</v>
      </c>
      <c r="Z347" t="s">
        <v>6846</v>
      </c>
      <c r="AA347" t="s">
        <v>6847</v>
      </c>
      <c r="AB347" t="s">
        <v>6848</v>
      </c>
      <c r="AC347" t="s">
        <v>74</v>
      </c>
      <c r="AD347" t="s">
        <v>74</v>
      </c>
      <c r="AE347" t="s">
        <v>74</v>
      </c>
      <c r="AF347" t="s">
        <v>74</v>
      </c>
      <c r="AG347">
        <v>72</v>
      </c>
      <c r="AH347">
        <v>9</v>
      </c>
      <c r="AI347">
        <v>9</v>
      </c>
      <c r="AJ347">
        <v>0</v>
      </c>
      <c r="AK347">
        <v>18</v>
      </c>
      <c r="AL347" t="s">
        <v>259</v>
      </c>
      <c r="AM347" t="s">
        <v>260</v>
      </c>
      <c r="AN347" t="s">
        <v>261</v>
      </c>
      <c r="AO347" t="s">
        <v>6849</v>
      </c>
      <c r="AP347" t="s">
        <v>6850</v>
      </c>
      <c r="AQ347" t="s">
        <v>74</v>
      </c>
      <c r="AR347" t="s">
        <v>6851</v>
      </c>
      <c r="AS347" t="s">
        <v>6852</v>
      </c>
      <c r="AT347" t="s">
        <v>6220</v>
      </c>
      <c r="AU347">
        <v>2020</v>
      </c>
      <c r="AV347">
        <v>277</v>
      </c>
      <c r="AW347" t="s">
        <v>74</v>
      </c>
      <c r="AX347" t="s">
        <v>74</v>
      </c>
      <c r="AY347" t="s">
        <v>74</v>
      </c>
      <c r="AZ347" t="s">
        <v>74</v>
      </c>
      <c r="BA347" t="s">
        <v>74</v>
      </c>
      <c r="BB347" t="s">
        <v>74</v>
      </c>
      <c r="BC347" t="s">
        <v>74</v>
      </c>
      <c r="BD347">
        <v>115538</v>
      </c>
      <c r="BE347" t="s">
        <v>6853</v>
      </c>
      <c r="BF347" t="str">
        <f>HYPERLINK("http://dx.doi.org/10.1016/j.apenergy.2020.115538","http://dx.doi.org/10.1016/j.apenergy.2020.115538")</f>
        <v>http://dx.doi.org/10.1016/j.apenergy.2020.115538</v>
      </c>
      <c r="BG347" t="s">
        <v>74</v>
      </c>
      <c r="BH347" t="s">
        <v>74</v>
      </c>
      <c r="BI347">
        <v>20</v>
      </c>
      <c r="BJ347" t="s">
        <v>6854</v>
      </c>
      <c r="BK347" t="s">
        <v>147</v>
      </c>
      <c r="BL347" t="s">
        <v>3907</v>
      </c>
      <c r="BM347" t="s">
        <v>6855</v>
      </c>
      <c r="BN347" t="s">
        <v>74</v>
      </c>
      <c r="BO347" t="s">
        <v>74</v>
      </c>
      <c r="BP347" t="s">
        <v>74</v>
      </c>
      <c r="BQ347" t="s">
        <v>74</v>
      </c>
      <c r="BR347" t="s">
        <v>102</v>
      </c>
      <c r="BS347" t="s">
        <v>6856</v>
      </c>
      <c r="BT347" t="str">
        <f>HYPERLINK("https%3A%2F%2Fwww.webofscience.com%2Fwos%2Fwoscc%2Ffull-record%2FWOS:000579393800038","View Full Record in Web of Science")</f>
        <v>View Full Record in Web of Science</v>
      </c>
    </row>
    <row r="348" spans="1:72" x14ac:dyDescent="0.2">
      <c r="A348" t="s">
        <v>72</v>
      </c>
      <c r="B348" t="s">
        <v>6857</v>
      </c>
      <c r="C348" t="s">
        <v>74</v>
      </c>
      <c r="D348" t="s">
        <v>74</v>
      </c>
      <c r="E348" t="s">
        <v>74</v>
      </c>
      <c r="F348" t="s">
        <v>6858</v>
      </c>
      <c r="G348" t="s">
        <v>74</v>
      </c>
      <c r="H348" t="s">
        <v>74</v>
      </c>
      <c r="I348" t="s">
        <v>6859</v>
      </c>
      <c r="J348" t="s">
        <v>3189</v>
      </c>
      <c r="K348" t="s">
        <v>74</v>
      </c>
      <c r="L348" t="s">
        <v>74</v>
      </c>
      <c r="M348" t="s">
        <v>78</v>
      </c>
      <c r="N348" t="s">
        <v>108</v>
      </c>
      <c r="O348" t="s">
        <v>74</v>
      </c>
      <c r="P348" t="s">
        <v>74</v>
      </c>
      <c r="Q348" t="s">
        <v>74</v>
      </c>
      <c r="R348" t="s">
        <v>74</v>
      </c>
      <c r="S348" t="s">
        <v>74</v>
      </c>
      <c r="T348" t="s">
        <v>6860</v>
      </c>
      <c r="U348" t="s">
        <v>6861</v>
      </c>
      <c r="V348" t="s">
        <v>6862</v>
      </c>
      <c r="W348" t="s">
        <v>6863</v>
      </c>
      <c r="X348" t="s">
        <v>6864</v>
      </c>
      <c r="Y348" t="s">
        <v>6865</v>
      </c>
      <c r="Z348" t="s">
        <v>6866</v>
      </c>
      <c r="AA348" t="s">
        <v>74</v>
      </c>
      <c r="AB348" t="s">
        <v>74</v>
      </c>
      <c r="AC348" t="s">
        <v>74</v>
      </c>
      <c r="AD348" t="s">
        <v>74</v>
      </c>
      <c r="AE348" t="s">
        <v>74</v>
      </c>
      <c r="AF348" t="s">
        <v>74</v>
      </c>
      <c r="AG348">
        <v>58</v>
      </c>
      <c r="AH348">
        <v>72</v>
      </c>
      <c r="AI348">
        <v>72</v>
      </c>
      <c r="AJ348">
        <v>2</v>
      </c>
      <c r="AK348">
        <v>24</v>
      </c>
      <c r="AL348" t="s">
        <v>1946</v>
      </c>
      <c r="AM348" t="s">
        <v>90</v>
      </c>
      <c r="AN348" t="s">
        <v>1947</v>
      </c>
      <c r="AO348" t="s">
        <v>3197</v>
      </c>
      <c r="AP348" t="s">
        <v>3198</v>
      </c>
      <c r="AQ348" t="s">
        <v>74</v>
      </c>
      <c r="AR348" t="s">
        <v>3199</v>
      </c>
      <c r="AS348" t="s">
        <v>3200</v>
      </c>
      <c r="AT348" t="s">
        <v>800</v>
      </c>
      <c r="AU348">
        <v>2008</v>
      </c>
      <c r="AV348">
        <v>36</v>
      </c>
      <c r="AW348" t="s">
        <v>6867</v>
      </c>
      <c r="AX348" t="s">
        <v>74</v>
      </c>
      <c r="AY348" t="s">
        <v>74</v>
      </c>
      <c r="AZ348" t="s">
        <v>74</v>
      </c>
      <c r="BA348" t="s">
        <v>74</v>
      </c>
      <c r="BB348">
        <v>1032</v>
      </c>
      <c r="BC348">
        <v>1040</v>
      </c>
      <c r="BD348" t="s">
        <v>74</v>
      </c>
      <c r="BE348" t="s">
        <v>6868</v>
      </c>
      <c r="BF348" t="str">
        <f>HYPERLINK("http://dx.doi.org/10.1007/s00170-006-0910-y","http://dx.doi.org/10.1007/s00170-006-0910-y")</f>
        <v>http://dx.doi.org/10.1007/s00170-006-0910-y</v>
      </c>
      <c r="BG348" t="s">
        <v>74</v>
      </c>
      <c r="BH348" t="s">
        <v>74</v>
      </c>
      <c r="BI348">
        <v>9</v>
      </c>
      <c r="BJ348" t="s">
        <v>3203</v>
      </c>
      <c r="BK348" t="s">
        <v>98</v>
      </c>
      <c r="BL348" t="s">
        <v>3204</v>
      </c>
      <c r="BM348" t="s">
        <v>6869</v>
      </c>
      <c r="BN348" t="s">
        <v>74</v>
      </c>
      <c r="BO348" t="s">
        <v>74</v>
      </c>
      <c r="BP348" t="s">
        <v>74</v>
      </c>
      <c r="BQ348" t="s">
        <v>74</v>
      </c>
      <c r="BR348" t="s">
        <v>102</v>
      </c>
      <c r="BS348" t="s">
        <v>6870</v>
      </c>
      <c r="BT348" t="str">
        <f>HYPERLINK("https%3A%2F%2Fwww.webofscience.com%2Fwos%2Fwoscc%2Ffull-record%2FWOS:000254207200020","View Full Record in Web of Science")</f>
        <v>View Full Record in Web of Science</v>
      </c>
    </row>
    <row r="349" spans="1:72" x14ac:dyDescent="0.2">
      <c r="A349" t="s">
        <v>72</v>
      </c>
      <c r="B349" t="s">
        <v>2184</v>
      </c>
      <c r="C349" t="s">
        <v>74</v>
      </c>
      <c r="D349" t="s">
        <v>74</v>
      </c>
      <c r="E349" t="s">
        <v>74</v>
      </c>
      <c r="F349" t="s">
        <v>2185</v>
      </c>
      <c r="G349" t="s">
        <v>74</v>
      </c>
      <c r="H349" t="s">
        <v>74</v>
      </c>
      <c r="I349" t="s">
        <v>6871</v>
      </c>
      <c r="J349" t="s">
        <v>131</v>
      </c>
      <c r="K349" t="s">
        <v>74</v>
      </c>
      <c r="L349" t="s">
        <v>74</v>
      </c>
      <c r="M349" t="s">
        <v>78</v>
      </c>
      <c r="N349" t="s">
        <v>108</v>
      </c>
      <c r="O349" t="s">
        <v>74</v>
      </c>
      <c r="P349" t="s">
        <v>74</v>
      </c>
      <c r="Q349" t="s">
        <v>74</v>
      </c>
      <c r="R349" t="s">
        <v>74</v>
      </c>
      <c r="S349" t="s">
        <v>74</v>
      </c>
      <c r="T349" t="s">
        <v>6872</v>
      </c>
      <c r="U349" t="s">
        <v>6873</v>
      </c>
      <c r="V349" t="s">
        <v>6874</v>
      </c>
      <c r="W349" t="s">
        <v>6875</v>
      </c>
      <c r="X349" t="s">
        <v>2191</v>
      </c>
      <c r="Y349" t="s">
        <v>6876</v>
      </c>
      <c r="Z349" t="s">
        <v>6877</v>
      </c>
      <c r="AA349" t="s">
        <v>74</v>
      </c>
      <c r="AB349" t="s">
        <v>2194</v>
      </c>
      <c r="AC349" t="s">
        <v>6878</v>
      </c>
      <c r="AD349" t="s">
        <v>6879</v>
      </c>
      <c r="AE349" t="s">
        <v>6880</v>
      </c>
      <c r="AF349" t="s">
        <v>74</v>
      </c>
      <c r="AG349">
        <v>72</v>
      </c>
      <c r="AH349">
        <v>7</v>
      </c>
      <c r="AI349">
        <v>7</v>
      </c>
      <c r="AJ349">
        <v>1</v>
      </c>
      <c r="AK349">
        <v>27</v>
      </c>
      <c r="AL349" t="s">
        <v>116</v>
      </c>
      <c r="AM349" t="s">
        <v>117</v>
      </c>
      <c r="AN349" t="s">
        <v>118</v>
      </c>
      <c r="AO349" t="s">
        <v>74</v>
      </c>
      <c r="AP349" t="s">
        <v>142</v>
      </c>
      <c r="AQ349" t="s">
        <v>74</v>
      </c>
      <c r="AR349" t="s">
        <v>143</v>
      </c>
      <c r="AS349" t="s">
        <v>144</v>
      </c>
      <c r="AT349" t="s">
        <v>239</v>
      </c>
      <c r="AU349">
        <v>2020</v>
      </c>
      <c r="AV349">
        <v>12</v>
      </c>
      <c r="AW349">
        <v>15</v>
      </c>
      <c r="AX349" t="s">
        <v>74</v>
      </c>
      <c r="AY349" t="s">
        <v>74</v>
      </c>
      <c r="AZ349" t="s">
        <v>74</v>
      </c>
      <c r="BA349" t="s">
        <v>74</v>
      </c>
      <c r="BB349" t="s">
        <v>74</v>
      </c>
      <c r="BC349" t="s">
        <v>74</v>
      </c>
      <c r="BD349">
        <v>6093</v>
      </c>
      <c r="BE349" t="s">
        <v>6881</v>
      </c>
      <c r="BF349" t="str">
        <f>HYPERLINK("http://dx.doi.org/10.3390/su12156093","http://dx.doi.org/10.3390/su12156093")</f>
        <v>http://dx.doi.org/10.3390/su12156093</v>
      </c>
      <c r="BG349" t="s">
        <v>74</v>
      </c>
      <c r="BH349" t="s">
        <v>74</v>
      </c>
      <c r="BI349">
        <v>20</v>
      </c>
      <c r="BJ349" t="s">
        <v>146</v>
      </c>
      <c r="BK349" t="s">
        <v>147</v>
      </c>
      <c r="BL349" t="s">
        <v>148</v>
      </c>
      <c r="BM349" t="s">
        <v>6882</v>
      </c>
      <c r="BN349" t="s">
        <v>74</v>
      </c>
      <c r="BO349" t="s">
        <v>101</v>
      </c>
      <c r="BP349" t="s">
        <v>74</v>
      </c>
      <c r="BQ349" t="s">
        <v>74</v>
      </c>
      <c r="BR349" t="s">
        <v>102</v>
      </c>
      <c r="BS349" t="s">
        <v>6883</v>
      </c>
      <c r="BT349" t="str">
        <f>HYPERLINK("https%3A%2F%2Fwww.webofscience.com%2Fwos%2Fwoscc%2Ffull-record%2FWOS:000559095600001","View Full Record in Web of Science")</f>
        <v>View Full Record in Web of Science</v>
      </c>
    </row>
    <row r="350" spans="1:72" x14ac:dyDescent="0.2">
      <c r="A350" t="s">
        <v>72</v>
      </c>
      <c r="B350" t="s">
        <v>6884</v>
      </c>
      <c r="C350" t="s">
        <v>74</v>
      </c>
      <c r="D350" t="s">
        <v>74</v>
      </c>
      <c r="E350" t="s">
        <v>74</v>
      </c>
      <c r="F350" t="s">
        <v>6885</v>
      </c>
      <c r="G350" t="s">
        <v>74</v>
      </c>
      <c r="H350" t="s">
        <v>74</v>
      </c>
      <c r="I350" t="s">
        <v>6886</v>
      </c>
      <c r="J350" t="s">
        <v>6887</v>
      </c>
      <c r="K350" t="s">
        <v>74</v>
      </c>
      <c r="L350" t="s">
        <v>74</v>
      </c>
      <c r="M350" t="s">
        <v>78</v>
      </c>
      <c r="N350" t="s">
        <v>108</v>
      </c>
      <c r="O350" t="s">
        <v>74</v>
      </c>
      <c r="P350" t="s">
        <v>74</v>
      </c>
      <c r="Q350" t="s">
        <v>74</v>
      </c>
      <c r="R350" t="s">
        <v>74</v>
      </c>
      <c r="S350" t="s">
        <v>74</v>
      </c>
      <c r="T350" t="s">
        <v>6888</v>
      </c>
      <c r="U350" t="s">
        <v>6889</v>
      </c>
      <c r="V350" t="s">
        <v>6890</v>
      </c>
      <c r="W350" t="s">
        <v>6891</v>
      </c>
      <c r="X350" t="s">
        <v>6892</v>
      </c>
      <c r="Y350" t="s">
        <v>6893</v>
      </c>
      <c r="Z350" t="s">
        <v>6894</v>
      </c>
      <c r="AA350" t="s">
        <v>74</v>
      </c>
      <c r="AB350" t="s">
        <v>74</v>
      </c>
      <c r="AC350" t="s">
        <v>6895</v>
      </c>
      <c r="AD350" t="s">
        <v>6896</v>
      </c>
      <c r="AE350" t="s">
        <v>6897</v>
      </c>
      <c r="AF350" t="s">
        <v>74</v>
      </c>
      <c r="AG350">
        <v>50</v>
      </c>
      <c r="AH350">
        <v>0</v>
      </c>
      <c r="AI350">
        <v>0</v>
      </c>
      <c r="AJ350">
        <v>13</v>
      </c>
      <c r="AK350">
        <v>44</v>
      </c>
      <c r="AL350" t="s">
        <v>4901</v>
      </c>
      <c r="AM350" t="s">
        <v>4902</v>
      </c>
      <c r="AN350" t="s">
        <v>4903</v>
      </c>
      <c r="AO350" t="s">
        <v>6898</v>
      </c>
      <c r="AP350" t="s">
        <v>6899</v>
      </c>
      <c r="AQ350" t="s">
        <v>74</v>
      </c>
      <c r="AR350" t="s">
        <v>6900</v>
      </c>
      <c r="AS350" t="s">
        <v>6901</v>
      </c>
      <c r="AT350" t="s">
        <v>74</v>
      </c>
      <c r="AU350">
        <v>2022</v>
      </c>
      <c r="AV350">
        <v>28</v>
      </c>
      <c r="AW350">
        <v>1</v>
      </c>
      <c r="AX350" t="s">
        <v>74</v>
      </c>
      <c r="AY350" t="s">
        <v>74</v>
      </c>
      <c r="AZ350" t="s">
        <v>74</v>
      </c>
      <c r="BA350" t="s">
        <v>74</v>
      </c>
      <c r="BB350">
        <v>49</v>
      </c>
      <c r="BC350">
        <v>75</v>
      </c>
      <c r="BD350" t="s">
        <v>74</v>
      </c>
      <c r="BE350" t="s">
        <v>6902</v>
      </c>
      <c r="BF350" t="str">
        <f>HYPERLINK("http://dx.doi.org/10.3846/tede.2021.15335","http://dx.doi.org/10.3846/tede.2021.15335")</f>
        <v>http://dx.doi.org/10.3846/tede.2021.15335</v>
      </c>
      <c r="BG350" t="s">
        <v>74</v>
      </c>
      <c r="BH350" t="s">
        <v>74</v>
      </c>
      <c r="BI350">
        <v>27</v>
      </c>
      <c r="BJ350" t="s">
        <v>1661</v>
      </c>
      <c r="BK350" t="s">
        <v>242</v>
      </c>
      <c r="BL350" t="s">
        <v>419</v>
      </c>
      <c r="BM350" t="s">
        <v>6903</v>
      </c>
      <c r="BN350" t="s">
        <v>74</v>
      </c>
      <c r="BO350" t="s">
        <v>126</v>
      </c>
      <c r="BP350" t="s">
        <v>74</v>
      </c>
      <c r="BQ350" t="s">
        <v>74</v>
      </c>
      <c r="BR350" t="s">
        <v>102</v>
      </c>
      <c r="BS350" t="s">
        <v>6904</v>
      </c>
      <c r="BT350" t="str">
        <f>HYPERLINK("https%3A%2F%2Fwww.webofscience.com%2Fwos%2Fwoscc%2Ffull-record%2FWOS:000742944500003","View Full Record in Web of Science")</f>
        <v>View Full Record in Web of Science</v>
      </c>
    </row>
    <row r="351" spans="1:72" x14ac:dyDescent="0.2">
      <c r="A351" t="s">
        <v>72</v>
      </c>
      <c r="B351" t="s">
        <v>6905</v>
      </c>
      <c r="C351" t="s">
        <v>74</v>
      </c>
      <c r="D351" t="s">
        <v>74</v>
      </c>
      <c r="E351" t="s">
        <v>74</v>
      </c>
      <c r="F351" t="s">
        <v>6906</v>
      </c>
      <c r="G351" t="s">
        <v>74</v>
      </c>
      <c r="H351" t="s">
        <v>74</v>
      </c>
      <c r="I351" t="s">
        <v>6907</v>
      </c>
      <c r="J351" t="s">
        <v>6908</v>
      </c>
      <c r="K351" t="s">
        <v>74</v>
      </c>
      <c r="L351" t="s">
        <v>74</v>
      </c>
      <c r="M351" t="s">
        <v>78</v>
      </c>
      <c r="N351" t="s">
        <v>108</v>
      </c>
      <c r="O351" t="s">
        <v>74</v>
      </c>
      <c r="P351" t="s">
        <v>74</v>
      </c>
      <c r="Q351" t="s">
        <v>74</v>
      </c>
      <c r="R351" t="s">
        <v>74</v>
      </c>
      <c r="S351" t="s">
        <v>74</v>
      </c>
      <c r="T351" t="s">
        <v>6909</v>
      </c>
      <c r="U351" t="s">
        <v>6910</v>
      </c>
      <c r="V351" t="s">
        <v>6911</v>
      </c>
      <c r="W351" t="s">
        <v>6912</v>
      </c>
      <c r="X351" t="s">
        <v>74</v>
      </c>
      <c r="Y351" t="s">
        <v>6913</v>
      </c>
      <c r="Z351" t="s">
        <v>6914</v>
      </c>
      <c r="AA351" t="s">
        <v>74</v>
      </c>
      <c r="AB351" t="s">
        <v>74</v>
      </c>
      <c r="AC351" t="s">
        <v>74</v>
      </c>
      <c r="AD351" t="s">
        <v>74</v>
      </c>
      <c r="AE351" t="s">
        <v>74</v>
      </c>
      <c r="AF351" t="s">
        <v>74</v>
      </c>
      <c r="AG351">
        <v>58</v>
      </c>
      <c r="AH351">
        <v>29</v>
      </c>
      <c r="AI351">
        <v>29</v>
      </c>
      <c r="AJ351">
        <v>3</v>
      </c>
      <c r="AK351">
        <v>40</v>
      </c>
      <c r="AL351" t="s">
        <v>6915</v>
      </c>
      <c r="AM351" t="s">
        <v>260</v>
      </c>
      <c r="AN351" t="s">
        <v>6916</v>
      </c>
      <c r="AO351" t="s">
        <v>6917</v>
      </c>
      <c r="AP351" t="s">
        <v>6918</v>
      </c>
      <c r="AQ351" t="s">
        <v>74</v>
      </c>
      <c r="AR351" t="s">
        <v>6919</v>
      </c>
      <c r="AS351" t="s">
        <v>6920</v>
      </c>
      <c r="AT351" t="s">
        <v>6921</v>
      </c>
      <c r="AU351">
        <v>2020</v>
      </c>
      <c r="AV351">
        <v>77</v>
      </c>
      <c r="AW351">
        <v>4</v>
      </c>
      <c r="AX351" t="s">
        <v>74</v>
      </c>
      <c r="AY351" t="s">
        <v>74</v>
      </c>
      <c r="AZ351" t="s">
        <v>74</v>
      </c>
      <c r="BA351" t="s">
        <v>74</v>
      </c>
      <c r="BB351">
        <v>1286</v>
      </c>
      <c r="BC351">
        <v>1294</v>
      </c>
      <c r="BD351" t="s">
        <v>74</v>
      </c>
      <c r="BE351" t="s">
        <v>6922</v>
      </c>
      <c r="BF351" t="str">
        <f>HYPERLINK("http://dx.doi.org/10.1093/icesjms/fsz036","http://dx.doi.org/10.1093/icesjms/fsz036")</f>
        <v>http://dx.doi.org/10.1093/icesjms/fsz036</v>
      </c>
      <c r="BG351" t="s">
        <v>74</v>
      </c>
      <c r="BH351" t="s">
        <v>74</v>
      </c>
      <c r="BI351">
        <v>9</v>
      </c>
      <c r="BJ351" t="s">
        <v>6923</v>
      </c>
      <c r="BK351" t="s">
        <v>147</v>
      </c>
      <c r="BL351" t="s">
        <v>6923</v>
      </c>
      <c r="BM351" t="s">
        <v>6924</v>
      </c>
      <c r="BN351" t="s">
        <v>74</v>
      </c>
      <c r="BO351" t="s">
        <v>804</v>
      </c>
      <c r="BP351" t="s">
        <v>74</v>
      </c>
      <c r="BQ351" t="s">
        <v>74</v>
      </c>
      <c r="BR351" t="s">
        <v>102</v>
      </c>
      <c r="BS351" t="s">
        <v>6925</v>
      </c>
      <c r="BT351" t="str">
        <f>HYPERLINK("https%3A%2F%2Fwww.webofscience.com%2Fwos%2Fwoscc%2Ffull-record%2FWOS:000582718700003","View Full Record in Web of Science")</f>
        <v>View Full Record in Web of Science</v>
      </c>
    </row>
    <row r="352" spans="1:72" x14ac:dyDescent="0.2">
      <c r="A352" t="s">
        <v>72</v>
      </c>
      <c r="B352" t="s">
        <v>6926</v>
      </c>
      <c r="C352" t="s">
        <v>74</v>
      </c>
      <c r="D352" t="s">
        <v>74</v>
      </c>
      <c r="E352" t="s">
        <v>74</v>
      </c>
      <c r="F352" t="s">
        <v>6927</v>
      </c>
      <c r="G352" t="s">
        <v>74</v>
      </c>
      <c r="H352" t="s">
        <v>74</v>
      </c>
      <c r="I352" t="s">
        <v>6928</v>
      </c>
      <c r="J352" t="s">
        <v>402</v>
      </c>
      <c r="K352" t="s">
        <v>74</v>
      </c>
      <c r="L352" t="s">
        <v>74</v>
      </c>
      <c r="M352" t="s">
        <v>78</v>
      </c>
      <c r="N352" t="s">
        <v>108</v>
      </c>
      <c r="O352" t="s">
        <v>74</v>
      </c>
      <c r="P352" t="s">
        <v>74</v>
      </c>
      <c r="Q352" t="s">
        <v>74</v>
      </c>
      <c r="R352" t="s">
        <v>74</v>
      </c>
      <c r="S352" t="s">
        <v>74</v>
      </c>
      <c r="T352" t="s">
        <v>6929</v>
      </c>
      <c r="U352" t="s">
        <v>6930</v>
      </c>
      <c r="V352" t="s">
        <v>6931</v>
      </c>
      <c r="W352" t="s">
        <v>6932</v>
      </c>
      <c r="X352" t="s">
        <v>6933</v>
      </c>
      <c r="Y352" t="s">
        <v>6934</v>
      </c>
      <c r="Z352" t="s">
        <v>6935</v>
      </c>
      <c r="AA352" t="s">
        <v>74</v>
      </c>
      <c r="AB352" t="s">
        <v>6936</v>
      </c>
      <c r="AC352" t="s">
        <v>74</v>
      </c>
      <c r="AD352" t="s">
        <v>74</v>
      </c>
      <c r="AE352" t="s">
        <v>74</v>
      </c>
      <c r="AF352" t="s">
        <v>74</v>
      </c>
      <c r="AG352">
        <v>55</v>
      </c>
      <c r="AH352">
        <v>4</v>
      </c>
      <c r="AI352">
        <v>4</v>
      </c>
      <c r="AJ352">
        <v>3</v>
      </c>
      <c r="AK352">
        <v>22</v>
      </c>
      <c r="AL352" t="s">
        <v>409</v>
      </c>
      <c r="AM352" t="s">
        <v>410</v>
      </c>
      <c r="AN352" t="s">
        <v>411</v>
      </c>
      <c r="AO352" t="s">
        <v>412</v>
      </c>
      <c r="AP352" t="s">
        <v>413</v>
      </c>
      <c r="AQ352" t="s">
        <v>74</v>
      </c>
      <c r="AR352" t="s">
        <v>414</v>
      </c>
      <c r="AS352" t="s">
        <v>415</v>
      </c>
      <c r="AT352" t="s">
        <v>239</v>
      </c>
      <c r="AU352">
        <v>2020</v>
      </c>
      <c r="AV352">
        <v>51</v>
      </c>
      <c r="AW352">
        <v>4</v>
      </c>
      <c r="AX352" t="s">
        <v>74</v>
      </c>
      <c r="AY352" t="s">
        <v>74</v>
      </c>
      <c r="AZ352" t="s">
        <v>74</v>
      </c>
      <c r="BA352" t="s">
        <v>74</v>
      </c>
      <c r="BB352">
        <v>1046</v>
      </c>
      <c r="BC352">
        <v>1073</v>
      </c>
      <c r="BD352" t="s">
        <v>74</v>
      </c>
      <c r="BE352" t="s">
        <v>6937</v>
      </c>
      <c r="BF352" t="str">
        <f>HYPERLINK("http://dx.doi.org/10.1111/deci.12404","http://dx.doi.org/10.1111/deci.12404")</f>
        <v>http://dx.doi.org/10.1111/deci.12404</v>
      </c>
      <c r="BG352" t="s">
        <v>74</v>
      </c>
      <c r="BH352" t="s">
        <v>6938</v>
      </c>
      <c r="BI352">
        <v>28</v>
      </c>
      <c r="BJ352" t="s">
        <v>418</v>
      </c>
      <c r="BK352" t="s">
        <v>242</v>
      </c>
      <c r="BL352" t="s">
        <v>419</v>
      </c>
      <c r="BM352" t="s">
        <v>6939</v>
      </c>
      <c r="BN352" t="s">
        <v>74</v>
      </c>
      <c r="BO352" t="s">
        <v>1833</v>
      </c>
      <c r="BP352" t="s">
        <v>74</v>
      </c>
      <c r="BQ352" t="s">
        <v>74</v>
      </c>
      <c r="BR352" t="s">
        <v>102</v>
      </c>
      <c r="BS352" t="s">
        <v>6940</v>
      </c>
      <c r="BT352" t="str">
        <f>HYPERLINK("https%3A%2F%2Fwww.webofscience.com%2Fwos%2Fwoscc%2Ffull-record%2FWOS:000475115600001","View Full Record in Web of Science")</f>
        <v>View Full Record in Web of Science</v>
      </c>
    </row>
    <row r="353" spans="1:72" x14ac:dyDescent="0.2">
      <c r="A353" t="s">
        <v>72</v>
      </c>
      <c r="B353" t="s">
        <v>6941</v>
      </c>
      <c r="C353" t="s">
        <v>74</v>
      </c>
      <c r="D353" t="s">
        <v>74</v>
      </c>
      <c r="E353" t="s">
        <v>74</v>
      </c>
      <c r="F353" t="s">
        <v>6942</v>
      </c>
      <c r="G353" t="s">
        <v>74</v>
      </c>
      <c r="H353" t="s">
        <v>74</v>
      </c>
      <c r="I353" t="s">
        <v>6943</v>
      </c>
      <c r="J353" t="s">
        <v>6944</v>
      </c>
      <c r="K353" t="s">
        <v>74</v>
      </c>
      <c r="L353" t="s">
        <v>74</v>
      </c>
      <c r="M353" t="s">
        <v>78</v>
      </c>
      <c r="N353" t="s">
        <v>108</v>
      </c>
      <c r="O353" t="s">
        <v>74</v>
      </c>
      <c r="P353" t="s">
        <v>74</v>
      </c>
      <c r="Q353" t="s">
        <v>74</v>
      </c>
      <c r="R353" t="s">
        <v>74</v>
      </c>
      <c r="S353" t="s">
        <v>74</v>
      </c>
      <c r="T353" t="s">
        <v>6945</v>
      </c>
      <c r="U353" t="s">
        <v>74</v>
      </c>
      <c r="V353" t="s">
        <v>6946</v>
      </c>
      <c r="W353" t="s">
        <v>6947</v>
      </c>
      <c r="X353" t="s">
        <v>6948</v>
      </c>
      <c r="Y353" t="s">
        <v>6949</v>
      </c>
      <c r="Z353" t="s">
        <v>6950</v>
      </c>
      <c r="AA353" t="s">
        <v>6951</v>
      </c>
      <c r="AB353" t="s">
        <v>74</v>
      </c>
      <c r="AC353" t="s">
        <v>6952</v>
      </c>
      <c r="AD353" t="s">
        <v>6953</v>
      </c>
      <c r="AE353" t="s">
        <v>6954</v>
      </c>
      <c r="AF353" t="s">
        <v>74</v>
      </c>
      <c r="AG353">
        <v>19</v>
      </c>
      <c r="AH353">
        <v>4</v>
      </c>
      <c r="AI353">
        <v>4</v>
      </c>
      <c r="AJ353">
        <v>6</v>
      </c>
      <c r="AK353">
        <v>26</v>
      </c>
      <c r="AL353" t="s">
        <v>409</v>
      </c>
      <c r="AM353" t="s">
        <v>410</v>
      </c>
      <c r="AN353" t="s">
        <v>411</v>
      </c>
      <c r="AO353" t="s">
        <v>6955</v>
      </c>
      <c r="AP353" t="s">
        <v>6956</v>
      </c>
      <c r="AQ353" t="s">
        <v>74</v>
      </c>
      <c r="AR353" t="s">
        <v>6957</v>
      </c>
      <c r="AS353" t="s">
        <v>6958</v>
      </c>
      <c r="AT353" t="s">
        <v>216</v>
      </c>
      <c r="AU353">
        <v>2022</v>
      </c>
      <c r="AV353">
        <v>37</v>
      </c>
      <c r="AW353">
        <v>12</v>
      </c>
      <c r="AX353" t="s">
        <v>74</v>
      </c>
      <c r="AY353" t="s">
        <v>74</v>
      </c>
      <c r="AZ353" t="s">
        <v>74</v>
      </c>
      <c r="BA353" t="s">
        <v>74</v>
      </c>
      <c r="BB353">
        <v>10462</v>
      </c>
      <c r="BC353">
        <v>10475</v>
      </c>
      <c r="BD353" t="s">
        <v>74</v>
      </c>
      <c r="BE353" t="s">
        <v>6959</v>
      </c>
      <c r="BF353" t="str">
        <f>HYPERLINK("http://dx.doi.org/10.1002/int.22619","http://dx.doi.org/10.1002/int.22619")</f>
        <v>http://dx.doi.org/10.1002/int.22619</v>
      </c>
      <c r="BG353" t="s">
        <v>74</v>
      </c>
      <c r="BH353" t="s">
        <v>1373</v>
      </c>
      <c r="BI353">
        <v>14</v>
      </c>
      <c r="BJ353" t="s">
        <v>2017</v>
      </c>
      <c r="BK353" t="s">
        <v>98</v>
      </c>
      <c r="BL353" t="s">
        <v>99</v>
      </c>
      <c r="BM353" t="s">
        <v>6960</v>
      </c>
      <c r="BN353" t="s">
        <v>74</v>
      </c>
      <c r="BO353" t="s">
        <v>126</v>
      </c>
      <c r="BP353" t="s">
        <v>74</v>
      </c>
      <c r="BQ353" t="s">
        <v>74</v>
      </c>
      <c r="BR353" t="s">
        <v>102</v>
      </c>
      <c r="BS353" t="s">
        <v>6961</v>
      </c>
      <c r="BT353" t="str">
        <f>HYPERLINK("https%3A%2F%2Fwww.webofscience.com%2Fwos%2Fwoscc%2Ffull-record%2FWOS:000686945400001","View Full Record in Web of Science")</f>
        <v>View Full Record in Web of Science</v>
      </c>
    </row>
    <row r="354" spans="1:72" x14ac:dyDescent="0.2">
      <c r="A354" t="s">
        <v>72</v>
      </c>
      <c r="B354" t="s">
        <v>6962</v>
      </c>
      <c r="C354" t="s">
        <v>74</v>
      </c>
      <c r="D354" t="s">
        <v>74</v>
      </c>
      <c r="E354" t="s">
        <v>74</v>
      </c>
      <c r="F354" t="s">
        <v>6963</v>
      </c>
      <c r="G354" t="s">
        <v>74</v>
      </c>
      <c r="H354" t="s">
        <v>74</v>
      </c>
      <c r="I354" t="s">
        <v>6964</v>
      </c>
      <c r="J354" t="s">
        <v>131</v>
      </c>
      <c r="K354" t="s">
        <v>74</v>
      </c>
      <c r="L354" t="s">
        <v>74</v>
      </c>
      <c r="M354" t="s">
        <v>78</v>
      </c>
      <c r="N354" t="s">
        <v>108</v>
      </c>
      <c r="O354" t="s">
        <v>74</v>
      </c>
      <c r="P354" t="s">
        <v>74</v>
      </c>
      <c r="Q354" t="s">
        <v>74</v>
      </c>
      <c r="R354" t="s">
        <v>74</v>
      </c>
      <c r="S354" t="s">
        <v>74</v>
      </c>
      <c r="T354" t="s">
        <v>6965</v>
      </c>
      <c r="U354" t="s">
        <v>6966</v>
      </c>
      <c r="V354" t="s">
        <v>6967</v>
      </c>
      <c r="W354" t="s">
        <v>6968</v>
      </c>
      <c r="X354" t="s">
        <v>6969</v>
      </c>
      <c r="Y354" t="s">
        <v>6970</v>
      </c>
      <c r="Z354" t="s">
        <v>6971</v>
      </c>
      <c r="AA354" t="s">
        <v>74</v>
      </c>
      <c r="AB354" t="s">
        <v>74</v>
      </c>
      <c r="AC354" t="s">
        <v>74</v>
      </c>
      <c r="AD354" t="s">
        <v>74</v>
      </c>
      <c r="AE354" t="s">
        <v>74</v>
      </c>
      <c r="AF354" t="s">
        <v>74</v>
      </c>
      <c r="AG354">
        <v>262</v>
      </c>
      <c r="AH354">
        <v>0</v>
      </c>
      <c r="AI354">
        <v>0</v>
      </c>
      <c r="AJ354">
        <v>5</v>
      </c>
      <c r="AK354">
        <v>5</v>
      </c>
      <c r="AL354" t="s">
        <v>116</v>
      </c>
      <c r="AM354" t="s">
        <v>117</v>
      </c>
      <c r="AN354" t="s">
        <v>118</v>
      </c>
      <c r="AO354" t="s">
        <v>74</v>
      </c>
      <c r="AP354" t="s">
        <v>142</v>
      </c>
      <c r="AQ354" t="s">
        <v>74</v>
      </c>
      <c r="AR354" t="s">
        <v>143</v>
      </c>
      <c r="AS354" t="s">
        <v>144</v>
      </c>
      <c r="AT354" t="s">
        <v>6972</v>
      </c>
      <c r="AU354">
        <v>2023</v>
      </c>
      <c r="AV354">
        <v>15</v>
      </c>
      <c r="AW354">
        <v>11</v>
      </c>
      <c r="AX354" t="s">
        <v>74</v>
      </c>
      <c r="AY354" t="s">
        <v>74</v>
      </c>
      <c r="AZ354" t="s">
        <v>74</v>
      </c>
      <c r="BA354" t="s">
        <v>74</v>
      </c>
      <c r="BB354" t="s">
        <v>74</v>
      </c>
      <c r="BC354" t="s">
        <v>74</v>
      </c>
      <c r="BD354">
        <v>8754</v>
      </c>
      <c r="BE354" t="s">
        <v>6973</v>
      </c>
      <c r="BF354" t="str">
        <f>HYPERLINK("http://dx.doi.org/10.3390/su15118754","http://dx.doi.org/10.3390/su15118754")</f>
        <v>http://dx.doi.org/10.3390/su15118754</v>
      </c>
      <c r="BG354" t="s">
        <v>74</v>
      </c>
      <c r="BH354" t="s">
        <v>74</v>
      </c>
      <c r="BI354">
        <v>27</v>
      </c>
      <c r="BJ354" t="s">
        <v>146</v>
      </c>
      <c r="BK354" t="s">
        <v>147</v>
      </c>
      <c r="BL354" t="s">
        <v>148</v>
      </c>
      <c r="BM354" t="s">
        <v>6974</v>
      </c>
      <c r="BN354" t="s">
        <v>74</v>
      </c>
      <c r="BO354" t="s">
        <v>101</v>
      </c>
      <c r="BP354" t="s">
        <v>74</v>
      </c>
      <c r="BQ354" t="s">
        <v>74</v>
      </c>
      <c r="BR354" t="s">
        <v>102</v>
      </c>
      <c r="BS354" t="s">
        <v>6975</v>
      </c>
      <c r="BT354" t="str">
        <f>HYPERLINK("https%3A%2F%2Fwww.webofscience.com%2Fwos%2Fwoscc%2Ffull-record%2FWOS:001004766700001","View Full Record in Web of Science")</f>
        <v>View Full Record in Web of Science</v>
      </c>
    </row>
    <row r="355" spans="1:72" x14ac:dyDescent="0.2">
      <c r="A355" t="s">
        <v>72</v>
      </c>
      <c r="B355" t="s">
        <v>6976</v>
      </c>
      <c r="C355" t="s">
        <v>74</v>
      </c>
      <c r="D355" t="s">
        <v>74</v>
      </c>
      <c r="E355" t="s">
        <v>74</v>
      </c>
      <c r="F355" t="s">
        <v>6977</v>
      </c>
      <c r="G355" t="s">
        <v>74</v>
      </c>
      <c r="H355" t="s">
        <v>74</v>
      </c>
      <c r="I355" t="s">
        <v>6978</v>
      </c>
      <c r="J355" t="s">
        <v>6979</v>
      </c>
      <c r="K355" t="s">
        <v>74</v>
      </c>
      <c r="L355" t="s">
        <v>74</v>
      </c>
      <c r="M355" t="s">
        <v>78</v>
      </c>
      <c r="N355" t="s">
        <v>108</v>
      </c>
      <c r="O355" t="s">
        <v>74</v>
      </c>
      <c r="P355" t="s">
        <v>74</v>
      </c>
      <c r="Q355" t="s">
        <v>74</v>
      </c>
      <c r="R355" t="s">
        <v>74</v>
      </c>
      <c r="S355" t="s">
        <v>74</v>
      </c>
      <c r="T355" t="s">
        <v>6980</v>
      </c>
      <c r="U355" t="s">
        <v>6981</v>
      </c>
      <c r="V355" t="s">
        <v>6982</v>
      </c>
      <c r="W355" t="s">
        <v>6983</v>
      </c>
      <c r="X355" t="s">
        <v>74</v>
      </c>
      <c r="Y355" t="s">
        <v>6984</v>
      </c>
      <c r="Z355" t="s">
        <v>6985</v>
      </c>
      <c r="AA355" t="s">
        <v>74</v>
      </c>
      <c r="AB355" t="s">
        <v>74</v>
      </c>
      <c r="AC355" t="s">
        <v>6986</v>
      </c>
      <c r="AD355" t="s">
        <v>6987</v>
      </c>
      <c r="AE355" t="s">
        <v>6988</v>
      </c>
      <c r="AF355" t="s">
        <v>74</v>
      </c>
      <c r="AG355">
        <v>30</v>
      </c>
      <c r="AH355">
        <v>0</v>
      </c>
      <c r="AI355">
        <v>0</v>
      </c>
      <c r="AJ355">
        <v>7</v>
      </c>
      <c r="AK355">
        <v>7</v>
      </c>
      <c r="AL355" t="s">
        <v>6989</v>
      </c>
      <c r="AM355" t="s">
        <v>90</v>
      </c>
      <c r="AN355" t="s">
        <v>6990</v>
      </c>
      <c r="AO355" t="s">
        <v>74</v>
      </c>
      <c r="AP355" t="s">
        <v>6991</v>
      </c>
      <c r="AQ355" t="s">
        <v>74</v>
      </c>
      <c r="AR355" t="s">
        <v>6992</v>
      </c>
      <c r="AS355" t="s">
        <v>6993</v>
      </c>
      <c r="AT355" t="s">
        <v>6994</v>
      </c>
      <c r="AU355">
        <v>2023</v>
      </c>
      <c r="AV355">
        <v>9</v>
      </c>
      <c r="AW355" t="s">
        <v>74</v>
      </c>
      <c r="AX355" t="s">
        <v>74</v>
      </c>
      <c r="AY355" t="s">
        <v>74</v>
      </c>
      <c r="AZ355" t="s">
        <v>74</v>
      </c>
      <c r="BA355" t="s">
        <v>74</v>
      </c>
      <c r="BB355" t="s">
        <v>74</v>
      </c>
      <c r="BC355" t="s">
        <v>74</v>
      </c>
      <c r="BD355" t="s">
        <v>6995</v>
      </c>
      <c r="BE355" t="s">
        <v>6996</v>
      </c>
      <c r="BF355" t="str">
        <f>HYPERLINK("http://dx.doi.org/10.7717/peerj-cs.1416","http://dx.doi.org/10.7717/peerj-cs.1416")</f>
        <v>http://dx.doi.org/10.7717/peerj-cs.1416</v>
      </c>
      <c r="BG355" t="s">
        <v>74</v>
      </c>
      <c r="BH355" t="s">
        <v>74</v>
      </c>
      <c r="BI355">
        <v>17</v>
      </c>
      <c r="BJ355" t="s">
        <v>6997</v>
      </c>
      <c r="BK355" t="s">
        <v>98</v>
      </c>
      <c r="BL355" t="s">
        <v>99</v>
      </c>
      <c r="BM355" t="s">
        <v>6998</v>
      </c>
      <c r="BN355">
        <v>37346566</v>
      </c>
      <c r="BO355" t="s">
        <v>101</v>
      </c>
      <c r="BP355" t="s">
        <v>74</v>
      </c>
      <c r="BQ355" t="s">
        <v>74</v>
      </c>
      <c r="BR355" t="s">
        <v>102</v>
      </c>
      <c r="BS355" t="s">
        <v>6999</v>
      </c>
      <c r="BT355" t="str">
        <f>HYPERLINK("https%3A%2F%2Fwww.webofscience.com%2Fwos%2Fwoscc%2Ffull-record%2FWOS:001008699800001","View Full Record in Web of Science")</f>
        <v>View Full Record in Web of Science</v>
      </c>
    </row>
    <row r="356" spans="1:72" x14ac:dyDescent="0.2">
      <c r="A356" t="s">
        <v>72</v>
      </c>
      <c r="B356" t="s">
        <v>7000</v>
      </c>
      <c r="C356" t="s">
        <v>74</v>
      </c>
      <c r="D356" t="s">
        <v>74</v>
      </c>
      <c r="E356" t="s">
        <v>74</v>
      </c>
      <c r="F356" t="s">
        <v>7001</v>
      </c>
      <c r="G356" t="s">
        <v>74</v>
      </c>
      <c r="H356" t="s">
        <v>74</v>
      </c>
      <c r="I356" t="s">
        <v>7002</v>
      </c>
      <c r="J356" t="s">
        <v>7003</v>
      </c>
      <c r="K356" t="s">
        <v>74</v>
      </c>
      <c r="L356" t="s">
        <v>74</v>
      </c>
      <c r="M356" t="s">
        <v>78</v>
      </c>
      <c r="N356" t="s">
        <v>79</v>
      </c>
      <c r="O356" t="s">
        <v>74</v>
      </c>
      <c r="P356" t="s">
        <v>74</v>
      </c>
      <c r="Q356" t="s">
        <v>74</v>
      </c>
      <c r="R356" t="s">
        <v>74</v>
      </c>
      <c r="S356" t="s">
        <v>74</v>
      </c>
      <c r="T356" t="s">
        <v>7004</v>
      </c>
      <c r="U356" t="s">
        <v>7005</v>
      </c>
      <c r="V356" t="s">
        <v>7006</v>
      </c>
      <c r="W356" t="s">
        <v>7007</v>
      </c>
      <c r="X356" t="s">
        <v>7008</v>
      </c>
      <c r="Y356" t="s">
        <v>7009</v>
      </c>
      <c r="Z356" t="s">
        <v>7010</v>
      </c>
      <c r="AA356" t="s">
        <v>74</v>
      </c>
      <c r="AB356" t="s">
        <v>7011</v>
      </c>
      <c r="AC356" t="s">
        <v>7012</v>
      </c>
      <c r="AD356" t="s">
        <v>7013</v>
      </c>
      <c r="AE356" t="s">
        <v>7014</v>
      </c>
      <c r="AF356" t="s">
        <v>74</v>
      </c>
      <c r="AG356">
        <v>93</v>
      </c>
      <c r="AH356">
        <v>0</v>
      </c>
      <c r="AI356">
        <v>0</v>
      </c>
      <c r="AJ356">
        <v>3</v>
      </c>
      <c r="AK356">
        <v>3</v>
      </c>
      <c r="AL356" t="s">
        <v>116</v>
      </c>
      <c r="AM356" t="s">
        <v>117</v>
      </c>
      <c r="AN356" t="s">
        <v>118</v>
      </c>
      <c r="AO356" t="s">
        <v>74</v>
      </c>
      <c r="AP356" t="s">
        <v>7015</v>
      </c>
      <c r="AQ356" t="s">
        <v>74</v>
      </c>
      <c r="AR356" t="s">
        <v>7016</v>
      </c>
      <c r="AS356" t="s">
        <v>7017</v>
      </c>
      <c r="AT356" t="s">
        <v>416</v>
      </c>
      <c r="AU356">
        <v>2023</v>
      </c>
      <c r="AV356">
        <v>6</v>
      </c>
      <c r="AW356">
        <v>2</v>
      </c>
      <c r="AX356" t="s">
        <v>74</v>
      </c>
      <c r="AY356" t="s">
        <v>74</v>
      </c>
      <c r="AZ356" t="s">
        <v>74</v>
      </c>
      <c r="BA356" t="s">
        <v>74</v>
      </c>
      <c r="BB356">
        <v>596</v>
      </c>
      <c r="BC356">
        <v>616</v>
      </c>
      <c r="BD356" t="s">
        <v>74</v>
      </c>
      <c r="BE356" t="s">
        <v>7018</v>
      </c>
      <c r="BF356" t="str">
        <f>HYPERLINK("http://dx.doi.org/10.3390/stats6020038","http://dx.doi.org/10.3390/stats6020038")</f>
        <v>http://dx.doi.org/10.3390/stats6020038</v>
      </c>
      <c r="BG356" t="s">
        <v>74</v>
      </c>
      <c r="BH356" t="s">
        <v>74</v>
      </c>
      <c r="BI356">
        <v>21</v>
      </c>
      <c r="BJ356" t="s">
        <v>7019</v>
      </c>
      <c r="BK356" t="s">
        <v>124</v>
      </c>
      <c r="BL356" t="s">
        <v>1611</v>
      </c>
      <c r="BM356" t="s">
        <v>7020</v>
      </c>
      <c r="BN356" t="s">
        <v>74</v>
      </c>
      <c r="BO356" t="s">
        <v>126</v>
      </c>
      <c r="BP356" t="s">
        <v>74</v>
      </c>
      <c r="BQ356" t="s">
        <v>74</v>
      </c>
      <c r="BR356" t="s">
        <v>102</v>
      </c>
      <c r="BS356" t="s">
        <v>7021</v>
      </c>
      <c r="BT356" t="str">
        <f>HYPERLINK("https%3A%2F%2Fwww.webofscience.com%2Fwos%2Fwoscc%2Ffull-record%2FWOS:001017930700001","View Full Record in Web of Science")</f>
        <v>View Full Record in Web of Science</v>
      </c>
    </row>
    <row r="357" spans="1:72" x14ac:dyDescent="0.2">
      <c r="A357" t="s">
        <v>72</v>
      </c>
      <c r="B357" t="s">
        <v>7022</v>
      </c>
      <c r="C357" t="s">
        <v>74</v>
      </c>
      <c r="D357" t="s">
        <v>74</v>
      </c>
      <c r="E357" t="s">
        <v>74</v>
      </c>
      <c r="F357" t="s">
        <v>7023</v>
      </c>
      <c r="G357" t="s">
        <v>74</v>
      </c>
      <c r="H357" t="s">
        <v>74</v>
      </c>
      <c r="I357" t="s">
        <v>7024</v>
      </c>
      <c r="J357" t="s">
        <v>4827</v>
      </c>
      <c r="K357" t="s">
        <v>74</v>
      </c>
      <c r="L357" t="s">
        <v>74</v>
      </c>
      <c r="M357" t="s">
        <v>78</v>
      </c>
      <c r="N357" t="s">
        <v>108</v>
      </c>
      <c r="O357" t="s">
        <v>74</v>
      </c>
      <c r="P357" t="s">
        <v>74</v>
      </c>
      <c r="Q357" t="s">
        <v>74</v>
      </c>
      <c r="R357" t="s">
        <v>74</v>
      </c>
      <c r="S357" t="s">
        <v>74</v>
      </c>
      <c r="T357" t="s">
        <v>7025</v>
      </c>
      <c r="U357" t="s">
        <v>7026</v>
      </c>
      <c r="V357" t="s">
        <v>7027</v>
      </c>
      <c r="W357" t="s">
        <v>7028</v>
      </c>
      <c r="X357" t="s">
        <v>74</v>
      </c>
      <c r="Y357" t="s">
        <v>7029</v>
      </c>
      <c r="Z357" t="s">
        <v>7030</v>
      </c>
      <c r="AA357" t="s">
        <v>7031</v>
      </c>
      <c r="AB357" t="s">
        <v>7032</v>
      </c>
      <c r="AC357" t="s">
        <v>74</v>
      </c>
      <c r="AD357" t="s">
        <v>74</v>
      </c>
      <c r="AE357" t="s">
        <v>74</v>
      </c>
      <c r="AF357" t="s">
        <v>74</v>
      </c>
      <c r="AG357">
        <v>34</v>
      </c>
      <c r="AH357">
        <v>0</v>
      </c>
      <c r="AI357">
        <v>0</v>
      </c>
      <c r="AJ357">
        <v>0</v>
      </c>
      <c r="AK357">
        <v>2</v>
      </c>
      <c r="AL357" t="s">
        <v>116</v>
      </c>
      <c r="AM357" t="s">
        <v>117</v>
      </c>
      <c r="AN357" t="s">
        <v>118</v>
      </c>
      <c r="AO357" t="s">
        <v>74</v>
      </c>
      <c r="AP357" t="s">
        <v>4836</v>
      </c>
      <c r="AQ357" t="s">
        <v>74</v>
      </c>
      <c r="AR357" t="s">
        <v>4827</v>
      </c>
      <c r="AS357" t="s">
        <v>4837</v>
      </c>
      <c r="AT357" t="s">
        <v>846</v>
      </c>
      <c r="AU357">
        <v>2022</v>
      </c>
      <c r="AV357">
        <v>14</v>
      </c>
      <c r="AW357">
        <v>5</v>
      </c>
      <c r="AX357" t="s">
        <v>74</v>
      </c>
      <c r="AY357" t="s">
        <v>74</v>
      </c>
      <c r="AZ357" t="s">
        <v>74</v>
      </c>
      <c r="BA357" t="s">
        <v>74</v>
      </c>
      <c r="BB357" t="s">
        <v>74</v>
      </c>
      <c r="BC357" t="s">
        <v>74</v>
      </c>
      <c r="BD357">
        <v>149</v>
      </c>
      <c r="BE357" t="s">
        <v>7033</v>
      </c>
      <c r="BF357" t="str">
        <f>HYPERLINK("http://dx.doi.org/10.3390/fi14050149","http://dx.doi.org/10.3390/fi14050149")</f>
        <v>http://dx.doi.org/10.3390/fi14050149</v>
      </c>
      <c r="BG357" t="s">
        <v>74</v>
      </c>
      <c r="BH357" t="s">
        <v>74</v>
      </c>
      <c r="BI357">
        <v>32</v>
      </c>
      <c r="BJ357" t="s">
        <v>123</v>
      </c>
      <c r="BK357" t="s">
        <v>124</v>
      </c>
      <c r="BL357" t="s">
        <v>99</v>
      </c>
      <c r="BM357" t="s">
        <v>7034</v>
      </c>
      <c r="BN357" t="s">
        <v>74</v>
      </c>
      <c r="BO357" t="s">
        <v>126</v>
      </c>
      <c r="BP357" t="s">
        <v>74</v>
      </c>
      <c r="BQ357" t="s">
        <v>74</v>
      </c>
      <c r="BR357" t="s">
        <v>102</v>
      </c>
      <c r="BS357" t="s">
        <v>7035</v>
      </c>
      <c r="BT357" t="str">
        <f>HYPERLINK("https%3A%2F%2Fwww.webofscience.com%2Fwos%2Fwoscc%2Ffull-record%2FWOS:000802545900001","View Full Record in Web of Science")</f>
        <v>View Full Record in Web of Science</v>
      </c>
    </row>
    <row r="358" spans="1:72" x14ac:dyDescent="0.2">
      <c r="A358" t="s">
        <v>72</v>
      </c>
      <c r="B358" t="s">
        <v>7036</v>
      </c>
      <c r="C358" t="s">
        <v>74</v>
      </c>
      <c r="D358" t="s">
        <v>74</v>
      </c>
      <c r="E358" t="s">
        <v>74</v>
      </c>
      <c r="F358" t="s">
        <v>7037</v>
      </c>
      <c r="G358" t="s">
        <v>74</v>
      </c>
      <c r="H358" t="s">
        <v>74</v>
      </c>
      <c r="I358" t="s">
        <v>7038</v>
      </c>
      <c r="J358" t="s">
        <v>7039</v>
      </c>
      <c r="K358" t="s">
        <v>74</v>
      </c>
      <c r="L358" t="s">
        <v>74</v>
      </c>
      <c r="M358" t="s">
        <v>78</v>
      </c>
      <c r="N358" t="s">
        <v>108</v>
      </c>
      <c r="O358" t="s">
        <v>74</v>
      </c>
      <c r="P358" t="s">
        <v>74</v>
      </c>
      <c r="Q358" t="s">
        <v>74</v>
      </c>
      <c r="R358" t="s">
        <v>74</v>
      </c>
      <c r="S358" t="s">
        <v>74</v>
      </c>
      <c r="T358" t="s">
        <v>7040</v>
      </c>
      <c r="U358" t="s">
        <v>7041</v>
      </c>
      <c r="V358" t="s">
        <v>7042</v>
      </c>
      <c r="W358" t="s">
        <v>7043</v>
      </c>
      <c r="X358" t="s">
        <v>7044</v>
      </c>
      <c r="Y358" t="s">
        <v>7045</v>
      </c>
      <c r="Z358" t="s">
        <v>7046</v>
      </c>
      <c r="AA358" t="s">
        <v>7047</v>
      </c>
      <c r="AB358" t="s">
        <v>7048</v>
      </c>
      <c r="AC358" t="s">
        <v>7049</v>
      </c>
      <c r="AD358" t="s">
        <v>987</v>
      </c>
      <c r="AE358" t="s">
        <v>7050</v>
      </c>
      <c r="AF358" t="s">
        <v>74</v>
      </c>
      <c r="AG358">
        <v>32</v>
      </c>
      <c r="AH358">
        <v>3</v>
      </c>
      <c r="AI358">
        <v>3</v>
      </c>
      <c r="AJ358">
        <v>2</v>
      </c>
      <c r="AK358">
        <v>2</v>
      </c>
      <c r="AL358" t="s">
        <v>167</v>
      </c>
      <c r="AM358" t="s">
        <v>168</v>
      </c>
      <c r="AN358" t="s">
        <v>169</v>
      </c>
      <c r="AO358" t="s">
        <v>7051</v>
      </c>
      <c r="AP358" t="s">
        <v>7052</v>
      </c>
      <c r="AQ358" t="s">
        <v>74</v>
      </c>
      <c r="AR358" t="s">
        <v>7053</v>
      </c>
      <c r="AS358" t="s">
        <v>7054</v>
      </c>
      <c r="AT358" t="s">
        <v>616</v>
      </c>
      <c r="AU358">
        <v>2023</v>
      </c>
      <c r="AV358">
        <v>19</v>
      </c>
      <c r="AW358">
        <v>3</v>
      </c>
      <c r="AX358" t="s">
        <v>74</v>
      </c>
      <c r="AY358" t="s">
        <v>74</v>
      </c>
      <c r="AZ358" t="s">
        <v>74</v>
      </c>
      <c r="BA358" t="s">
        <v>74</v>
      </c>
      <c r="BB358">
        <v>3300</v>
      </c>
      <c r="BC358">
        <v>3309</v>
      </c>
      <c r="BD358" t="s">
        <v>74</v>
      </c>
      <c r="BE358" t="s">
        <v>7055</v>
      </c>
      <c r="BF358" t="str">
        <f>HYPERLINK("http://dx.doi.org/10.1109/TII.2021.3108811","http://dx.doi.org/10.1109/TII.2021.3108811")</f>
        <v>http://dx.doi.org/10.1109/TII.2021.3108811</v>
      </c>
      <c r="BG358" t="s">
        <v>74</v>
      </c>
      <c r="BH358" t="s">
        <v>74</v>
      </c>
      <c r="BI358">
        <v>10</v>
      </c>
      <c r="BJ358" t="s">
        <v>7056</v>
      </c>
      <c r="BK358" t="s">
        <v>98</v>
      </c>
      <c r="BL358" t="s">
        <v>4802</v>
      </c>
      <c r="BM358" t="s">
        <v>7057</v>
      </c>
      <c r="BN358" t="s">
        <v>74</v>
      </c>
      <c r="BO358" t="s">
        <v>74</v>
      </c>
      <c r="BP358" t="s">
        <v>74</v>
      </c>
      <c r="BQ358" t="s">
        <v>74</v>
      </c>
      <c r="BR358" t="s">
        <v>102</v>
      </c>
      <c r="BS358" t="s">
        <v>7058</v>
      </c>
      <c r="BT358" t="str">
        <f>HYPERLINK("https%3A%2F%2Fwww.webofscience.com%2Fwos%2Fwoscc%2Ffull-record%2FWOS:000965423100001","View Full Record in Web of Science")</f>
        <v>View Full Record in Web of Science</v>
      </c>
    </row>
    <row r="359" spans="1:72" x14ac:dyDescent="0.2">
      <c r="A359" t="s">
        <v>72</v>
      </c>
      <c r="B359" t="s">
        <v>7059</v>
      </c>
      <c r="C359" t="s">
        <v>74</v>
      </c>
      <c r="D359" t="s">
        <v>74</v>
      </c>
      <c r="E359" t="s">
        <v>74</v>
      </c>
      <c r="F359" t="s">
        <v>7060</v>
      </c>
      <c r="G359" t="s">
        <v>74</v>
      </c>
      <c r="H359" t="s">
        <v>74</v>
      </c>
      <c r="I359" t="s">
        <v>7061</v>
      </c>
      <c r="J359" t="s">
        <v>976</v>
      </c>
      <c r="K359" t="s">
        <v>74</v>
      </c>
      <c r="L359" t="s">
        <v>74</v>
      </c>
      <c r="M359" t="s">
        <v>78</v>
      </c>
      <c r="N359" t="s">
        <v>108</v>
      </c>
      <c r="O359" t="s">
        <v>74</v>
      </c>
      <c r="P359" t="s">
        <v>74</v>
      </c>
      <c r="Q359" t="s">
        <v>74</v>
      </c>
      <c r="R359" t="s">
        <v>74</v>
      </c>
      <c r="S359" t="s">
        <v>74</v>
      </c>
      <c r="T359" t="s">
        <v>7062</v>
      </c>
      <c r="U359" t="s">
        <v>7063</v>
      </c>
      <c r="V359" t="s">
        <v>7064</v>
      </c>
      <c r="W359" t="s">
        <v>7065</v>
      </c>
      <c r="X359" t="s">
        <v>7066</v>
      </c>
      <c r="Y359" t="s">
        <v>7067</v>
      </c>
      <c r="Z359" t="s">
        <v>7068</v>
      </c>
      <c r="AA359" t="s">
        <v>7069</v>
      </c>
      <c r="AB359" t="s">
        <v>7070</v>
      </c>
      <c r="AC359" t="s">
        <v>7071</v>
      </c>
      <c r="AD359" t="s">
        <v>7071</v>
      </c>
      <c r="AE359" t="s">
        <v>7072</v>
      </c>
      <c r="AF359" t="s">
        <v>74</v>
      </c>
      <c r="AG359">
        <v>44</v>
      </c>
      <c r="AH359">
        <v>21</v>
      </c>
      <c r="AI359">
        <v>22</v>
      </c>
      <c r="AJ359">
        <v>3</v>
      </c>
      <c r="AK359">
        <v>30</v>
      </c>
      <c r="AL359" t="s">
        <v>259</v>
      </c>
      <c r="AM359" t="s">
        <v>260</v>
      </c>
      <c r="AN359" t="s">
        <v>261</v>
      </c>
      <c r="AO359" t="s">
        <v>989</v>
      </c>
      <c r="AP359" t="s">
        <v>990</v>
      </c>
      <c r="AQ359" t="s">
        <v>74</v>
      </c>
      <c r="AR359" t="s">
        <v>991</v>
      </c>
      <c r="AS359" t="s">
        <v>992</v>
      </c>
      <c r="AT359" t="s">
        <v>7073</v>
      </c>
      <c r="AU359">
        <v>2019</v>
      </c>
      <c r="AV359">
        <v>223</v>
      </c>
      <c r="AW359" t="s">
        <v>74</v>
      </c>
      <c r="AX359" t="s">
        <v>74</v>
      </c>
      <c r="AY359" t="s">
        <v>74</v>
      </c>
      <c r="AZ359" t="s">
        <v>74</v>
      </c>
      <c r="BA359" t="s">
        <v>74</v>
      </c>
      <c r="BB359">
        <v>508</v>
      </c>
      <c r="BC359">
        <v>521</v>
      </c>
      <c r="BD359" t="s">
        <v>74</v>
      </c>
      <c r="BE359" t="s">
        <v>7074</v>
      </c>
      <c r="BF359" t="str">
        <f>HYPERLINK("http://dx.doi.org/10.1016/j.jclepro.2019.03.104","http://dx.doi.org/10.1016/j.jclepro.2019.03.104")</f>
        <v>http://dx.doi.org/10.1016/j.jclepro.2019.03.104</v>
      </c>
      <c r="BG359" t="s">
        <v>74</v>
      </c>
      <c r="BH359" t="s">
        <v>74</v>
      </c>
      <c r="BI359">
        <v>14</v>
      </c>
      <c r="BJ359" t="s">
        <v>995</v>
      </c>
      <c r="BK359" t="s">
        <v>98</v>
      </c>
      <c r="BL359" t="s">
        <v>996</v>
      </c>
      <c r="BM359" t="s">
        <v>7075</v>
      </c>
      <c r="BN359" t="s">
        <v>74</v>
      </c>
      <c r="BO359" t="s">
        <v>1833</v>
      </c>
      <c r="BP359" t="s">
        <v>74</v>
      </c>
      <c r="BQ359" t="s">
        <v>74</v>
      </c>
      <c r="BR359" t="s">
        <v>102</v>
      </c>
      <c r="BS359" t="s">
        <v>7076</v>
      </c>
      <c r="BT359" t="str">
        <f>HYPERLINK("https%3A%2F%2Fwww.webofscience.com%2Fwos%2Fwoscc%2Ffull-record%2FWOS:000466253100043","View Full Record in Web of Science")</f>
        <v>View Full Record in Web of Science</v>
      </c>
    </row>
    <row r="360" spans="1:72" x14ac:dyDescent="0.2">
      <c r="A360" t="s">
        <v>72</v>
      </c>
      <c r="B360" t="s">
        <v>7077</v>
      </c>
      <c r="C360" t="s">
        <v>74</v>
      </c>
      <c r="D360" t="s">
        <v>74</v>
      </c>
      <c r="E360" t="s">
        <v>74</v>
      </c>
      <c r="F360" t="s">
        <v>7078</v>
      </c>
      <c r="G360" t="s">
        <v>74</v>
      </c>
      <c r="H360" t="s">
        <v>74</v>
      </c>
      <c r="I360" t="s">
        <v>7079</v>
      </c>
      <c r="J360" t="s">
        <v>3951</v>
      </c>
      <c r="K360" t="s">
        <v>74</v>
      </c>
      <c r="L360" t="s">
        <v>74</v>
      </c>
      <c r="M360" t="s">
        <v>78</v>
      </c>
      <c r="N360" t="s">
        <v>108</v>
      </c>
      <c r="O360" t="s">
        <v>74</v>
      </c>
      <c r="P360" t="s">
        <v>74</v>
      </c>
      <c r="Q360" t="s">
        <v>74</v>
      </c>
      <c r="R360" t="s">
        <v>74</v>
      </c>
      <c r="S360" t="s">
        <v>74</v>
      </c>
      <c r="T360" t="s">
        <v>74</v>
      </c>
      <c r="U360" t="s">
        <v>3029</v>
      </c>
      <c r="V360" t="s">
        <v>7080</v>
      </c>
      <c r="W360" t="s">
        <v>7081</v>
      </c>
      <c r="X360" t="s">
        <v>7082</v>
      </c>
      <c r="Y360" t="s">
        <v>7083</v>
      </c>
      <c r="Z360" t="s">
        <v>7084</v>
      </c>
      <c r="AA360" t="s">
        <v>7085</v>
      </c>
      <c r="AB360" t="s">
        <v>7086</v>
      </c>
      <c r="AC360" t="s">
        <v>7087</v>
      </c>
      <c r="AD360" t="s">
        <v>7088</v>
      </c>
      <c r="AE360" t="s">
        <v>7089</v>
      </c>
      <c r="AF360" t="s">
        <v>74</v>
      </c>
      <c r="AG360">
        <v>20</v>
      </c>
      <c r="AH360">
        <v>0</v>
      </c>
      <c r="AI360">
        <v>0</v>
      </c>
      <c r="AJ360">
        <v>1</v>
      </c>
      <c r="AK360">
        <v>6</v>
      </c>
      <c r="AL360" t="s">
        <v>3963</v>
      </c>
      <c r="AM360" t="s">
        <v>90</v>
      </c>
      <c r="AN360" t="s">
        <v>3964</v>
      </c>
      <c r="AO360" t="s">
        <v>3965</v>
      </c>
      <c r="AP360" t="s">
        <v>3966</v>
      </c>
      <c r="AQ360" t="s">
        <v>74</v>
      </c>
      <c r="AR360" t="s">
        <v>3967</v>
      </c>
      <c r="AS360" t="s">
        <v>3968</v>
      </c>
      <c r="AT360" t="s">
        <v>7090</v>
      </c>
      <c r="AU360">
        <v>2020</v>
      </c>
      <c r="AV360">
        <v>2020</v>
      </c>
      <c r="AW360" t="s">
        <v>74</v>
      </c>
      <c r="AX360" t="s">
        <v>74</v>
      </c>
      <c r="AY360" t="s">
        <v>74</v>
      </c>
      <c r="AZ360" t="s">
        <v>74</v>
      </c>
      <c r="BA360" t="s">
        <v>74</v>
      </c>
      <c r="BB360" t="s">
        <v>74</v>
      </c>
      <c r="BC360" t="s">
        <v>74</v>
      </c>
      <c r="BD360">
        <v>4250375</v>
      </c>
      <c r="BE360" t="s">
        <v>7091</v>
      </c>
      <c r="BF360" t="str">
        <f>HYPERLINK("http://dx.doi.org/10.1155/2020/4250375","http://dx.doi.org/10.1155/2020/4250375")</f>
        <v>http://dx.doi.org/10.1155/2020/4250375</v>
      </c>
      <c r="BG360" t="s">
        <v>74</v>
      </c>
      <c r="BH360" t="s">
        <v>74</v>
      </c>
      <c r="BI360">
        <v>10</v>
      </c>
      <c r="BJ360" t="s">
        <v>3970</v>
      </c>
      <c r="BK360" t="s">
        <v>98</v>
      </c>
      <c r="BL360" t="s">
        <v>3971</v>
      </c>
      <c r="BM360" t="s">
        <v>7092</v>
      </c>
      <c r="BN360" t="s">
        <v>74</v>
      </c>
      <c r="BO360" t="s">
        <v>126</v>
      </c>
      <c r="BP360" t="s">
        <v>74</v>
      </c>
      <c r="BQ360" t="s">
        <v>74</v>
      </c>
      <c r="BR360" t="s">
        <v>102</v>
      </c>
      <c r="BS360" t="s">
        <v>7093</v>
      </c>
      <c r="BT360" t="str">
        <f>HYPERLINK("https%3A%2F%2Fwww.webofscience.com%2Fwos%2Fwoscc%2Ffull-record%2FWOS:000556407400003","View Full Record in Web of Science")</f>
        <v>View Full Record in Web of Science</v>
      </c>
    </row>
    <row r="361" spans="1:72" x14ac:dyDescent="0.2">
      <c r="A361" t="s">
        <v>72</v>
      </c>
      <c r="B361" t="s">
        <v>7094</v>
      </c>
      <c r="C361" t="s">
        <v>74</v>
      </c>
      <c r="D361" t="s">
        <v>74</v>
      </c>
      <c r="E361" t="s">
        <v>74</v>
      </c>
      <c r="F361" t="s">
        <v>7095</v>
      </c>
      <c r="G361" t="s">
        <v>74</v>
      </c>
      <c r="H361" t="s">
        <v>74</v>
      </c>
      <c r="I361" t="s">
        <v>7096</v>
      </c>
      <c r="J361" t="s">
        <v>7097</v>
      </c>
      <c r="K361" t="s">
        <v>74</v>
      </c>
      <c r="L361" t="s">
        <v>74</v>
      </c>
      <c r="M361" t="s">
        <v>78</v>
      </c>
      <c r="N361" t="s">
        <v>108</v>
      </c>
      <c r="O361" t="s">
        <v>74</v>
      </c>
      <c r="P361" t="s">
        <v>74</v>
      </c>
      <c r="Q361" t="s">
        <v>74</v>
      </c>
      <c r="R361" t="s">
        <v>74</v>
      </c>
      <c r="S361" t="s">
        <v>74</v>
      </c>
      <c r="T361" t="s">
        <v>7098</v>
      </c>
      <c r="U361" t="s">
        <v>7099</v>
      </c>
      <c r="V361" t="s">
        <v>7100</v>
      </c>
      <c r="W361" t="s">
        <v>7101</v>
      </c>
      <c r="X361" t="s">
        <v>7102</v>
      </c>
      <c r="Y361" t="s">
        <v>7103</v>
      </c>
      <c r="Z361" t="s">
        <v>7104</v>
      </c>
      <c r="AA361" t="s">
        <v>74</v>
      </c>
      <c r="AB361" t="s">
        <v>7105</v>
      </c>
      <c r="AC361" t="s">
        <v>7106</v>
      </c>
      <c r="AD361" t="s">
        <v>7106</v>
      </c>
      <c r="AE361" t="s">
        <v>7107</v>
      </c>
      <c r="AF361" t="s">
        <v>74</v>
      </c>
      <c r="AG361">
        <v>66</v>
      </c>
      <c r="AH361">
        <v>1</v>
      </c>
      <c r="AI361">
        <v>1</v>
      </c>
      <c r="AJ361">
        <v>0</v>
      </c>
      <c r="AK361">
        <v>12</v>
      </c>
      <c r="AL361" t="s">
        <v>462</v>
      </c>
      <c r="AM361" t="s">
        <v>280</v>
      </c>
      <c r="AN361" t="s">
        <v>463</v>
      </c>
      <c r="AO361" t="s">
        <v>7108</v>
      </c>
      <c r="AP361" t="s">
        <v>7109</v>
      </c>
      <c r="AQ361" t="s">
        <v>74</v>
      </c>
      <c r="AR361" t="s">
        <v>7110</v>
      </c>
      <c r="AS361" t="s">
        <v>7111</v>
      </c>
      <c r="AT361" t="s">
        <v>74</v>
      </c>
      <c r="AU361">
        <v>2018</v>
      </c>
      <c r="AV361">
        <v>52</v>
      </c>
      <c r="AW361">
        <v>2</v>
      </c>
      <c r="AX361" t="s">
        <v>74</v>
      </c>
      <c r="AY361" t="s">
        <v>74</v>
      </c>
      <c r="AZ361" t="s">
        <v>74</v>
      </c>
      <c r="BA361" t="s">
        <v>74</v>
      </c>
      <c r="BB361">
        <v>184</v>
      </c>
      <c r="BC361">
        <v>196</v>
      </c>
      <c r="BD361" t="s">
        <v>74</v>
      </c>
      <c r="BE361" t="s">
        <v>7112</v>
      </c>
      <c r="BF361" t="str">
        <f>HYPERLINK("http://dx.doi.org/10.1080/00343404.2017.1315395","http://dx.doi.org/10.1080/00343404.2017.1315395")</f>
        <v>http://dx.doi.org/10.1080/00343404.2017.1315395</v>
      </c>
      <c r="BG361" t="s">
        <v>74</v>
      </c>
      <c r="BH361" t="s">
        <v>74</v>
      </c>
      <c r="BI361">
        <v>13</v>
      </c>
      <c r="BJ361" t="s">
        <v>7113</v>
      </c>
      <c r="BK361" t="s">
        <v>242</v>
      </c>
      <c r="BL361" t="s">
        <v>7114</v>
      </c>
      <c r="BM361" t="s">
        <v>7115</v>
      </c>
      <c r="BN361" t="s">
        <v>74</v>
      </c>
      <c r="BO361" t="s">
        <v>594</v>
      </c>
      <c r="BP361" t="s">
        <v>74</v>
      </c>
      <c r="BQ361" t="s">
        <v>74</v>
      </c>
      <c r="BR361" t="s">
        <v>102</v>
      </c>
      <c r="BS361" t="s">
        <v>7116</v>
      </c>
      <c r="BT361" t="str">
        <f>HYPERLINK("https%3A%2F%2Fwww.webofscience.com%2Fwos%2Fwoscc%2Ffull-record%2FWOS:000423423800003","View Full Record in Web of Science")</f>
        <v>View Full Record in Web of Science</v>
      </c>
    </row>
    <row r="362" spans="1:72" x14ac:dyDescent="0.2">
      <c r="A362" t="s">
        <v>72</v>
      </c>
      <c r="B362" t="s">
        <v>7117</v>
      </c>
      <c r="C362" t="s">
        <v>74</v>
      </c>
      <c r="D362" t="s">
        <v>74</v>
      </c>
      <c r="E362" t="s">
        <v>74</v>
      </c>
      <c r="F362" t="s">
        <v>7118</v>
      </c>
      <c r="G362" t="s">
        <v>74</v>
      </c>
      <c r="H362" t="s">
        <v>74</v>
      </c>
      <c r="I362" t="s">
        <v>7119</v>
      </c>
      <c r="J362" t="s">
        <v>273</v>
      </c>
      <c r="K362" t="s">
        <v>74</v>
      </c>
      <c r="L362" t="s">
        <v>74</v>
      </c>
      <c r="M362" t="s">
        <v>78</v>
      </c>
      <c r="N362" t="s">
        <v>79</v>
      </c>
      <c r="O362" t="s">
        <v>74</v>
      </c>
      <c r="P362" t="s">
        <v>74</v>
      </c>
      <c r="Q362" t="s">
        <v>74</v>
      </c>
      <c r="R362" t="s">
        <v>74</v>
      </c>
      <c r="S362" t="s">
        <v>74</v>
      </c>
      <c r="T362" t="s">
        <v>7120</v>
      </c>
      <c r="U362" t="s">
        <v>7121</v>
      </c>
      <c r="V362" t="s">
        <v>7122</v>
      </c>
      <c r="W362" t="s">
        <v>7123</v>
      </c>
      <c r="X362" t="s">
        <v>7124</v>
      </c>
      <c r="Y362" t="s">
        <v>7125</v>
      </c>
      <c r="Z362" t="s">
        <v>7126</v>
      </c>
      <c r="AA362" t="s">
        <v>7127</v>
      </c>
      <c r="AB362" t="s">
        <v>7128</v>
      </c>
      <c r="AC362" t="s">
        <v>74</v>
      </c>
      <c r="AD362" t="s">
        <v>74</v>
      </c>
      <c r="AE362" t="s">
        <v>74</v>
      </c>
      <c r="AF362" t="s">
        <v>74</v>
      </c>
      <c r="AG362">
        <v>90</v>
      </c>
      <c r="AH362">
        <v>8</v>
      </c>
      <c r="AI362">
        <v>8</v>
      </c>
      <c r="AJ362">
        <v>1</v>
      </c>
      <c r="AK362">
        <v>36</v>
      </c>
      <c r="AL362" t="s">
        <v>279</v>
      </c>
      <c r="AM362" t="s">
        <v>280</v>
      </c>
      <c r="AN362" t="s">
        <v>281</v>
      </c>
      <c r="AO362" t="s">
        <v>282</v>
      </c>
      <c r="AP362" t="s">
        <v>283</v>
      </c>
      <c r="AQ362" t="s">
        <v>74</v>
      </c>
      <c r="AR362" t="s">
        <v>284</v>
      </c>
      <c r="AS362" t="s">
        <v>285</v>
      </c>
      <c r="AT362" t="s">
        <v>696</v>
      </c>
      <c r="AU362">
        <v>2023</v>
      </c>
      <c r="AV362">
        <v>17</v>
      </c>
      <c r="AW362">
        <v>5</v>
      </c>
      <c r="AX362" t="s">
        <v>74</v>
      </c>
      <c r="AY362" t="s">
        <v>74</v>
      </c>
      <c r="AZ362" t="s">
        <v>74</v>
      </c>
      <c r="BA362" t="s">
        <v>74</v>
      </c>
      <c r="BB362" t="s">
        <v>74</v>
      </c>
      <c r="BC362" t="s">
        <v>74</v>
      </c>
      <c r="BD362" t="s">
        <v>74</v>
      </c>
      <c r="BE362" t="s">
        <v>7129</v>
      </c>
      <c r="BF362" t="str">
        <f>HYPERLINK("http://dx.doi.org/10.1080/17517575.2021.1995783","http://dx.doi.org/10.1080/17517575.2021.1995783")</f>
        <v>http://dx.doi.org/10.1080/17517575.2021.1995783</v>
      </c>
      <c r="BG362" t="s">
        <v>74</v>
      </c>
      <c r="BH362" t="s">
        <v>267</v>
      </c>
      <c r="BI362">
        <v>24</v>
      </c>
      <c r="BJ362" t="s">
        <v>123</v>
      </c>
      <c r="BK362" t="s">
        <v>98</v>
      </c>
      <c r="BL362" t="s">
        <v>99</v>
      </c>
      <c r="BM362" t="s">
        <v>7130</v>
      </c>
      <c r="BN362" t="s">
        <v>74</v>
      </c>
      <c r="BO362" t="s">
        <v>74</v>
      </c>
      <c r="BP362" t="s">
        <v>74</v>
      </c>
      <c r="BQ362" t="s">
        <v>74</v>
      </c>
      <c r="BR362" t="s">
        <v>102</v>
      </c>
      <c r="BS362" t="s">
        <v>7131</v>
      </c>
      <c r="BT362" t="str">
        <f>HYPERLINK("https%3A%2F%2Fwww.webofscience.com%2Fwos%2Fwoscc%2Ffull-record%2FWOS:000712130500001","View Full Record in Web of Science")</f>
        <v>View Full Record in Web of Science</v>
      </c>
    </row>
    <row r="363" spans="1:72" x14ac:dyDescent="0.2">
      <c r="A363" t="s">
        <v>72</v>
      </c>
      <c r="B363" t="s">
        <v>7132</v>
      </c>
      <c r="C363" t="s">
        <v>74</v>
      </c>
      <c r="D363" t="s">
        <v>74</v>
      </c>
      <c r="E363" t="s">
        <v>74</v>
      </c>
      <c r="F363" t="s">
        <v>7133</v>
      </c>
      <c r="G363" t="s">
        <v>74</v>
      </c>
      <c r="H363" t="s">
        <v>74</v>
      </c>
      <c r="I363" t="s">
        <v>7134</v>
      </c>
      <c r="J363" t="s">
        <v>3099</v>
      </c>
      <c r="K363" t="s">
        <v>74</v>
      </c>
      <c r="L363" t="s">
        <v>74</v>
      </c>
      <c r="M363" t="s">
        <v>78</v>
      </c>
      <c r="N363" t="s">
        <v>108</v>
      </c>
      <c r="O363" t="s">
        <v>74</v>
      </c>
      <c r="P363" t="s">
        <v>74</v>
      </c>
      <c r="Q363" t="s">
        <v>74</v>
      </c>
      <c r="R363" t="s">
        <v>74</v>
      </c>
      <c r="S363" t="s">
        <v>74</v>
      </c>
      <c r="T363" t="s">
        <v>7135</v>
      </c>
      <c r="U363" t="s">
        <v>7136</v>
      </c>
      <c r="V363" t="s">
        <v>7137</v>
      </c>
      <c r="W363" t="s">
        <v>7138</v>
      </c>
      <c r="X363" t="s">
        <v>7139</v>
      </c>
      <c r="Y363" t="s">
        <v>7140</v>
      </c>
      <c r="Z363" t="s">
        <v>7141</v>
      </c>
      <c r="AA363" t="s">
        <v>7142</v>
      </c>
      <c r="AB363" t="s">
        <v>7143</v>
      </c>
      <c r="AC363" t="s">
        <v>74</v>
      </c>
      <c r="AD363" t="s">
        <v>74</v>
      </c>
      <c r="AE363" t="s">
        <v>74</v>
      </c>
      <c r="AF363" t="s">
        <v>74</v>
      </c>
      <c r="AG363">
        <v>70</v>
      </c>
      <c r="AH363">
        <v>14</v>
      </c>
      <c r="AI363">
        <v>14</v>
      </c>
      <c r="AJ363">
        <v>1</v>
      </c>
      <c r="AK363">
        <v>6</v>
      </c>
      <c r="AL363" t="s">
        <v>437</v>
      </c>
      <c r="AM363" t="s">
        <v>438</v>
      </c>
      <c r="AN363" t="s">
        <v>439</v>
      </c>
      <c r="AO363" t="s">
        <v>3107</v>
      </c>
      <c r="AP363" t="s">
        <v>3108</v>
      </c>
      <c r="AQ363" t="s">
        <v>74</v>
      </c>
      <c r="AR363" t="s">
        <v>3109</v>
      </c>
      <c r="AS363" t="s">
        <v>3110</v>
      </c>
      <c r="AT363" t="s">
        <v>7144</v>
      </c>
      <c r="AU363">
        <v>2021</v>
      </c>
      <c r="AV363">
        <v>16</v>
      </c>
      <c r="AW363">
        <v>1</v>
      </c>
      <c r="AX363" t="s">
        <v>74</v>
      </c>
      <c r="AY363" t="s">
        <v>74</v>
      </c>
      <c r="AZ363" t="s">
        <v>74</v>
      </c>
      <c r="BA363" t="s">
        <v>74</v>
      </c>
      <c r="BB363">
        <v>240</v>
      </c>
      <c r="BC363">
        <v>266</v>
      </c>
      <c r="BD363" t="s">
        <v>74</v>
      </c>
      <c r="BE363" t="s">
        <v>7145</v>
      </c>
      <c r="BF363" t="str">
        <f>HYPERLINK("http://dx.doi.org/10.1108/JM2-08-2019-0185","http://dx.doi.org/10.1108/JM2-08-2019-0185")</f>
        <v>http://dx.doi.org/10.1108/JM2-08-2019-0185</v>
      </c>
      <c r="BG363" t="s">
        <v>74</v>
      </c>
      <c r="BH363" t="s">
        <v>1215</v>
      </c>
      <c r="BI363">
        <v>27</v>
      </c>
      <c r="BJ363" t="s">
        <v>418</v>
      </c>
      <c r="BK363" t="s">
        <v>124</v>
      </c>
      <c r="BL363" t="s">
        <v>419</v>
      </c>
      <c r="BM363" t="s">
        <v>7146</v>
      </c>
      <c r="BN363" t="s">
        <v>74</v>
      </c>
      <c r="BO363" t="s">
        <v>74</v>
      </c>
      <c r="BP363" t="s">
        <v>74</v>
      </c>
      <c r="BQ363" t="s">
        <v>74</v>
      </c>
      <c r="BR363" t="s">
        <v>102</v>
      </c>
      <c r="BS363" t="s">
        <v>7147</v>
      </c>
      <c r="BT363" t="str">
        <f>HYPERLINK("https%3A%2F%2Fwww.webofscience.com%2Fwos%2Fwoscc%2Ffull-record%2FWOS:000552139400001","View Full Record in Web of Science")</f>
        <v>View Full Record in Web of Science</v>
      </c>
    </row>
    <row r="364" spans="1:72" x14ac:dyDescent="0.2">
      <c r="A364" t="s">
        <v>72</v>
      </c>
      <c r="B364" t="s">
        <v>7148</v>
      </c>
      <c r="C364" t="s">
        <v>74</v>
      </c>
      <c r="D364" t="s">
        <v>74</v>
      </c>
      <c r="E364" t="s">
        <v>74</v>
      </c>
      <c r="F364" t="s">
        <v>7149</v>
      </c>
      <c r="G364" t="s">
        <v>74</v>
      </c>
      <c r="H364" t="s">
        <v>74</v>
      </c>
      <c r="I364" t="s">
        <v>7150</v>
      </c>
      <c r="J364" t="s">
        <v>3099</v>
      </c>
      <c r="K364" t="s">
        <v>74</v>
      </c>
      <c r="L364" t="s">
        <v>74</v>
      </c>
      <c r="M364" t="s">
        <v>78</v>
      </c>
      <c r="N364" t="s">
        <v>79</v>
      </c>
      <c r="O364" t="s">
        <v>74</v>
      </c>
      <c r="P364" t="s">
        <v>74</v>
      </c>
      <c r="Q364" t="s">
        <v>74</v>
      </c>
      <c r="R364" t="s">
        <v>74</v>
      </c>
      <c r="S364" t="s">
        <v>74</v>
      </c>
      <c r="T364" t="s">
        <v>7151</v>
      </c>
      <c r="U364" t="s">
        <v>7152</v>
      </c>
      <c r="V364" t="s">
        <v>7153</v>
      </c>
      <c r="W364" t="s">
        <v>7154</v>
      </c>
      <c r="X364" t="s">
        <v>7155</v>
      </c>
      <c r="Y364" t="s">
        <v>7156</v>
      </c>
      <c r="Z364" t="s">
        <v>7157</v>
      </c>
      <c r="AA364" t="s">
        <v>7158</v>
      </c>
      <c r="AB364" t="s">
        <v>7159</v>
      </c>
      <c r="AC364" t="s">
        <v>74</v>
      </c>
      <c r="AD364" t="s">
        <v>74</v>
      </c>
      <c r="AE364" t="s">
        <v>74</v>
      </c>
      <c r="AF364" t="s">
        <v>74</v>
      </c>
      <c r="AG364">
        <v>130</v>
      </c>
      <c r="AH364">
        <v>3</v>
      </c>
      <c r="AI364">
        <v>3</v>
      </c>
      <c r="AJ364">
        <v>6</v>
      </c>
      <c r="AK364">
        <v>27</v>
      </c>
      <c r="AL364" t="s">
        <v>437</v>
      </c>
      <c r="AM364" t="s">
        <v>438</v>
      </c>
      <c r="AN364" t="s">
        <v>439</v>
      </c>
      <c r="AO364" t="s">
        <v>3107</v>
      </c>
      <c r="AP364" t="s">
        <v>3108</v>
      </c>
      <c r="AQ364" t="s">
        <v>74</v>
      </c>
      <c r="AR364" t="s">
        <v>3109</v>
      </c>
      <c r="AS364" t="s">
        <v>3110</v>
      </c>
      <c r="AT364" t="s">
        <v>7160</v>
      </c>
      <c r="AU364">
        <v>2023</v>
      </c>
      <c r="AV364">
        <v>18</v>
      </c>
      <c r="AW364">
        <v>2</v>
      </c>
      <c r="AX364" t="s">
        <v>74</v>
      </c>
      <c r="AY364" t="s">
        <v>74</v>
      </c>
      <c r="AZ364" t="s">
        <v>74</v>
      </c>
      <c r="BA364" t="s">
        <v>74</v>
      </c>
      <c r="BB364">
        <v>524</v>
      </c>
      <c r="BC364">
        <v>548</v>
      </c>
      <c r="BD364" t="s">
        <v>74</v>
      </c>
      <c r="BE364" t="s">
        <v>7161</v>
      </c>
      <c r="BF364" t="str">
        <f>HYPERLINK("http://dx.doi.org/10.1108/JM2-03-2021-0079","http://dx.doi.org/10.1108/JM2-03-2021-0079")</f>
        <v>http://dx.doi.org/10.1108/JM2-03-2021-0079</v>
      </c>
      <c r="BG364" t="s">
        <v>74</v>
      </c>
      <c r="BH364" t="s">
        <v>3823</v>
      </c>
      <c r="BI364">
        <v>25</v>
      </c>
      <c r="BJ364" t="s">
        <v>418</v>
      </c>
      <c r="BK364" t="s">
        <v>124</v>
      </c>
      <c r="BL364" t="s">
        <v>419</v>
      </c>
      <c r="BM364" t="s">
        <v>7162</v>
      </c>
      <c r="BN364" t="s">
        <v>74</v>
      </c>
      <c r="BO364" t="s">
        <v>74</v>
      </c>
      <c r="BP364" t="s">
        <v>74</v>
      </c>
      <c r="BQ364" t="s">
        <v>74</v>
      </c>
      <c r="BR364" t="s">
        <v>102</v>
      </c>
      <c r="BS364" t="s">
        <v>7163</v>
      </c>
      <c r="BT364" t="str">
        <f>HYPERLINK("https%3A%2F%2Fwww.webofscience.com%2Fwos%2Fwoscc%2Ffull-record%2FWOS:000749846900001","View Full Record in Web of Science")</f>
        <v>View Full Record in Web of Science</v>
      </c>
    </row>
    <row r="365" spans="1:72" x14ac:dyDescent="0.2">
      <c r="A365" t="s">
        <v>72</v>
      </c>
      <c r="B365" t="s">
        <v>7164</v>
      </c>
      <c r="C365" t="s">
        <v>74</v>
      </c>
      <c r="D365" t="s">
        <v>74</v>
      </c>
      <c r="E365" t="s">
        <v>74</v>
      </c>
      <c r="F365" t="s">
        <v>7165</v>
      </c>
      <c r="G365" t="s">
        <v>74</v>
      </c>
      <c r="H365" t="s">
        <v>74</v>
      </c>
      <c r="I365" t="s">
        <v>7166</v>
      </c>
      <c r="J365" t="s">
        <v>7167</v>
      </c>
      <c r="K365" t="s">
        <v>74</v>
      </c>
      <c r="L365" t="s">
        <v>74</v>
      </c>
      <c r="M365" t="s">
        <v>78</v>
      </c>
      <c r="N365" t="s">
        <v>482</v>
      </c>
      <c r="O365" t="s">
        <v>7168</v>
      </c>
      <c r="P365" t="s">
        <v>7169</v>
      </c>
      <c r="Q365" t="s">
        <v>7170</v>
      </c>
      <c r="R365" t="s">
        <v>74</v>
      </c>
      <c r="S365" t="s">
        <v>74</v>
      </c>
      <c r="T365" t="s">
        <v>7171</v>
      </c>
      <c r="U365" t="s">
        <v>7172</v>
      </c>
      <c r="V365" t="s">
        <v>7173</v>
      </c>
      <c r="W365" t="s">
        <v>7174</v>
      </c>
      <c r="X365" t="s">
        <v>7175</v>
      </c>
      <c r="Y365" t="s">
        <v>7176</v>
      </c>
      <c r="Z365" t="s">
        <v>7177</v>
      </c>
      <c r="AA365" t="s">
        <v>7178</v>
      </c>
      <c r="AB365" t="s">
        <v>7179</v>
      </c>
      <c r="AC365" t="s">
        <v>74</v>
      </c>
      <c r="AD365" t="s">
        <v>74</v>
      </c>
      <c r="AE365" t="s">
        <v>74</v>
      </c>
      <c r="AF365" t="s">
        <v>74</v>
      </c>
      <c r="AG365">
        <v>28</v>
      </c>
      <c r="AH365">
        <v>139</v>
      </c>
      <c r="AI365">
        <v>141</v>
      </c>
      <c r="AJ365">
        <v>0</v>
      </c>
      <c r="AK365">
        <v>39</v>
      </c>
      <c r="AL365" t="s">
        <v>209</v>
      </c>
      <c r="AM365" t="s">
        <v>210</v>
      </c>
      <c r="AN365" t="s">
        <v>211</v>
      </c>
      <c r="AO365" t="s">
        <v>7180</v>
      </c>
      <c r="AP365" t="s">
        <v>7181</v>
      </c>
      <c r="AQ365" t="s">
        <v>74</v>
      </c>
      <c r="AR365" t="s">
        <v>7182</v>
      </c>
      <c r="AS365" t="s">
        <v>7183</v>
      </c>
      <c r="AT365" t="s">
        <v>616</v>
      </c>
      <c r="AU365">
        <v>2010</v>
      </c>
      <c r="AV365">
        <v>54</v>
      </c>
      <c r="AW365">
        <v>5</v>
      </c>
      <c r="AX365" t="s">
        <v>74</v>
      </c>
      <c r="AY365" t="s">
        <v>74</v>
      </c>
      <c r="AZ365" t="s">
        <v>570</v>
      </c>
      <c r="BA365" t="s">
        <v>74</v>
      </c>
      <c r="BB365">
        <v>303</v>
      </c>
      <c r="BC365">
        <v>309</v>
      </c>
      <c r="BD365" t="s">
        <v>74</v>
      </c>
      <c r="BE365" t="s">
        <v>7184</v>
      </c>
      <c r="BF365" t="str">
        <f>HYPERLINK("http://dx.doi.org/10.1016/j.resconrec.2009.03.009","http://dx.doi.org/10.1016/j.resconrec.2009.03.009")</f>
        <v>http://dx.doi.org/10.1016/j.resconrec.2009.03.009</v>
      </c>
      <c r="BG365" t="s">
        <v>74</v>
      </c>
      <c r="BH365" t="s">
        <v>74</v>
      </c>
      <c r="BI365">
        <v>7</v>
      </c>
      <c r="BJ365" t="s">
        <v>7185</v>
      </c>
      <c r="BK365" t="s">
        <v>3093</v>
      </c>
      <c r="BL365" t="s">
        <v>7186</v>
      </c>
      <c r="BM365" t="s">
        <v>7187</v>
      </c>
      <c r="BN365" t="s">
        <v>74</v>
      </c>
      <c r="BO365" t="s">
        <v>74</v>
      </c>
      <c r="BP365" t="s">
        <v>74</v>
      </c>
      <c r="BQ365" t="s">
        <v>74</v>
      </c>
      <c r="BR365" t="s">
        <v>102</v>
      </c>
      <c r="BS365" t="s">
        <v>7188</v>
      </c>
      <c r="BT365" t="str">
        <f>HYPERLINK("https%3A%2F%2Fwww.webofscience.com%2Fwos%2Fwoscc%2Ffull-record%2FWOS:000274759700007","View Full Record in Web of Science")</f>
        <v>View Full Record in Web of Science</v>
      </c>
    </row>
    <row r="366" spans="1:72" x14ac:dyDescent="0.2">
      <c r="A366" t="s">
        <v>72</v>
      </c>
      <c r="B366" t="s">
        <v>7189</v>
      </c>
      <c r="C366" t="s">
        <v>74</v>
      </c>
      <c r="D366" t="s">
        <v>74</v>
      </c>
      <c r="E366" t="s">
        <v>74</v>
      </c>
      <c r="F366" t="s">
        <v>7190</v>
      </c>
      <c r="G366" t="s">
        <v>74</v>
      </c>
      <c r="H366" t="s">
        <v>74</v>
      </c>
      <c r="I366" t="s">
        <v>7191</v>
      </c>
      <c r="J366" t="s">
        <v>762</v>
      </c>
      <c r="K366" t="s">
        <v>74</v>
      </c>
      <c r="L366" t="s">
        <v>74</v>
      </c>
      <c r="M366" t="s">
        <v>78</v>
      </c>
      <c r="N366" t="s">
        <v>79</v>
      </c>
      <c r="O366" t="s">
        <v>74</v>
      </c>
      <c r="P366" t="s">
        <v>74</v>
      </c>
      <c r="Q366" t="s">
        <v>74</v>
      </c>
      <c r="R366" t="s">
        <v>74</v>
      </c>
      <c r="S366" t="s">
        <v>74</v>
      </c>
      <c r="T366" t="s">
        <v>7192</v>
      </c>
      <c r="U366" t="s">
        <v>7193</v>
      </c>
      <c r="V366" t="s">
        <v>7194</v>
      </c>
      <c r="W366" t="s">
        <v>7195</v>
      </c>
      <c r="X366" t="s">
        <v>7196</v>
      </c>
      <c r="Y366" t="s">
        <v>7197</v>
      </c>
      <c r="Z366" t="s">
        <v>6558</v>
      </c>
      <c r="AA366" t="s">
        <v>7198</v>
      </c>
      <c r="AB366" t="s">
        <v>7199</v>
      </c>
      <c r="AC366" t="s">
        <v>7200</v>
      </c>
      <c r="AD366" t="s">
        <v>5522</v>
      </c>
      <c r="AE366" t="s">
        <v>7201</v>
      </c>
      <c r="AF366" t="s">
        <v>74</v>
      </c>
      <c r="AG366">
        <v>176</v>
      </c>
      <c r="AH366">
        <v>6</v>
      </c>
      <c r="AI366">
        <v>6</v>
      </c>
      <c r="AJ366">
        <v>10</v>
      </c>
      <c r="AK366">
        <v>71</v>
      </c>
      <c r="AL366" t="s">
        <v>279</v>
      </c>
      <c r="AM366" t="s">
        <v>280</v>
      </c>
      <c r="AN366" t="s">
        <v>281</v>
      </c>
      <c r="AO366" t="s">
        <v>773</v>
      </c>
      <c r="AP366" t="s">
        <v>774</v>
      </c>
      <c r="AQ366" t="s">
        <v>74</v>
      </c>
      <c r="AR366" t="s">
        <v>775</v>
      </c>
      <c r="AS366" t="s">
        <v>776</v>
      </c>
      <c r="AT366" t="s">
        <v>7202</v>
      </c>
      <c r="AU366">
        <v>2022</v>
      </c>
      <c r="AV366">
        <v>60</v>
      </c>
      <c r="AW366">
        <v>17</v>
      </c>
      <c r="AX366" t="s">
        <v>74</v>
      </c>
      <c r="AY366" t="s">
        <v>74</v>
      </c>
      <c r="AZ366" t="s">
        <v>74</v>
      </c>
      <c r="BA366" t="s">
        <v>74</v>
      </c>
      <c r="BB366">
        <v>5407</v>
      </c>
      <c r="BC366">
        <v>5431</v>
      </c>
      <c r="BD366" t="s">
        <v>74</v>
      </c>
      <c r="BE366" t="s">
        <v>7203</v>
      </c>
      <c r="BF366" t="str">
        <f>HYPERLINK("http://dx.doi.org/10.1080/00207543.2021.1956695","http://dx.doi.org/10.1080/00207543.2021.1956695")</f>
        <v>http://dx.doi.org/10.1080/00207543.2021.1956695</v>
      </c>
      <c r="BG366" t="s">
        <v>74</v>
      </c>
      <c r="BH366" t="s">
        <v>1056</v>
      </c>
      <c r="BI366">
        <v>25</v>
      </c>
      <c r="BJ366" t="s">
        <v>780</v>
      </c>
      <c r="BK366" t="s">
        <v>98</v>
      </c>
      <c r="BL366" t="s">
        <v>781</v>
      </c>
      <c r="BM366" t="s">
        <v>7204</v>
      </c>
      <c r="BN366" t="s">
        <v>74</v>
      </c>
      <c r="BO366" t="s">
        <v>1833</v>
      </c>
      <c r="BP366" t="s">
        <v>74</v>
      </c>
      <c r="BQ366" t="s">
        <v>74</v>
      </c>
      <c r="BR366" t="s">
        <v>102</v>
      </c>
      <c r="BS366" t="s">
        <v>7205</v>
      </c>
      <c r="BT366" t="str">
        <f>HYPERLINK("https%3A%2F%2Fwww.webofscience.com%2Fwos%2Fwoscc%2Ffull-record%2FWOS:000676032200001","View Full Record in Web of Science")</f>
        <v>View Full Record in Web of Science</v>
      </c>
    </row>
    <row r="367" spans="1:72" x14ac:dyDescent="0.2">
      <c r="A367" t="s">
        <v>72</v>
      </c>
      <c r="B367" t="s">
        <v>7206</v>
      </c>
      <c r="C367" t="s">
        <v>74</v>
      </c>
      <c r="D367" t="s">
        <v>74</v>
      </c>
      <c r="E367" t="s">
        <v>74</v>
      </c>
      <c r="F367" t="s">
        <v>7207</v>
      </c>
      <c r="G367" t="s">
        <v>74</v>
      </c>
      <c r="H367" t="s">
        <v>74</v>
      </c>
      <c r="I367" t="s">
        <v>7208</v>
      </c>
      <c r="J367" t="s">
        <v>7209</v>
      </c>
      <c r="K367" t="s">
        <v>74</v>
      </c>
      <c r="L367" t="s">
        <v>74</v>
      </c>
      <c r="M367" t="s">
        <v>78</v>
      </c>
      <c r="N367" t="s">
        <v>108</v>
      </c>
      <c r="O367" t="s">
        <v>74</v>
      </c>
      <c r="P367" t="s">
        <v>74</v>
      </c>
      <c r="Q367" t="s">
        <v>74</v>
      </c>
      <c r="R367" t="s">
        <v>74</v>
      </c>
      <c r="S367" t="s">
        <v>74</v>
      </c>
      <c r="T367" t="s">
        <v>7210</v>
      </c>
      <c r="U367" t="s">
        <v>7211</v>
      </c>
      <c r="V367" t="s">
        <v>7212</v>
      </c>
      <c r="W367" t="s">
        <v>7213</v>
      </c>
      <c r="X367" t="s">
        <v>7214</v>
      </c>
      <c r="Y367" t="s">
        <v>7215</v>
      </c>
      <c r="Z367" t="s">
        <v>7216</v>
      </c>
      <c r="AA367" t="s">
        <v>74</v>
      </c>
      <c r="AB367" t="s">
        <v>7217</v>
      </c>
      <c r="AC367" t="s">
        <v>74</v>
      </c>
      <c r="AD367" t="s">
        <v>74</v>
      </c>
      <c r="AE367" t="s">
        <v>74</v>
      </c>
      <c r="AF367" t="s">
        <v>74</v>
      </c>
      <c r="AG367">
        <v>28</v>
      </c>
      <c r="AH367">
        <v>1</v>
      </c>
      <c r="AI367">
        <v>1</v>
      </c>
      <c r="AJ367">
        <v>1</v>
      </c>
      <c r="AK367">
        <v>4</v>
      </c>
      <c r="AL367" t="s">
        <v>209</v>
      </c>
      <c r="AM367" t="s">
        <v>210</v>
      </c>
      <c r="AN367" t="s">
        <v>211</v>
      </c>
      <c r="AO367" t="s">
        <v>7218</v>
      </c>
      <c r="AP367" t="s">
        <v>7219</v>
      </c>
      <c r="AQ367" t="s">
        <v>74</v>
      </c>
      <c r="AR367" t="s">
        <v>7220</v>
      </c>
      <c r="AS367" t="s">
        <v>7221</v>
      </c>
      <c r="AT367" t="s">
        <v>74</v>
      </c>
      <c r="AU367">
        <v>2022</v>
      </c>
      <c r="AV367">
        <v>11</v>
      </c>
      <c r="AW367" t="s">
        <v>74</v>
      </c>
      <c r="AX367" t="s">
        <v>74</v>
      </c>
      <c r="AY367" t="s">
        <v>74</v>
      </c>
      <c r="AZ367" t="s">
        <v>74</v>
      </c>
      <c r="BA367" t="s">
        <v>74</v>
      </c>
      <c r="BB367" t="s">
        <v>74</v>
      </c>
      <c r="BC367" t="s">
        <v>74</v>
      </c>
      <c r="BD367">
        <v>100091</v>
      </c>
      <c r="BE367" t="s">
        <v>7222</v>
      </c>
      <c r="BF367" t="str">
        <f>HYPERLINK("http://dx.doi.org/10.1016/j.ejtl.2022.100091","http://dx.doi.org/10.1016/j.ejtl.2022.100091")</f>
        <v>http://dx.doi.org/10.1016/j.ejtl.2022.100091</v>
      </c>
      <c r="BG367" t="s">
        <v>74</v>
      </c>
      <c r="BH367" t="s">
        <v>4492</v>
      </c>
      <c r="BI367">
        <v>14</v>
      </c>
      <c r="BJ367" t="s">
        <v>7223</v>
      </c>
      <c r="BK367" t="s">
        <v>124</v>
      </c>
      <c r="BL367" t="s">
        <v>7224</v>
      </c>
      <c r="BM367" t="s">
        <v>7225</v>
      </c>
      <c r="BN367" t="s">
        <v>74</v>
      </c>
      <c r="BO367" t="s">
        <v>126</v>
      </c>
      <c r="BP367" t="s">
        <v>74</v>
      </c>
      <c r="BQ367" t="s">
        <v>74</v>
      </c>
      <c r="BR367" t="s">
        <v>102</v>
      </c>
      <c r="BS367" t="s">
        <v>7226</v>
      </c>
      <c r="BT367" t="str">
        <f>HYPERLINK("https%3A%2F%2Fwww.webofscience.com%2Fwos%2Fwoscc%2Ffull-record%2FWOS:000862591900001","View Full Record in Web of Science")</f>
        <v>View Full Record in Web of Science</v>
      </c>
    </row>
    <row r="368" spans="1:72" x14ac:dyDescent="0.2">
      <c r="A368" t="s">
        <v>72</v>
      </c>
      <c r="B368" t="s">
        <v>7227</v>
      </c>
      <c r="C368" t="s">
        <v>74</v>
      </c>
      <c r="D368" t="s">
        <v>74</v>
      </c>
      <c r="E368" t="s">
        <v>74</v>
      </c>
      <c r="F368" t="s">
        <v>7228</v>
      </c>
      <c r="G368" t="s">
        <v>74</v>
      </c>
      <c r="H368" t="s">
        <v>74</v>
      </c>
      <c r="I368" t="s">
        <v>7229</v>
      </c>
      <c r="J368" t="s">
        <v>7230</v>
      </c>
      <c r="K368" t="s">
        <v>74</v>
      </c>
      <c r="L368" t="s">
        <v>74</v>
      </c>
      <c r="M368" t="s">
        <v>78</v>
      </c>
      <c r="N368" t="s">
        <v>108</v>
      </c>
      <c r="O368" t="s">
        <v>74</v>
      </c>
      <c r="P368" t="s">
        <v>74</v>
      </c>
      <c r="Q368" t="s">
        <v>74</v>
      </c>
      <c r="R368" t="s">
        <v>74</v>
      </c>
      <c r="S368" t="s">
        <v>74</v>
      </c>
      <c r="T368" t="s">
        <v>7231</v>
      </c>
      <c r="U368" t="s">
        <v>74</v>
      </c>
      <c r="V368" t="s">
        <v>7232</v>
      </c>
      <c r="W368" t="s">
        <v>7233</v>
      </c>
      <c r="X368" t="s">
        <v>7234</v>
      </c>
      <c r="Y368" t="s">
        <v>7235</v>
      </c>
      <c r="Z368" t="s">
        <v>7236</v>
      </c>
      <c r="AA368" t="s">
        <v>7237</v>
      </c>
      <c r="AB368" t="s">
        <v>7238</v>
      </c>
      <c r="AC368" t="s">
        <v>7239</v>
      </c>
      <c r="AD368" t="s">
        <v>7240</v>
      </c>
      <c r="AE368" t="s">
        <v>7241</v>
      </c>
      <c r="AF368" t="s">
        <v>74</v>
      </c>
      <c r="AG368">
        <v>25</v>
      </c>
      <c r="AH368">
        <v>1</v>
      </c>
      <c r="AI368">
        <v>1</v>
      </c>
      <c r="AJ368">
        <v>1</v>
      </c>
      <c r="AK368">
        <v>11</v>
      </c>
      <c r="AL368" t="s">
        <v>279</v>
      </c>
      <c r="AM368" t="s">
        <v>280</v>
      </c>
      <c r="AN368" t="s">
        <v>281</v>
      </c>
      <c r="AO368" t="s">
        <v>7242</v>
      </c>
      <c r="AP368" t="s">
        <v>7243</v>
      </c>
      <c r="AQ368" t="s">
        <v>74</v>
      </c>
      <c r="AR368" t="s">
        <v>7244</v>
      </c>
      <c r="AS368" t="s">
        <v>7245</v>
      </c>
      <c r="AT368" t="s">
        <v>74</v>
      </c>
      <c r="AU368">
        <v>2020</v>
      </c>
      <c r="AV368">
        <v>7</v>
      </c>
      <c r="AW368">
        <v>2</v>
      </c>
      <c r="AX368" t="s">
        <v>74</v>
      </c>
      <c r="AY368" t="s">
        <v>74</v>
      </c>
      <c r="AZ368" t="s">
        <v>74</v>
      </c>
      <c r="BA368" t="s">
        <v>74</v>
      </c>
      <c r="BB368">
        <v>121</v>
      </c>
      <c r="BC368">
        <v>132</v>
      </c>
      <c r="BD368" t="s">
        <v>74</v>
      </c>
      <c r="BE368" t="s">
        <v>7246</v>
      </c>
      <c r="BF368" t="str">
        <f>HYPERLINK("http://dx.doi.org/10.1080/23302674.2018.1533046","http://dx.doi.org/10.1080/23302674.2018.1533046")</f>
        <v>http://dx.doi.org/10.1080/23302674.2018.1533046</v>
      </c>
      <c r="BG368" t="s">
        <v>74</v>
      </c>
      <c r="BH368" t="s">
        <v>74</v>
      </c>
      <c r="BI368">
        <v>12</v>
      </c>
      <c r="BJ368" t="s">
        <v>2642</v>
      </c>
      <c r="BK368" t="s">
        <v>98</v>
      </c>
      <c r="BL368" t="s">
        <v>781</v>
      </c>
      <c r="BM368" t="s">
        <v>7247</v>
      </c>
      <c r="BN368" t="s">
        <v>74</v>
      </c>
      <c r="BO368" t="s">
        <v>74</v>
      </c>
      <c r="BP368" t="s">
        <v>74</v>
      </c>
      <c r="BQ368" t="s">
        <v>74</v>
      </c>
      <c r="BR368" t="s">
        <v>102</v>
      </c>
      <c r="BS368" t="s">
        <v>7248</v>
      </c>
      <c r="BT368" t="str">
        <f>HYPERLINK("https%3A%2F%2Fwww.webofscience.com%2Fwos%2Fwoscc%2Ffull-record%2FWOS:000616241500002","View Full Record in Web of Science")</f>
        <v>View Full Record in Web of Science</v>
      </c>
    </row>
    <row r="369" spans="1:72" x14ac:dyDescent="0.2">
      <c r="A369" t="s">
        <v>72</v>
      </c>
      <c r="B369" t="s">
        <v>7249</v>
      </c>
      <c r="C369" t="s">
        <v>74</v>
      </c>
      <c r="D369" t="s">
        <v>74</v>
      </c>
      <c r="E369" t="s">
        <v>74</v>
      </c>
      <c r="F369" t="s">
        <v>7250</v>
      </c>
      <c r="G369" t="s">
        <v>74</v>
      </c>
      <c r="H369" t="s">
        <v>74</v>
      </c>
      <c r="I369" t="s">
        <v>7251</v>
      </c>
      <c r="J369" t="s">
        <v>4172</v>
      </c>
      <c r="K369" t="s">
        <v>74</v>
      </c>
      <c r="L369" t="s">
        <v>74</v>
      </c>
      <c r="M369" t="s">
        <v>78</v>
      </c>
      <c r="N369" t="s">
        <v>79</v>
      </c>
      <c r="O369" t="s">
        <v>74</v>
      </c>
      <c r="P369" t="s">
        <v>74</v>
      </c>
      <c r="Q369" t="s">
        <v>74</v>
      </c>
      <c r="R369" t="s">
        <v>74</v>
      </c>
      <c r="S369" t="s">
        <v>74</v>
      </c>
      <c r="T369" t="s">
        <v>7252</v>
      </c>
      <c r="U369" t="s">
        <v>7253</v>
      </c>
      <c r="V369" t="s">
        <v>7254</v>
      </c>
      <c r="W369" t="s">
        <v>7255</v>
      </c>
      <c r="X369" t="s">
        <v>7256</v>
      </c>
      <c r="Y369" t="s">
        <v>7257</v>
      </c>
      <c r="Z369" t="s">
        <v>6685</v>
      </c>
      <c r="AA369" t="s">
        <v>7258</v>
      </c>
      <c r="AB369" t="s">
        <v>7259</v>
      </c>
      <c r="AC369" t="s">
        <v>74</v>
      </c>
      <c r="AD369" t="s">
        <v>74</v>
      </c>
      <c r="AE369" t="s">
        <v>74</v>
      </c>
      <c r="AF369" t="s">
        <v>74</v>
      </c>
      <c r="AG369">
        <v>134</v>
      </c>
      <c r="AH369">
        <v>135</v>
      </c>
      <c r="AI369">
        <v>137</v>
      </c>
      <c r="AJ369">
        <v>15</v>
      </c>
      <c r="AK369">
        <v>326</v>
      </c>
      <c r="AL369" t="s">
        <v>543</v>
      </c>
      <c r="AM369" t="s">
        <v>260</v>
      </c>
      <c r="AN369" t="s">
        <v>544</v>
      </c>
      <c r="AO369" t="s">
        <v>4180</v>
      </c>
      <c r="AP369" t="s">
        <v>4181</v>
      </c>
      <c r="AQ369" t="s">
        <v>74</v>
      </c>
      <c r="AR369" t="s">
        <v>4182</v>
      </c>
      <c r="AS369" t="s">
        <v>4183</v>
      </c>
      <c r="AT369" t="s">
        <v>174</v>
      </c>
      <c r="AU369">
        <v>2018</v>
      </c>
      <c r="AV369">
        <v>98</v>
      </c>
      <c r="AW369" t="s">
        <v>74</v>
      </c>
      <c r="AX369" t="s">
        <v>74</v>
      </c>
      <c r="AY369" t="s">
        <v>74</v>
      </c>
      <c r="AZ369" t="s">
        <v>74</v>
      </c>
      <c r="BA369" t="s">
        <v>74</v>
      </c>
      <c r="BB369">
        <v>254</v>
      </c>
      <c r="BC369">
        <v>264</v>
      </c>
      <c r="BD369" t="s">
        <v>74</v>
      </c>
      <c r="BE369" t="s">
        <v>7260</v>
      </c>
      <c r="BF369" t="str">
        <f>HYPERLINK("http://dx.doi.org/10.1016/j.cor.2017.07.004","http://dx.doi.org/10.1016/j.cor.2017.07.004")</f>
        <v>http://dx.doi.org/10.1016/j.cor.2017.07.004</v>
      </c>
      <c r="BG369" t="s">
        <v>74</v>
      </c>
      <c r="BH369" t="s">
        <v>74</v>
      </c>
      <c r="BI369">
        <v>11</v>
      </c>
      <c r="BJ369" t="s">
        <v>4185</v>
      </c>
      <c r="BK369" t="s">
        <v>147</v>
      </c>
      <c r="BL369" t="s">
        <v>2060</v>
      </c>
      <c r="BM369" t="s">
        <v>7261</v>
      </c>
      <c r="BN369" t="s">
        <v>74</v>
      </c>
      <c r="BO369" t="s">
        <v>889</v>
      </c>
      <c r="BP369" t="s">
        <v>74</v>
      </c>
      <c r="BQ369" t="s">
        <v>74</v>
      </c>
      <c r="BR369" t="s">
        <v>102</v>
      </c>
      <c r="BS369" t="s">
        <v>7262</v>
      </c>
      <c r="BT369" t="str">
        <f>HYPERLINK("https%3A%2F%2Fwww.webofscience.com%2Fwos%2Fwoscc%2Ffull-record%2FWOS:000440526800020","View Full Record in Web of Science")</f>
        <v>View Full Record in Web of Science</v>
      </c>
    </row>
    <row r="370" spans="1:72" x14ac:dyDescent="0.2">
      <c r="A370" t="s">
        <v>72</v>
      </c>
      <c r="B370" t="s">
        <v>7263</v>
      </c>
      <c r="C370" t="s">
        <v>74</v>
      </c>
      <c r="D370" t="s">
        <v>74</v>
      </c>
      <c r="E370" t="s">
        <v>74</v>
      </c>
      <c r="F370" t="s">
        <v>7264</v>
      </c>
      <c r="G370" t="s">
        <v>74</v>
      </c>
      <c r="H370" t="s">
        <v>74</v>
      </c>
      <c r="I370" t="s">
        <v>7265</v>
      </c>
      <c r="J370" t="s">
        <v>7266</v>
      </c>
      <c r="K370" t="s">
        <v>74</v>
      </c>
      <c r="L370" t="s">
        <v>74</v>
      </c>
      <c r="M370" t="s">
        <v>78</v>
      </c>
      <c r="N370" t="s">
        <v>108</v>
      </c>
      <c r="O370" t="s">
        <v>74</v>
      </c>
      <c r="P370" t="s">
        <v>74</v>
      </c>
      <c r="Q370" t="s">
        <v>74</v>
      </c>
      <c r="R370" t="s">
        <v>74</v>
      </c>
      <c r="S370" t="s">
        <v>74</v>
      </c>
      <c r="T370" t="s">
        <v>7267</v>
      </c>
      <c r="U370" t="s">
        <v>7268</v>
      </c>
      <c r="V370" t="s">
        <v>7269</v>
      </c>
      <c r="W370" t="s">
        <v>7270</v>
      </c>
      <c r="X370" t="s">
        <v>7271</v>
      </c>
      <c r="Y370" t="s">
        <v>7272</v>
      </c>
      <c r="Z370" t="s">
        <v>7273</v>
      </c>
      <c r="AA370" t="s">
        <v>4645</v>
      </c>
      <c r="AB370" t="s">
        <v>4441</v>
      </c>
      <c r="AC370" t="s">
        <v>74</v>
      </c>
      <c r="AD370" t="s">
        <v>74</v>
      </c>
      <c r="AE370" t="s">
        <v>74</v>
      </c>
      <c r="AF370" t="s">
        <v>74</v>
      </c>
      <c r="AG370">
        <v>34</v>
      </c>
      <c r="AH370">
        <v>13</v>
      </c>
      <c r="AI370">
        <v>13</v>
      </c>
      <c r="AJ370">
        <v>0</v>
      </c>
      <c r="AK370">
        <v>18</v>
      </c>
      <c r="AL370" t="s">
        <v>7274</v>
      </c>
      <c r="AM370" t="s">
        <v>7275</v>
      </c>
      <c r="AN370" t="s">
        <v>7276</v>
      </c>
      <c r="AO370" t="s">
        <v>7277</v>
      </c>
      <c r="AP370" t="s">
        <v>7278</v>
      </c>
      <c r="AQ370" t="s">
        <v>74</v>
      </c>
      <c r="AR370" t="s">
        <v>7279</v>
      </c>
      <c r="AS370" t="s">
        <v>7280</v>
      </c>
      <c r="AT370" t="s">
        <v>6330</v>
      </c>
      <c r="AU370">
        <v>2017</v>
      </c>
      <c r="AV370">
        <v>51</v>
      </c>
      <c r="AW370">
        <v>1</v>
      </c>
      <c r="AX370" t="s">
        <v>74</v>
      </c>
      <c r="AY370" t="s">
        <v>74</v>
      </c>
      <c r="AZ370" t="s">
        <v>74</v>
      </c>
      <c r="BA370" t="s">
        <v>74</v>
      </c>
      <c r="BB370">
        <v>135</v>
      </c>
      <c r="BC370">
        <v>155</v>
      </c>
      <c r="BD370" t="s">
        <v>74</v>
      </c>
      <c r="BE370" t="s">
        <v>7281</v>
      </c>
      <c r="BF370" t="str">
        <f>HYPERLINK("http://dx.doi.org/10.1051/ro/2016010","http://dx.doi.org/10.1051/ro/2016010")</f>
        <v>http://dx.doi.org/10.1051/ro/2016010</v>
      </c>
      <c r="BG370" t="s">
        <v>74</v>
      </c>
      <c r="BH370" t="s">
        <v>74</v>
      </c>
      <c r="BI370">
        <v>21</v>
      </c>
      <c r="BJ370" t="s">
        <v>330</v>
      </c>
      <c r="BK370" t="s">
        <v>147</v>
      </c>
      <c r="BL370" t="s">
        <v>330</v>
      </c>
      <c r="BM370" t="s">
        <v>7282</v>
      </c>
      <c r="BN370" t="s">
        <v>74</v>
      </c>
      <c r="BO370" t="s">
        <v>74</v>
      </c>
      <c r="BP370" t="s">
        <v>74</v>
      </c>
      <c r="BQ370" t="s">
        <v>74</v>
      </c>
      <c r="BR370" t="s">
        <v>102</v>
      </c>
      <c r="BS370" t="s">
        <v>7283</v>
      </c>
      <c r="BT370" t="str">
        <f>HYPERLINK("https%3A%2F%2Fwww.webofscience.com%2Fwos%2Fwoscc%2Ffull-record%2FWOS:000393346700008","View Full Record in Web of Science")</f>
        <v>View Full Record in Web of Science</v>
      </c>
    </row>
    <row r="371" spans="1:72" x14ac:dyDescent="0.2">
      <c r="A371" t="s">
        <v>72</v>
      </c>
      <c r="B371" t="s">
        <v>7284</v>
      </c>
      <c r="C371" t="s">
        <v>74</v>
      </c>
      <c r="D371" t="s">
        <v>74</v>
      </c>
      <c r="E371" t="s">
        <v>74</v>
      </c>
      <c r="F371" t="s">
        <v>7285</v>
      </c>
      <c r="G371" t="s">
        <v>74</v>
      </c>
      <c r="H371" t="s">
        <v>74</v>
      </c>
      <c r="I371" t="s">
        <v>7286</v>
      </c>
      <c r="J371" t="s">
        <v>2544</v>
      </c>
      <c r="K371" t="s">
        <v>74</v>
      </c>
      <c r="L371" t="s">
        <v>74</v>
      </c>
      <c r="M371" t="s">
        <v>78</v>
      </c>
      <c r="N371" t="s">
        <v>108</v>
      </c>
      <c r="O371" t="s">
        <v>74</v>
      </c>
      <c r="P371" t="s">
        <v>74</v>
      </c>
      <c r="Q371" t="s">
        <v>74</v>
      </c>
      <c r="R371" t="s">
        <v>74</v>
      </c>
      <c r="S371" t="s">
        <v>74</v>
      </c>
      <c r="T371" t="s">
        <v>7287</v>
      </c>
      <c r="U371" t="s">
        <v>7288</v>
      </c>
      <c r="V371" t="s">
        <v>7289</v>
      </c>
      <c r="W371" t="s">
        <v>7290</v>
      </c>
      <c r="X371" t="s">
        <v>7291</v>
      </c>
      <c r="Y371" t="s">
        <v>7292</v>
      </c>
      <c r="Z371" t="s">
        <v>7293</v>
      </c>
      <c r="AA371" t="s">
        <v>74</v>
      </c>
      <c r="AB371" t="s">
        <v>74</v>
      </c>
      <c r="AC371" t="s">
        <v>7294</v>
      </c>
      <c r="AD371" t="s">
        <v>7295</v>
      </c>
      <c r="AE371" t="s">
        <v>7296</v>
      </c>
      <c r="AF371" t="s">
        <v>74</v>
      </c>
      <c r="AG371">
        <v>42</v>
      </c>
      <c r="AH371">
        <v>2</v>
      </c>
      <c r="AI371">
        <v>3</v>
      </c>
      <c r="AJ371">
        <v>1</v>
      </c>
      <c r="AK371">
        <v>17</v>
      </c>
      <c r="AL371" t="s">
        <v>321</v>
      </c>
      <c r="AM371" t="s">
        <v>348</v>
      </c>
      <c r="AN371" t="s">
        <v>2555</v>
      </c>
      <c r="AO371" t="s">
        <v>2556</v>
      </c>
      <c r="AP371" t="s">
        <v>2557</v>
      </c>
      <c r="AQ371" t="s">
        <v>74</v>
      </c>
      <c r="AR371" t="s">
        <v>2558</v>
      </c>
      <c r="AS371" t="s">
        <v>2559</v>
      </c>
      <c r="AT371" t="s">
        <v>121</v>
      </c>
      <c r="AU371">
        <v>2019</v>
      </c>
      <c r="AV371">
        <v>22</v>
      </c>
      <c r="AW371" t="s">
        <v>74</v>
      </c>
      <c r="AX371" t="s">
        <v>74</v>
      </c>
      <c r="AY371">
        <v>4</v>
      </c>
      <c r="AZ371" t="s">
        <v>74</v>
      </c>
      <c r="BA371" t="s">
        <v>74</v>
      </c>
      <c r="BB371" t="s">
        <v>7297</v>
      </c>
      <c r="BC371" t="s">
        <v>7298</v>
      </c>
      <c r="BD371" t="s">
        <v>74</v>
      </c>
      <c r="BE371" t="s">
        <v>7299</v>
      </c>
      <c r="BF371" t="str">
        <f>HYPERLINK("http://dx.doi.org/10.1007/s10586-017-1281-x","http://dx.doi.org/10.1007/s10586-017-1281-x")</f>
        <v>http://dx.doi.org/10.1007/s10586-017-1281-x</v>
      </c>
      <c r="BG371" t="s">
        <v>74</v>
      </c>
      <c r="BH371" t="s">
        <v>74</v>
      </c>
      <c r="BI371">
        <v>9</v>
      </c>
      <c r="BJ371" t="s">
        <v>2563</v>
      </c>
      <c r="BK371" t="s">
        <v>147</v>
      </c>
      <c r="BL371" t="s">
        <v>99</v>
      </c>
      <c r="BM371" t="s">
        <v>2564</v>
      </c>
      <c r="BN371" t="s">
        <v>74</v>
      </c>
      <c r="BO371" t="s">
        <v>74</v>
      </c>
      <c r="BP371" t="s">
        <v>74</v>
      </c>
      <c r="BQ371" t="s">
        <v>74</v>
      </c>
      <c r="BR371" t="s">
        <v>102</v>
      </c>
      <c r="BS371" t="s">
        <v>7300</v>
      </c>
      <c r="BT371" t="str">
        <f>HYPERLINK("https%3A%2F%2Fwww.webofscience.com%2Fwos%2Fwoscc%2Ffull-record%2FWOS:000502007000243","View Full Record in Web of Science")</f>
        <v>View Full Record in Web of Science</v>
      </c>
    </row>
    <row r="372" spans="1:72" x14ac:dyDescent="0.2">
      <c r="A372" t="s">
        <v>72</v>
      </c>
      <c r="B372" t="s">
        <v>7301</v>
      </c>
      <c r="C372" t="s">
        <v>74</v>
      </c>
      <c r="D372" t="s">
        <v>74</v>
      </c>
      <c r="E372" t="s">
        <v>74</v>
      </c>
      <c r="F372" t="s">
        <v>7302</v>
      </c>
      <c r="G372" t="s">
        <v>74</v>
      </c>
      <c r="H372" t="s">
        <v>74</v>
      </c>
      <c r="I372" t="s">
        <v>7303</v>
      </c>
      <c r="J372" t="s">
        <v>2042</v>
      </c>
      <c r="K372" t="s">
        <v>74</v>
      </c>
      <c r="L372" t="s">
        <v>74</v>
      </c>
      <c r="M372" t="s">
        <v>78</v>
      </c>
      <c r="N372" t="s">
        <v>108</v>
      </c>
      <c r="O372" t="s">
        <v>74</v>
      </c>
      <c r="P372" t="s">
        <v>74</v>
      </c>
      <c r="Q372" t="s">
        <v>74</v>
      </c>
      <c r="R372" t="s">
        <v>74</v>
      </c>
      <c r="S372" t="s">
        <v>74</v>
      </c>
      <c r="T372" t="s">
        <v>7304</v>
      </c>
      <c r="U372" t="s">
        <v>7305</v>
      </c>
      <c r="V372" t="s">
        <v>7306</v>
      </c>
      <c r="W372" t="s">
        <v>7307</v>
      </c>
      <c r="X372" t="s">
        <v>4072</v>
      </c>
      <c r="Y372" t="s">
        <v>4644</v>
      </c>
      <c r="Z372" t="s">
        <v>4439</v>
      </c>
      <c r="AA372" t="s">
        <v>4645</v>
      </c>
      <c r="AB372" t="s">
        <v>4441</v>
      </c>
      <c r="AC372" t="s">
        <v>74</v>
      </c>
      <c r="AD372" t="s">
        <v>74</v>
      </c>
      <c r="AE372" t="s">
        <v>74</v>
      </c>
      <c r="AF372" t="s">
        <v>74</v>
      </c>
      <c r="AG372">
        <v>44</v>
      </c>
      <c r="AH372">
        <v>52</v>
      </c>
      <c r="AI372">
        <v>55</v>
      </c>
      <c r="AJ372">
        <v>2</v>
      </c>
      <c r="AK372">
        <v>34</v>
      </c>
      <c r="AL372" t="s">
        <v>543</v>
      </c>
      <c r="AM372" t="s">
        <v>260</v>
      </c>
      <c r="AN372" t="s">
        <v>544</v>
      </c>
      <c r="AO372" t="s">
        <v>2054</v>
      </c>
      <c r="AP372" t="s">
        <v>2055</v>
      </c>
      <c r="AQ372" t="s">
        <v>74</v>
      </c>
      <c r="AR372" t="s">
        <v>2056</v>
      </c>
      <c r="AS372" t="s">
        <v>2057</v>
      </c>
      <c r="AT372" t="s">
        <v>372</v>
      </c>
      <c r="AU372">
        <v>2008</v>
      </c>
      <c r="AV372">
        <v>34</v>
      </c>
      <c r="AW372">
        <v>1</v>
      </c>
      <c r="AX372" t="s">
        <v>74</v>
      </c>
      <c r="AY372" t="s">
        <v>74</v>
      </c>
      <c r="AZ372" t="s">
        <v>74</v>
      </c>
      <c r="BA372" t="s">
        <v>74</v>
      </c>
      <c r="BB372">
        <v>50</v>
      </c>
      <c r="BC372">
        <v>62</v>
      </c>
      <c r="BD372" t="s">
        <v>74</v>
      </c>
      <c r="BE372" t="s">
        <v>7308</v>
      </c>
      <c r="BF372" t="str">
        <f>HYPERLINK("http://dx.doi.org/10.1016/j.eswa.2006.08.027","http://dx.doi.org/10.1016/j.eswa.2006.08.027")</f>
        <v>http://dx.doi.org/10.1016/j.eswa.2006.08.027</v>
      </c>
      <c r="BG372" t="s">
        <v>74</v>
      </c>
      <c r="BH372" t="s">
        <v>74</v>
      </c>
      <c r="BI372">
        <v>13</v>
      </c>
      <c r="BJ372" t="s">
        <v>2059</v>
      </c>
      <c r="BK372" t="s">
        <v>147</v>
      </c>
      <c r="BL372" t="s">
        <v>2060</v>
      </c>
      <c r="BM372" t="s">
        <v>7309</v>
      </c>
      <c r="BN372" t="s">
        <v>74</v>
      </c>
      <c r="BO372" t="s">
        <v>74</v>
      </c>
      <c r="BP372" t="s">
        <v>74</v>
      </c>
      <c r="BQ372" t="s">
        <v>74</v>
      </c>
      <c r="BR372" t="s">
        <v>102</v>
      </c>
      <c r="BS372" t="s">
        <v>7310</v>
      </c>
      <c r="BT372" t="str">
        <f>HYPERLINK("https%3A%2F%2Fwww.webofscience.com%2Fwos%2Fwoscc%2Ffull-record%2FWOS:000250295300005","View Full Record in Web of Science")</f>
        <v>View Full Record in Web of Science</v>
      </c>
    </row>
    <row r="373" spans="1:72" x14ac:dyDescent="0.2">
      <c r="A373" t="s">
        <v>72</v>
      </c>
      <c r="B373" t="s">
        <v>7311</v>
      </c>
      <c r="C373" t="s">
        <v>74</v>
      </c>
      <c r="D373" t="s">
        <v>74</v>
      </c>
      <c r="E373" t="s">
        <v>74</v>
      </c>
      <c r="F373" t="s">
        <v>7312</v>
      </c>
      <c r="G373" t="s">
        <v>74</v>
      </c>
      <c r="H373" t="s">
        <v>74</v>
      </c>
      <c r="I373" t="s">
        <v>7313</v>
      </c>
      <c r="J373" t="s">
        <v>1200</v>
      </c>
      <c r="K373" t="s">
        <v>74</v>
      </c>
      <c r="L373" t="s">
        <v>74</v>
      </c>
      <c r="M373" t="s">
        <v>78</v>
      </c>
      <c r="N373" t="s">
        <v>108</v>
      </c>
      <c r="O373" t="s">
        <v>74</v>
      </c>
      <c r="P373" t="s">
        <v>74</v>
      </c>
      <c r="Q373" t="s">
        <v>74</v>
      </c>
      <c r="R373" t="s">
        <v>74</v>
      </c>
      <c r="S373" t="s">
        <v>74</v>
      </c>
      <c r="T373" t="s">
        <v>7314</v>
      </c>
      <c r="U373" t="s">
        <v>7315</v>
      </c>
      <c r="V373" t="s">
        <v>7316</v>
      </c>
      <c r="W373" t="s">
        <v>7317</v>
      </c>
      <c r="X373" t="s">
        <v>7318</v>
      </c>
      <c r="Y373" t="s">
        <v>7319</v>
      </c>
      <c r="Z373" t="s">
        <v>7320</v>
      </c>
      <c r="AA373" t="s">
        <v>74</v>
      </c>
      <c r="AB373" t="s">
        <v>74</v>
      </c>
      <c r="AC373" t="s">
        <v>74</v>
      </c>
      <c r="AD373" t="s">
        <v>74</v>
      </c>
      <c r="AE373" t="s">
        <v>74</v>
      </c>
      <c r="AF373" t="s">
        <v>74</v>
      </c>
      <c r="AG373">
        <v>94</v>
      </c>
      <c r="AH373">
        <v>2</v>
      </c>
      <c r="AI373">
        <v>2</v>
      </c>
      <c r="AJ373">
        <v>9</v>
      </c>
      <c r="AK373">
        <v>88</v>
      </c>
      <c r="AL373" t="s">
        <v>279</v>
      </c>
      <c r="AM373" t="s">
        <v>280</v>
      </c>
      <c r="AN373" t="s">
        <v>281</v>
      </c>
      <c r="AO373" t="s">
        <v>1209</v>
      </c>
      <c r="AP373" t="s">
        <v>1210</v>
      </c>
      <c r="AQ373" t="s">
        <v>74</v>
      </c>
      <c r="AR373" t="s">
        <v>1211</v>
      </c>
      <c r="AS373" t="s">
        <v>1212</v>
      </c>
      <c r="AT373" t="s">
        <v>3821</v>
      </c>
      <c r="AU373">
        <v>2021</v>
      </c>
      <c r="AV373">
        <v>33</v>
      </c>
      <c r="AW373">
        <v>2</v>
      </c>
      <c r="AX373" t="s">
        <v>74</v>
      </c>
      <c r="AY373" t="s">
        <v>74</v>
      </c>
      <c r="AZ373" t="s">
        <v>74</v>
      </c>
      <c r="BA373" t="s">
        <v>74</v>
      </c>
      <c r="BB373">
        <v>126</v>
      </c>
      <c r="BC373">
        <v>140</v>
      </c>
      <c r="BD373" t="s">
        <v>74</v>
      </c>
      <c r="BE373" t="s">
        <v>7321</v>
      </c>
      <c r="BF373" t="str">
        <f>HYPERLINK("http://dx.doi.org/10.1080/10429247.2020.1778978","http://dx.doi.org/10.1080/10429247.2020.1778978")</f>
        <v>http://dx.doi.org/10.1080/10429247.2020.1778978</v>
      </c>
      <c r="BG373" t="s">
        <v>74</v>
      </c>
      <c r="BH373" t="s">
        <v>1215</v>
      </c>
      <c r="BI373">
        <v>15</v>
      </c>
      <c r="BJ373" t="s">
        <v>1216</v>
      </c>
      <c r="BK373" t="s">
        <v>147</v>
      </c>
      <c r="BL373" t="s">
        <v>1217</v>
      </c>
      <c r="BM373" t="s">
        <v>7322</v>
      </c>
      <c r="BN373" t="s">
        <v>74</v>
      </c>
      <c r="BO373" t="s">
        <v>74</v>
      </c>
      <c r="BP373" t="s">
        <v>74</v>
      </c>
      <c r="BQ373" t="s">
        <v>74</v>
      </c>
      <c r="BR373" t="s">
        <v>102</v>
      </c>
      <c r="BS373" t="s">
        <v>7323</v>
      </c>
      <c r="BT373" t="str">
        <f>HYPERLINK("https%3A%2F%2Fwww.webofscience.com%2Fwos%2Fwoscc%2Ffull-record%2FWOS:000548020900001","View Full Record in Web of Science")</f>
        <v>View Full Record in Web of Science</v>
      </c>
    </row>
    <row r="374" spans="1:72" x14ac:dyDescent="0.2">
      <c r="A374" t="s">
        <v>72</v>
      </c>
      <c r="B374" t="s">
        <v>7324</v>
      </c>
      <c r="C374" t="s">
        <v>74</v>
      </c>
      <c r="D374" t="s">
        <v>74</v>
      </c>
      <c r="E374" t="s">
        <v>74</v>
      </c>
      <c r="F374" t="s">
        <v>7325</v>
      </c>
      <c r="G374" t="s">
        <v>74</v>
      </c>
      <c r="H374" t="s">
        <v>74</v>
      </c>
      <c r="I374" t="s">
        <v>7326</v>
      </c>
      <c r="J374" t="s">
        <v>7327</v>
      </c>
      <c r="K374" t="s">
        <v>74</v>
      </c>
      <c r="L374" t="s">
        <v>74</v>
      </c>
      <c r="M374" t="s">
        <v>78</v>
      </c>
      <c r="N374" t="s">
        <v>917</v>
      </c>
      <c r="O374" t="s">
        <v>74</v>
      </c>
      <c r="P374" t="s">
        <v>74</v>
      </c>
      <c r="Q374" t="s">
        <v>74</v>
      </c>
      <c r="R374" t="s">
        <v>74</v>
      </c>
      <c r="S374" t="s">
        <v>74</v>
      </c>
      <c r="T374" t="s">
        <v>7328</v>
      </c>
      <c r="U374" t="s">
        <v>7329</v>
      </c>
      <c r="V374" t="s">
        <v>7330</v>
      </c>
      <c r="W374" t="s">
        <v>7331</v>
      </c>
      <c r="X374" t="s">
        <v>7332</v>
      </c>
      <c r="Y374" t="s">
        <v>7333</v>
      </c>
      <c r="Z374" t="s">
        <v>7334</v>
      </c>
      <c r="AA374" t="s">
        <v>74</v>
      </c>
      <c r="AB374" t="s">
        <v>74</v>
      </c>
      <c r="AC374" t="s">
        <v>74</v>
      </c>
      <c r="AD374" t="s">
        <v>74</v>
      </c>
      <c r="AE374" t="s">
        <v>74</v>
      </c>
      <c r="AF374" t="s">
        <v>74</v>
      </c>
      <c r="AG374">
        <v>88</v>
      </c>
      <c r="AH374">
        <v>0</v>
      </c>
      <c r="AI374">
        <v>0</v>
      </c>
      <c r="AJ374">
        <v>6</v>
      </c>
      <c r="AK374">
        <v>6</v>
      </c>
      <c r="AL374" t="s">
        <v>321</v>
      </c>
      <c r="AM374" t="s">
        <v>322</v>
      </c>
      <c r="AN374" t="s">
        <v>323</v>
      </c>
      <c r="AO374" t="s">
        <v>7335</v>
      </c>
      <c r="AP374" t="s">
        <v>7336</v>
      </c>
      <c r="AQ374" t="s">
        <v>74</v>
      </c>
      <c r="AR374" t="s">
        <v>7337</v>
      </c>
      <c r="AS374" t="s">
        <v>7338</v>
      </c>
      <c r="AT374" t="s">
        <v>7339</v>
      </c>
      <c r="AU374">
        <v>2023</v>
      </c>
      <c r="AV374" t="s">
        <v>74</v>
      </c>
      <c r="AW374" t="s">
        <v>74</v>
      </c>
      <c r="AX374" t="s">
        <v>74</v>
      </c>
      <c r="AY374" t="s">
        <v>74</v>
      </c>
      <c r="AZ374" t="s">
        <v>74</v>
      </c>
      <c r="BA374" t="s">
        <v>74</v>
      </c>
      <c r="BB374" t="s">
        <v>74</v>
      </c>
      <c r="BC374" t="s">
        <v>74</v>
      </c>
      <c r="BD374" t="s">
        <v>74</v>
      </c>
      <c r="BE374" t="s">
        <v>7340</v>
      </c>
      <c r="BF374" t="str">
        <f>HYPERLINK("http://dx.doi.org/10.1007/s10796-023-10399-1","http://dx.doi.org/10.1007/s10796-023-10399-1")</f>
        <v>http://dx.doi.org/10.1007/s10796-023-10399-1</v>
      </c>
      <c r="BG374" t="s">
        <v>74</v>
      </c>
      <c r="BH374" t="s">
        <v>930</v>
      </c>
      <c r="BI374">
        <v>22</v>
      </c>
      <c r="BJ374" t="s">
        <v>2563</v>
      </c>
      <c r="BK374" t="s">
        <v>98</v>
      </c>
      <c r="BL374" t="s">
        <v>99</v>
      </c>
      <c r="BM374" t="s">
        <v>7341</v>
      </c>
      <c r="BN374" t="s">
        <v>74</v>
      </c>
      <c r="BO374" t="s">
        <v>74</v>
      </c>
      <c r="BP374" t="s">
        <v>74</v>
      </c>
      <c r="BQ374" t="s">
        <v>74</v>
      </c>
      <c r="BR374" t="s">
        <v>102</v>
      </c>
      <c r="BS374" t="s">
        <v>7342</v>
      </c>
      <c r="BT374" t="str">
        <f>HYPERLINK("https%3A%2F%2Fwww.webofscience.com%2Fwos%2Fwoscc%2Ffull-record%2FWOS:000983894600001","View Full Record in Web of Science")</f>
        <v>View Full Record in Web of Science</v>
      </c>
    </row>
    <row r="375" spans="1:72" x14ac:dyDescent="0.2">
      <c r="A375" t="s">
        <v>72</v>
      </c>
      <c r="B375" t="s">
        <v>7343</v>
      </c>
      <c r="C375" t="s">
        <v>74</v>
      </c>
      <c r="D375" t="s">
        <v>74</v>
      </c>
      <c r="E375" t="s">
        <v>74</v>
      </c>
      <c r="F375" t="s">
        <v>7344</v>
      </c>
      <c r="G375" t="s">
        <v>74</v>
      </c>
      <c r="H375" t="s">
        <v>74</v>
      </c>
      <c r="I375" t="s">
        <v>7345</v>
      </c>
      <c r="J375" t="s">
        <v>7346</v>
      </c>
      <c r="K375" t="s">
        <v>74</v>
      </c>
      <c r="L375" t="s">
        <v>74</v>
      </c>
      <c r="M375" t="s">
        <v>78</v>
      </c>
      <c r="N375" t="s">
        <v>108</v>
      </c>
      <c r="O375" t="s">
        <v>74</v>
      </c>
      <c r="P375" t="s">
        <v>74</v>
      </c>
      <c r="Q375" t="s">
        <v>74</v>
      </c>
      <c r="R375" t="s">
        <v>74</v>
      </c>
      <c r="S375" t="s">
        <v>74</v>
      </c>
      <c r="T375" t="s">
        <v>7347</v>
      </c>
      <c r="U375" t="s">
        <v>74</v>
      </c>
      <c r="V375" t="s">
        <v>7348</v>
      </c>
      <c r="W375" t="s">
        <v>74</v>
      </c>
      <c r="X375" t="s">
        <v>74</v>
      </c>
      <c r="Y375" t="s">
        <v>74</v>
      </c>
      <c r="Z375" t="s">
        <v>74</v>
      </c>
      <c r="AA375" t="s">
        <v>74</v>
      </c>
      <c r="AB375" t="s">
        <v>74</v>
      </c>
      <c r="AC375" t="s">
        <v>74</v>
      </c>
      <c r="AD375" t="s">
        <v>74</v>
      </c>
      <c r="AE375" t="s">
        <v>74</v>
      </c>
      <c r="AF375" t="s">
        <v>74</v>
      </c>
      <c r="AG375">
        <v>39</v>
      </c>
      <c r="AH375">
        <v>5</v>
      </c>
      <c r="AI375">
        <v>5</v>
      </c>
      <c r="AJ375">
        <v>0</v>
      </c>
      <c r="AK375">
        <v>1</v>
      </c>
      <c r="AL375" t="s">
        <v>7349</v>
      </c>
      <c r="AM375" t="s">
        <v>7350</v>
      </c>
      <c r="AN375" t="s">
        <v>7351</v>
      </c>
      <c r="AO375" t="s">
        <v>7352</v>
      </c>
      <c r="AP375" t="s">
        <v>74</v>
      </c>
      <c r="AQ375" t="s">
        <v>74</v>
      </c>
      <c r="AR375" t="s">
        <v>7353</v>
      </c>
      <c r="AS375" t="s">
        <v>7354</v>
      </c>
      <c r="AT375" t="s">
        <v>174</v>
      </c>
      <c r="AU375">
        <v>2006</v>
      </c>
      <c r="AV375">
        <v>9</v>
      </c>
      <c r="AW375">
        <v>4</v>
      </c>
      <c r="AX375" t="s">
        <v>74</v>
      </c>
      <c r="AY375" t="s">
        <v>74</v>
      </c>
      <c r="AZ375" t="s">
        <v>74</v>
      </c>
      <c r="BA375" t="s">
        <v>74</v>
      </c>
      <c r="BB375" t="s">
        <v>74</v>
      </c>
      <c r="BC375" t="s">
        <v>74</v>
      </c>
      <c r="BD375">
        <v>4</v>
      </c>
      <c r="BE375" t="s">
        <v>74</v>
      </c>
      <c r="BF375" t="s">
        <v>74</v>
      </c>
      <c r="BG375" t="s">
        <v>74</v>
      </c>
      <c r="BH375" t="s">
        <v>74</v>
      </c>
      <c r="BI375">
        <v>30</v>
      </c>
      <c r="BJ375" t="s">
        <v>241</v>
      </c>
      <c r="BK375" t="s">
        <v>242</v>
      </c>
      <c r="BL375" t="s">
        <v>243</v>
      </c>
      <c r="BM375" t="s">
        <v>7355</v>
      </c>
      <c r="BN375" t="s">
        <v>74</v>
      </c>
      <c r="BO375" t="s">
        <v>74</v>
      </c>
      <c r="BP375" t="s">
        <v>74</v>
      </c>
      <c r="BQ375" t="s">
        <v>74</v>
      </c>
      <c r="BR375" t="s">
        <v>102</v>
      </c>
      <c r="BS375" t="s">
        <v>7356</v>
      </c>
      <c r="BT375" t="str">
        <f>HYPERLINK("https%3A%2F%2Fwww.webofscience.com%2Fwos%2Fwoscc%2Ffull-record%2FWOS:000206799800001","View Full Record in Web of Science")</f>
        <v>View Full Record in Web of Science</v>
      </c>
    </row>
    <row r="376" spans="1:72" x14ac:dyDescent="0.2">
      <c r="A376" t="s">
        <v>72</v>
      </c>
      <c r="B376" t="s">
        <v>7357</v>
      </c>
      <c r="C376" t="s">
        <v>74</v>
      </c>
      <c r="D376" t="s">
        <v>74</v>
      </c>
      <c r="E376" t="s">
        <v>74</v>
      </c>
      <c r="F376" t="s">
        <v>7358</v>
      </c>
      <c r="G376" t="s">
        <v>74</v>
      </c>
      <c r="H376" t="s">
        <v>74</v>
      </c>
      <c r="I376" t="s">
        <v>7359</v>
      </c>
      <c r="J376" t="s">
        <v>131</v>
      </c>
      <c r="K376" t="s">
        <v>74</v>
      </c>
      <c r="L376" t="s">
        <v>74</v>
      </c>
      <c r="M376" t="s">
        <v>78</v>
      </c>
      <c r="N376" t="s">
        <v>79</v>
      </c>
      <c r="O376" t="s">
        <v>74</v>
      </c>
      <c r="P376" t="s">
        <v>74</v>
      </c>
      <c r="Q376" t="s">
        <v>74</v>
      </c>
      <c r="R376" t="s">
        <v>74</v>
      </c>
      <c r="S376" t="s">
        <v>74</v>
      </c>
      <c r="T376" t="s">
        <v>7360</v>
      </c>
      <c r="U376" t="s">
        <v>7361</v>
      </c>
      <c r="V376" t="s">
        <v>7362</v>
      </c>
      <c r="W376" t="s">
        <v>7363</v>
      </c>
      <c r="X376" t="s">
        <v>7364</v>
      </c>
      <c r="Y376" t="s">
        <v>7365</v>
      </c>
      <c r="Z376" t="s">
        <v>7366</v>
      </c>
      <c r="AA376" t="s">
        <v>74</v>
      </c>
      <c r="AB376" t="s">
        <v>7367</v>
      </c>
      <c r="AC376" t="s">
        <v>74</v>
      </c>
      <c r="AD376" t="s">
        <v>74</v>
      </c>
      <c r="AE376" t="s">
        <v>74</v>
      </c>
      <c r="AF376" t="s">
        <v>74</v>
      </c>
      <c r="AG376">
        <v>112</v>
      </c>
      <c r="AH376">
        <v>34</v>
      </c>
      <c r="AI376">
        <v>34</v>
      </c>
      <c r="AJ376">
        <v>53</v>
      </c>
      <c r="AK376">
        <v>295</v>
      </c>
      <c r="AL376" t="s">
        <v>116</v>
      </c>
      <c r="AM376" t="s">
        <v>117</v>
      </c>
      <c r="AN376" t="s">
        <v>118</v>
      </c>
      <c r="AO376" t="s">
        <v>74</v>
      </c>
      <c r="AP376" t="s">
        <v>142</v>
      </c>
      <c r="AQ376" t="s">
        <v>74</v>
      </c>
      <c r="AR376" t="s">
        <v>143</v>
      </c>
      <c r="AS376" t="s">
        <v>144</v>
      </c>
      <c r="AT376" t="s">
        <v>5209</v>
      </c>
      <c r="AU376">
        <v>2020</v>
      </c>
      <c r="AV376">
        <v>12</v>
      </c>
      <c r="AW376">
        <v>5</v>
      </c>
      <c r="AX376" t="s">
        <v>74</v>
      </c>
      <c r="AY376" t="s">
        <v>74</v>
      </c>
      <c r="AZ376" t="s">
        <v>74</v>
      </c>
      <c r="BA376" t="s">
        <v>74</v>
      </c>
      <c r="BB376" t="s">
        <v>74</v>
      </c>
      <c r="BC376" t="s">
        <v>74</v>
      </c>
      <c r="BD376">
        <v>1878</v>
      </c>
      <c r="BE376" t="s">
        <v>7368</v>
      </c>
      <c r="BF376" t="str">
        <f>HYPERLINK("http://dx.doi.org/10.3390/su12051878","http://dx.doi.org/10.3390/su12051878")</f>
        <v>http://dx.doi.org/10.3390/su12051878</v>
      </c>
      <c r="BG376" t="s">
        <v>74</v>
      </c>
      <c r="BH376" t="s">
        <v>74</v>
      </c>
      <c r="BI376">
        <v>29</v>
      </c>
      <c r="BJ376" t="s">
        <v>146</v>
      </c>
      <c r="BK376" t="s">
        <v>147</v>
      </c>
      <c r="BL376" t="s">
        <v>148</v>
      </c>
      <c r="BM376" t="s">
        <v>7369</v>
      </c>
      <c r="BN376" t="s">
        <v>74</v>
      </c>
      <c r="BO376" t="s">
        <v>306</v>
      </c>
      <c r="BP376" t="s">
        <v>74</v>
      </c>
      <c r="BQ376" t="s">
        <v>74</v>
      </c>
      <c r="BR376" t="s">
        <v>102</v>
      </c>
      <c r="BS376" t="s">
        <v>7370</v>
      </c>
      <c r="BT376" t="str">
        <f>HYPERLINK("https%3A%2F%2Fwww.webofscience.com%2Fwos%2Fwoscc%2Ffull-record%2FWOS:000522470900179","View Full Record in Web of Science")</f>
        <v>View Full Record in Web of Science</v>
      </c>
    </row>
    <row r="377" spans="1:72" x14ac:dyDescent="0.2">
      <c r="A377" t="s">
        <v>72</v>
      </c>
      <c r="B377" t="s">
        <v>7371</v>
      </c>
      <c r="C377" t="s">
        <v>74</v>
      </c>
      <c r="D377" t="s">
        <v>74</v>
      </c>
      <c r="E377" t="s">
        <v>74</v>
      </c>
      <c r="F377" t="s">
        <v>7372</v>
      </c>
      <c r="G377" t="s">
        <v>74</v>
      </c>
      <c r="H377" t="s">
        <v>74</v>
      </c>
      <c r="I377" t="s">
        <v>7373</v>
      </c>
      <c r="J377" t="s">
        <v>5689</v>
      </c>
      <c r="K377" t="s">
        <v>74</v>
      </c>
      <c r="L377" t="s">
        <v>74</v>
      </c>
      <c r="M377" t="s">
        <v>78</v>
      </c>
      <c r="N377" t="s">
        <v>108</v>
      </c>
      <c r="O377" t="s">
        <v>74</v>
      </c>
      <c r="P377" t="s">
        <v>74</v>
      </c>
      <c r="Q377" t="s">
        <v>74</v>
      </c>
      <c r="R377" t="s">
        <v>74</v>
      </c>
      <c r="S377" t="s">
        <v>74</v>
      </c>
      <c r="T377" t="s">
        <v>7374</v>
      </c>
      <c r="U377" t="s">
        <v>7375</v>
      </c>
      <c r="V377" t="s">
        <v>7376</v>
      </c>
      <c r="W377" t="s">
        <v>7377</v>
      </c>
      <c r="X377" t="s">
        <v>7378</v>
      </c>
      <c r="Y377" t="s">
        <v>7379</v>
      </c>
      <c r="Z377" t="s">
        <v>7380</v>
      </c>
      <c r="AA377" t="s">
        <v>7381</v>
      </c>
      <c r="AB377" t="s">
        <v>74</v>
      </c>
      <c r="AC377" t="s">
        <v>7382</v>
      </c>
      <c r="AD377" t="s">
        <v>7383</v>
      </c>
      <c r="AE377" t="s">
        <v>7384</v>
      </c>
      <c r="AF377" t="s">
        <v>74</v>
      </c>
      <c r="AG377">
        <v>80</v>
      </c>
      <c r="AH377">
        <v>4</v>
      </c>
      <c r="AI377">
        <v>4</v>
      </c>
      <c r="AJ377">
        <v>0</v>
      </c>
      <c r="AK377">
        <v>29</v>
      </c>
      <c r="AL377" t="s">
        <v>437</v>
      </c>
      <c r="AM377" t="s">
        <v>438</v>
      </c>
      <c r="AN377" t="s">
        <v>439</v>
      </c>
      <c r="AO377" t="s">
        <v>5697</v>
      </c>
      <c r="AP377" t="s">
        <v>5698</v>
      </c>
      <c r="AQ377" t="s">
        <v>74</v>
      </c>
      <c r="AR377" t="s">
        <v>5699</v>
      </c>
      <c r="AS377" t="s">
        <v>5700</v>
      </c>
      <c r="AT377" t="s">
        <v>74</v>
      </c>
      <c r="AU377">
        <v>2016</v>
      </c>
      <c r="AV377">
        <v>27</v>
      </c>
      <c r="AW377">
        <v>2</v>
      </c>
      <c r="AX377" t="s">
        <v>74</v>
      </c>
      <c r="AY377" t="s">
        <v>74</v>
      </c>
      <c r="AZ377" t="s">
        <v>74</v>
      </c>
      <c r="BA377" t="s">
        <v>74</v>
      </c>
      <c r="BB377">
        <v>511</v>
      </c>
      <c r="BC377">
        <v>532</v>
      </c>
      <c r="BD377" t="s">
        <v>74</v>
      </c>
      <c r="BE377" t="s">
        <v>7385</v>
      </c>
      <c r="BF377" t="str">
        <f>HYPERLINK("http://dx.doi.org/10.1108/IJLM-12-2013-0162","http://dx.doi.org/10.1108/IJLM-12-2013-0162")</f>
        <v>http://dx.doi.org/10.1108/IJLM-12-2013-0162</v>
      </c>
      <c r="BG377" t="s">
        <v>74</v>
      </c>
      <c r="BH377" t="s">
        <v>74</v>
      </c>
      <c r="BI377">
        <v>22</v>
      </c>
      <c r="BJ377" t="s">
        <v>418</v>
      </c>
      <c r="BK377" t="s">
        <v>242</v>
      </c>
      <c r="BL377" t="s">
        <v>419</v>
      </c>
      <c r="BM377" t="s">
        <v>7386</v>
      </c>
      <c r="BN377" t="s">
        <v>74</v>
      </c>
      <c r="BO377" t="s">
        <v>74</v>
      </c>
      <c r="BP377" t="s">
        <v>74</v>
      </c>
      <c r="BQ377" t="s">
        <v>74</v>
      </c>
      <c r="BR377" t="s">
        <v>102</v>
      </c>
      <c r="BS377" t="s">
        <v>7387</v>
      </c>
      <c r="BT377" t="str">
        <f>HYPERLINK("https%3A%2F%2Fwww.webofscience.com%2Fwos%2Fwoscc%2Ffull-record%2FWOS:000381315600015","View Full Record in Web of Science")</f>
        <v>View Full Record in Web of Science</v>
      </c>
    </row>
    <row r="378" spans="1:72" x14ac:dyDescent="0.2">
      <c r="A378" t="s">
        <v>72</v>
      </c>
      <c r="B378" t="s">
        <v>7388</v>
      </c>
      <c r="C378" t="s">
        <v>74</v>
      </c>
      <c r="D378" t="s">
        <v>74</v>
      </c>
      <c r="E378" t="s">
        <v>74</v>
      </c>
      <c r="F378" t="s">
        <v>7389</v>
      </c>
      <c r="G378" t="s">
        <v>74</v>
      </c>
      <c r="H378" t="s">
        <v>74</v>
      </c>
      <c r="I378" t="s">
        <v>7390</v>
      </c>
      <c r="J378" t="s">
        <v>7391</v>
      </c>
      <c r="K378" t="s">
        <v>74</v>
      </c>
      <c r="L378" t="s">
        <v>74</v>
      </c>
      <c r="M378" t="s">
        <v>78</v>
      </c>
      <c r="N378" t="s">
        <v>108</v>
      </c>
      <c r="O378" t="s">
        <v>74</v>
      </c>
      <c r="P378" t="s">
        <v>74</v>
      </c>
      <c r="Q378" t="s">
        <v>74</v>
      </c>
      <c r="R378" t="s">
        <v>74</v>
      </c>
      <c r="S378" t="s">
        <v>74</v>
      </c>
      <c r="T378" t="s">
        <v>7392</v>
      </c>
      <c r="U378" t="s">
        <v>7393</v>
      </c>
      <c r="V378" t="s">
        <v>7394</v>
      </c>
      <c r="W378" t="s">
        <v>7395</v>
      </c>
      <c r="X378" t="s">
        <v>7396</v>
      </c>
      <c r="Y378" t="s">
        <v>7397</v>
      </c>
      <c r="Z378" t="s">
        <v>7398</v>
      </c>
      <c r="AA378" t="s">
        <v>7399</v>
      </c>
      <c r="AB378" t="s">
        <v>7400</v>
      </c>
      <c r="AC378" t="s">
        <v>7401</v>
      </c>
      <c r="AD378" t="s">
        <v>7402</v>
      </c>
      <c r="AE378" t="s">
        <v>7403</v>
      </c>
      <c r="AF378" t="s">
        <v>74</v>
      </c>
      <c r="AG378">
        <v>64</v>
      </c>
      <c r="AH378">
        <v>0</v>
      </c>
      <c r="AI378">
        <v>0</v>
      </c>
      <c r="AJ378">
        <v>13</v>
      </c>
      <c r="AK378">
        <v>21</v>
      </c>
      <c r="AL378" t="s">
        <v>116</v>
      </c>
      <c r="AM378" t="s">
        <v>117</v>
      </c>
      <c r="AN378" t="s">
        <v>118</v>
      </c>
      <c r="AO378" t="s">
        <v>74</v>
      </c>
      <c r="AP378" t="s">
        <v>7404</v>
      </c>
      <c r="AQ378" t="s">
        <v>74</v>
      </c>
      <c r="AR378" t="s">
        <v>7405</v>
      </c>
      <c r="AS378" t="s">
        <v>7406</v>
      </c>
      <c r="AT378" t="s">
        <v>216</v>
      </c>
      <c r="AU378">
        <v>2022</v>
      </c>
      <c r="AV378">
        <v>10</v>
      </c>
      <c r="AW378">
        <v>12</v>
      </c>
      <c r="AX378" t="s">
        <v>74</v>
      </c>
      <c r="AY378" t="s">
        <v>74</v>
      </c>
      <c r="AZ378" t="s">
        <v>74</v>
      </c>
      <c r="BA378" t="s">
        <v>74</v>
      </c>
      <c r="BB378" t="s">
        <v>74</v>
      </c>
      <c r="BC378" t="s">
        <v>74</v>
      </c>
      <c r="BD378">
        <v>1945</v>
      </c>
      <c r="BE378" t="s">
        <v>7407</v>
      </c>
      <c r="BF378" t="str">
        <f>HYPERLINK("http://dx.doi.org/10.3390/jmse10121945","http://dx.doi.org/10.3390/jmse10121945")</f>
        <v>http://dx.doi.org/10.3390/jmse10121945</v>
      </c>
      <c r="BG378" t="s">
        <v>74</v>
      </c>
      <c r="BH378" t="s">
        <v>74</v>
      </c>
      <c r="BI378">
        <v>18</v>
      </c>
      <c r="BJ378" t="s">
        <v>7408</v>
      </c>
      <c r="BK378" t="s">
        <v>98</v>
      </c>
      <c r="BL378" t="s">
        <v>7409</v>
      </c>
      <c r="BM378" t="s">
        <v>7410</v>
      </c>
      <c r="BN378" t="s">
        <v>74</v>
      </c>
      <c r="BO378" t="s">
        <v>126</v>
      </c>
      <c r="BP378" t="s">
        <v>74</v>
      </c>
      <c r="BQ378" t="s">
        <v>74</v>
      </c>
      <c r="BR378" t="s">
        <v>102</v>
      </c>
      <c r="BS378" t="s">
        <v>7411</v>
      </c>
      <c r="BT378" t="str">
        <f>HYPERLINK("https%3A%2F%2Fwww.webofscience.com%2Fwos%2Fwoscc%2Ffull-record%2FWOS:000901056600001","View Full Record in Web of Science")</f>
        <v>View Full Record in Web of Science</v>
      </c>
    </row>
    <row r="379" spans="1:72" x14ac:dyDescent="0.2">
      <c r="A379" t="s">
        <v>72</v>
      </c>
      <c r="B379" t="s">
        <v>7412</v>
      </c>
      <c r="C379" t="s">
        <v>74</v>
      </c>
      <c r="D379" t="s">
        <v>74</v>
      </c>
      <c r="E379" t="s">
        <v>74</v>
      </c>
      <c r="F379" t="s">
        <v>7413</v>
      </c>
      <c r="G379" t="s">
        <v>74</v>
      </c>
      <c r="H379" t="s">
        <v>74</v>
      </c>
      <c r="I379" t="s">
        <v>7414</v>
      </c>
      <c r="J379" t="s">
        <v>4783</v>
      </c>
      <c r="K379" t="s">
        <v>74</v>
      </c>
      <c r="L379" t="s">
        <v>74</v>
      </c>
      <c r="M379" t="s">
        <v>78</v>
      </c>
      <c r="N379" t="s">
        <v>108</v>
      </c>
      <c r="O379" t="s">
        <v>74</v>
      </c>
      <c r="P379" t="s">
        <v>74</v>
      </c>
      <c r="Q379" t="s">
        <v>74</v>
      </c>
      <c r="R379" t="s">
        <v>74</v>
      </c>
      <c r="S379" t="s">
        <v>74</v>
      </c>
      <c r="T379" t="s">
        <v>7415</v>
      </c>
      <c r="U379" t="s">
        <v>7416</v>
      </c>
      <c r="V379" t="s">
        <v>7417</v>
      </c>
      <c r="W379" t="s">
        <v>7418</v>
      </c>
      <c r="X379" t="s">
        <v>2529</v>
      </c>
      <c r="Y379" t="s">
        <v>7419</v>
      </c>
      <c r="Z379" t="s">
        <v>7420</v>
      </c>
      <c r="AA379" t="s">
        <v>7421</v>
      </c>
      <c r="AB379" t="s">
        <v>7422</v>
      </c>
      <c r="AC379" t="s">
        <v>7423</v>
      </c>
      <c r="AD379" t="s">
        <v>7424</v>
      </c>
      <c r="AE379" t="s">
        <v>7425</v>
      </c>
      <c r="AF379" t="s">
        <v>74</v>
      </c>
      <c r="AG379">
        <v>93</v>
      </c>
      <c r="AH379">
        <v>8</v>
      </c>
      <c r="AI379">
        <v>8</v>
      </c>
      <c r="AJ379">
        <v>86</v>
      </c>
      <c r="AK379">
        <v>210</v>
      </c>
      <c r="AL379" t="s">
        <v>543</v>
      </c>
      <c r="AM379" t="s">
        <v>260</v>
      </c>
      <c r="AN379" t="s">
        <v>544</v>
      </c>
      <c r="AO379" t="s">
        <v>4796</v>
      </c>
      <c r="AP379" t="s">
        <v>4797</v>
      </c>
      <c r="AQ379" t="s">
        <v>74</v>
      </c>
      <c r="AR379" t="s">
        <v>4798</v>
      </c>
      <c r="AS379" t="s">
        <v>4799</v>
      </c>
      <c r="AT379" t="s">
        <v>416</v>
      </c>
      <c r="AU379">
        <v>2022</v>
      </c>
      <c r="AV379">
        <v>112</v>
      </c>
      <c r="AW379" t="s">
        <v>74</v>
      </c>
      <c r="AX379" t="s">
        <v>74</v>
      </c>
      <c r="AY379" t="s">
        <v>74</v>
      </c>
      <c r="AZ379" t="s">
        <v>74</v>
      </c>
      <c r="BA379" t="s">
        <v>74</v>
      </c>
      <c r="BB379" t="s">
        <v>74</v>
      </c>
      <c r="BC379" t="s">
        <v>74</v>
      </c>
      <c r="BD379" t="s">
        <v>74</v>
      </c>
      <c r="BE379" t="s">
        <v>7426</v>
      </c>
      <c r="BF379" t="str">
        <f>HYPERLINK("http://dx.doi.org/10.1016/j.engappai.2022.104884","http://dx.doi.org/10.1016/j.engappai.2022.104884")</f>
        <v>http://dx.doi.org/10.1016/j.engappai.2022.104884</v>
      </c>
      <c r="BG379" t="s">
        <v>74</v>
      </c>
      <c r="BH379" t="s">
        <v>1099</v>
      </c>
      <c r="BI379">
        <v>21</v>
      </c>
      <c r="BJ379" t="s">
        <v>4801</v>
      </c>
      <c r="BK379" t="s">
        <v>98</v>
      </c>
      <c r="BL379" t="s">
        <v>4802</v>
      </c>
      <c r="BM379" t="s">
        <v>7427</v>
      </c>
      <c r="BN379" t="s">
        <v>74</v>
      </c>
      <c r="BO379" t="s">
        <v>74</v>
      </c>
      <c r="BP379" t="s">
        <v>74</v>
      </c>
      <c r="BQ379" t="s">
        <v>74</v>
      </c>
      <c r="BR379" t="s">
        <v>102</v>
      </c>
      <c r="BS379" t="s">
        <v>7428</v>
      </c>
      <c r="BT379" t="str">
        <f>HYPERLINK("https%3A%2F%2Fwww.webofscience.com%2Fwos%2Fwoscc%2Ffull-record%2FWOS:000797651900011","View Full Record in Web of Science")</f>
        <v>View Full Record in Web of Science</v>
      </c>
    </row>
    <row r="380" spans="1:72" x14ac:dyDescent="0.2">
      <c r="A380" t="s">
        <v>72</v>
      </c>
      <c r="B380" t="s">
        <v>7429</v>
      </c>
      <c r="C380" t="s">
        <v>74</v>
      </c>
      <c r="D380" t="s">
        <v>74</v>
      </c>
      <c r="E380" t="s">
        <v>74</v>
      </c>
      <c r="F380" t="s">
        <v>7430</v>
      </c>
      <c r="G380" t="s">
        <v>74</v>
      </c>
      <c r="H380" t="s">
        <v>74</v>
      </c>
      <c r="I380" t="s">
        <v>7431</v>
      </c>
      <c r="J380" t="s">
        <v>6169</v>
      </c>
      <c r="K380" t="s">
        <v>74</v>
      </c>
      <c r="L380" t="s">
        <v>74</v>
      </c>
      <c r="M380" t="s">
        <v>78</v>
      </c>
      <c r="N380" t="s">
        <v>917</v>
      </c>
      <c r="O380" t="s">
        <v>74</v>
      </c>
      <c r="P380" t="s">
        <v>74</v>
      </c>
      <c r="Q380" t="s">
        <v>74</v>
      </c>
      <c r="R380" t="s">
        <v>74</v>
      </c>
      <c r="S380" t="s">
        <v>74</v>
      </c>
      <c r="T380" t="s">
        <v>7432</v>
      </c>
      <c r="U380" t="s">
        <v>7433</v>
      </c>
      <c r="V380" t="s">
        <v>7434</v>
      </c>
      <c r="W380" t="s">
        <v>7435</v>
      </c>
      <c r="X380" t="s">
        <v>7436</v>
      </c>
      <c r="Y380" t="s">
        <v>7437</v>
      </c>
      <c r="Z380" t="s">
        <v>7438</v>
      </c>
      <c r="AA380" t="s">
        <v>74</v>
      </c>
      <c r="AB380" t="s">
        <v>74</v>
      </c>
      <c r="AC380" t="s">
        <v>74</v>
      </c>
      <c r="AD380" t="s">
        <v>74</v>
      </c>
      <c r="AE380" t="s">
        <v>74</v>
      </c>
      <c r="AF380" t="s">
        <v>74</v>
      </c>
      <c r="AG380">
        <v>42</v>
      </c>
      <c r="AH380">
        <v>0</v>
      </c>
      <c r="AI380">
        <v>0</v>
      </c>
      <c r="AJ380">
        <v>13</v>
      </c>
      <c r="AK380">
        <v>15</v>
      </c>
      <c r="AL380" t="s">
        <v>409</v>
      </c>
      <c r="AM380" t="s">
        <v>410</v>
      </c>
      <c r="AN380" t="s">
        <v>411</v>
      </c>
      <c r="AO380" t="s">
        <v>6179</v>
      </c>
      <c r="AP380" t="s">
        <v>6180</v>
      </c>
      <c r="AQ380" t="s">
        <v>74</v>
      </c>
      <c r="AR380" t="s">
        <v>6181</v>
      </c>
      <c r="AS380" t="s">
        <v>6182</v>
      </c>
      <c r="AT380" t="s">
        <v>7439</v>
      </c>
      <c r="AU380">
        <v>2023</v>
      </c>
      <c r="AV380" t="s">
        <v>74</v>
      </c>
      <c r="AW380" t="s">
        <v>74</v>
      </c>
      <c r="AX380" t="s">
        <v>74</v>
      </c>
      <c r="AY380" t="s">
        <v>74</v>
      </c>
      <c r="AZ380" t="s">
        <v>74</v>
      </c>
      <c r="BA380" t="s">
        <v>74</v>
      </c>
      <c r="BB380" t="s">
        <v>74</v>
      </c>
      <c r="BC380" t="s">
        <v>74</v>
      </c>
      <c r="BD380" t="s">
        <v>74</v>
      </c>
      <c r="BE380" t="s">
        <v>7440</v>
      </c>
      <c r="BF380" t="str">
        <f>HYPERLINK("http://dx.doi.org/10.1111/exsy.13271","http://dx.doi.org/10.1111/exsy.13271")</f>
        <v>http://dx.doi.org/10.1111/exsy.13271</v>
      </c>
      <c r="BG380" t="s">
        <v>74</v>
      </c>
      <c r="BH380" t="s">
        <v>619</v>
      </c>
      <c r="BI380">
        <v>17</v>
      </c>
      <c r="BJ380" t="s">
        <v>5037</v>
      </c>
      <c r="BK380" t="s">
        <v>98</v>
      </c>
      <c r="BL380" t="s">
        <v>99</v>
      </c>
      <c r="BM380" t="s">
        <v>7441</v>
      </c>
      <c r="BN380" t="s">
        <v>74</v>
      </c>
      <c r="BO380" t="s">
        <v>74</v>
      </c>
      <c r="BP380" t="s">
        <v>74</v>
      </c>
      <c r="BQ380" t="s">
        <v>74</v>
      </c>
      <c r="BR380" t="s">
        <v>102</v>
      </c>
      <c r="BS380" t="s">
        <v>7442</v>
      </c>
      <c r="BT380" t="str">
        <f>HYPERLINK("https%3A%2F%2Fwww.webofscience.com%2Fwos%2Fwoscc%2Ffull-record%2FWOS:000942136900001","View Full Record in Web of Science")</f>
        <v>View Full Record in Web of Science</v>
      </c>
    </row>
    <row r="381" spans="1:72" x14ac:dyDescent="0.2">
      <c r="A381" t="s">
        <v>72</v>
      </c>
      <c r="B381" t="s">
        <v>7443</v>
      </c>
      <c r="C381" t="s">
        <v>74</v>
      </c>
      <c r="D381" t="s">
        <v>74</v>
      </c>
      <c r="E381" t="s">
        <v>74</v>
      </c>
      <c r="F381" t="s">
        <v>7444</v>
      </c>
      <c r="G381" t="s">
        <v>74</v>
      </c>
      <c r="H381" t="s">
        <v>74</v>
      </c>
      <c r="I381" t="s">
        <v>7445</v>
      </c>
      <c r="J381" t="s">
        <v>3542</v>
      </c>
      <c r="K381" t="s">
        <v>74</v>
      </c>
      <c r="L381" t="s">
        <v>74</v>
      </c>
      <c r="M381" t="s">
        <v>78</v>
      </c>
      <c r="N381" t="s">
        <v>108</v>
      </c>
      <c r="O381" t="s">
        <v>74</v>
      </c>
      <c r="P381" t="s">
        <v>74</v>
      </c>
      <c r="Q381" t="s">
        <v>74</v>
      </c>
      <c r="R381" t="s">
        <v>74</v>
      </c>
      <c r="S381" t="s">
        <v>74</v>
      </c>
      <c r="T381" t="s">
        <v>7446</v>
      </c>
      <c r="U381" t="s">
        <v>7447</v>
      </c>
      <c r="V381" t="s">
        <v>7448</v>
      </c>
      <c r="W381" t="s">
        <v>7449</v>
      </c>
      <c r="X381" t="s">
        <v>74</v>
      </c>
      <c r="Y381" t="s">
        <v>7450</v>
      </c>
      <c r="Z381" t="s">
        <v>7451</v>
      </c>
      <c r="AA381" t="s">
        <v>74</v>
      </c>
      <c r="AB381" t="s">
        <v>74</v>
      </c>
      <c r="AC381" t="s">
        <v>74</v>
      </c>
      <c r="AD381" t="s">
        <v>74</v>
      </c>
      <c r="AE381" t="s">
        <v>74</v>
      </c>
      <c r="AF381" t="s">
        <v>74</v>
      </c>
      <c r="AG381">
        <v>49</v>
      </c>
      <c r="AH381">
        <v>4</v>
      </c>
      <c r="AI381">
        <v>4</v>
      </c>
      <c r="AJ381">
        <v>1</v>
      </c>
      <c r="AK381">
        <v>25</v>
      </c>
      <c r="AL381" t="s">
        <v>3552</v>
      </c>
      <c r="AM381" t="s">
        <v>210</v>
      </c>
      <c r="AN381" t="s">
        <v>3553</v>
      </c>
      <c r="AO381" t="s">
        <v>3554</v>
      </c>
      <c r="AP381" t="s">
        <v>3555</v>
      </c>
      <c r="AQ381" t="s">
        <v>74</v>
      </c>
      <c r="AR381" t="s">
        <v>3556</v>
      </c>
      <c r="AS381" t="s">
        <v>3557</v>
      </c>
      <c r="AT381" t="s">
        <v>74</v>
      </c>
      <c r="AU381">
        <v>2016</v>
      </c>
      <c r="AV381">
        <v>31</v>
      </c>
      <c r="AW381">
        <v>3</v>
      </c>
      <c r="AX381" t="s">
        <v>74</v>
      </c>
      <c r="AY381" t="s">
        <v>74</v>
      </c>
      <c r="AZ381" t="s">
        <v>74</v>
      </c>
      <c r="BA381" t="s">
        <v>74</v>
      </c>
      <c r="BB381">
        <v>2035</v>
      </c>
      <c r="BC381">
        <v>2042</v>
      </c>
      <c r="BD381" t="s">
        <v>74</v>
      </c>
      <c r="BE381" t="s">
        <v>7452</v>
      </c>
      <c r="BF381" t="str">
        <f>HYPERLINK("http://dx.doi.org/10.3233/JIFS-16396","http://dx.doi.org/10.3233/JIFS-16396")</f>
        <v>http://dx.doi.org/10.3233/JIFS-16396</v>
      </c>
      <c r="BG381" t="s">
        <v>74</v>
      </c>
      <c r="BH381" t="s">
        <v>74</v>
      </c>
      <c r="BI381">
        <v>8</v>
      </c>
      <c r="BJ381" t="s">
        <v>2017</v>
      </c>
      <c r="BK381" t="s">
        <v>98</v>
      </c>
      <c r="BL381" t="s">
        <v>99</v>
      </c>
      <c r="BM381" t="s">
        <v>7453</v>
      </c>
      <c r="BN381" t="s">
        <v>74</v>
      </c>
      <c r="BO381" t="s">
        <v>74</v>
      </c>
      <c r="BP381" t="s">
        <v>74</v>
      </c>
      <c r="BQ381" t="s">
        <v>74</v>
      </c>
      <c r="BR381" t="s">
        <v>102</v>
      </c>
      <c r="BS381" t="s">
        <v>7454</v>
      </c>
      <c r="BT381" t="str">
        <f>HYPERLINK("https%3A%2F%2Fwww.webofscience.com%2Fwos%2Fwoscc%2Ffull-record%2FWOS:000382540000079","View Full Record in Web of Science")</f>
        <v>View Full Record in Web of Science</v>
      </c>
    </row>
    <row r="382" spans="1:72" x14ac:dyDescent="0.2">
      <c r="A382" t="s">
        <v>72</v>
      </c>
      <c r="B382" t="s">
        <v>7455</v>
      </c>
      <c r="C382" t="s">
        <v>74</v>
      </c>
      <c r="D382" t="s">
        <v>74</v>
      </c>
      <c r="E382" t="s">
        <v>74</v>
      </c>
      <c r="F382" t="s">
        <v>7456</v>
      </c>
      <c r="G382" t="s">
        <v>74</v>
      </c>
      <c r="H382" t="s">
        <v>74</v>
      </c>
      <c r="I382" t="s">
        <v>7457</v>
      </c>
      <c r="J382" t="s">
        <v>2042</v>
      </c>
      <c r="K382" t="s">
        <v>74</v>
      </c>
      <c r="L382" t="s">
        <v>74</v>
      </c>
      <c r="M382" t="s">
        <v>78</v>
      </c>
      <c r="N382" t="s">
        <v>108</v>
      </c>
      <c r="O382" t="s">
        <v>74</v>
      </c>
      <c r="P382" t="s">
        <v>74</v>
      </c>
      <c r="Q382" t="s">
        <v>74</v>
      </c>
      <c r="R382" t="s">
        <v>74</v>
      </c>
      <c r="S382" t="s">
        <v>74</v>
      </c>
      <c r="T382" t="s">
        <v>7458</v>
      </c>
      <c r="U382" t="s">
        <v>7459</v>
      </c>
      <c r="V382" t="s">
        <v>7460</v>
      </c>
      <c r="W382" t="s">
        <v>7461</v>
      </c>
      <c r="X382" t="s">
        <v>7462</v>
      </c>
      <c r="Y382" t="s">
        <v>7463</v>
      </c>
      <c r="Z382" t="s">
        <v>7464</v>
      </c>
      <c r="AA382" t="s">
        <v>74</v>
      </c>
      <c r="AB382" t="s">
        <v>74</v>
      </c>
      <c r="AC382" t="s">
        <v>74</v>
      </c>
      <c r="AD382" t="s">
        <v>74</v>
      </c>
      <c r="AE382" t="s">
        <v>74</v>
      </c>
      <c r="AF382" t="s">
        <v>74</v>
      </c>
      <c r="AG382">
        <v>27</v>
      </c>
      <c r="AH382">
        <v>58</v>
      </c>
      <c r="AI382">
        <v>67</v>
      </c>
      <c r="AJ382">
        <v>0</v>
      </c>
      <c r="AK382">
        <v>39</v>
      </c>
      <c r="AL382" t="s">
        <v>543</v>
      </c>
      <c r="AM382" t="s">
        <v>260</v>
      </c>
      <c r="AN382" t="s">
        <v>544</v>
      </c>
      <c r="AO382" t="s">
        <v>2054</v>
      </c>
      <c r="AP382" t="s">
        <v>2055</v>
      </c>
      <c r="AQ382" t="s">
        <v>74</v>
      </c>
      <c r="AR382" t="s">
        <v>2056</v>
      </c>
      <c r="AS382" t="s">
        <v>2057</v>
      </c>
      <c r="AT382" t="s">
        <v>416</v>
      </c>
      <c r="AU382">
        <v>2011</v>
      </c>
      <c r="AV382">
        <v>38</v>
      </c>
      <c r="AW382">
        <v>6</v>
      </c>
      <c r="AX382" t="s">
        <v>74</v>
      </c>
      <c r="AY382" t="s">
        <v>74</v>
      </c>
      <c r="AZ382" t="s">
        <v>74</v>
      </c>
      <c r="BA382" t="s">
        <v>74</v>
      </c>
      <c r="BB382">
        <v>6839</v>
      </c>
      <c r="BC382">
        <v>6847</v>
      </c>
      <c r="BD382" t="s">
        <v>74</v>
      </c>
      <c r="BE382" t="s">
        <v>7465</v>
      </c>
      <c r="BF382" t="str">
        <f>HYPERLINK("http://dx.doi.org/10.1016/j.eswa.2010.12.055","http://dx.doi.org/10.1016/j.eswa.2010.12.055")</f>
        <v>http://dx.doi.org/10.1016/j.eswa.2010.12.055</v>
      </c>
      <c r="BG382" t="s">
        <v>74</v>
      </c>
      <c r="BH382" t="s">
        <v>74</v>
      </c>
      <c r="BI382">
        <v>9</v>
      </c>
      <c r="BJ382" t="s">
        <v>2059</v>
      </c>
      <c r="BK382" t="s">
        <v>98</v>
      </c>
      <c r="BL382" t="s">
        <v>2060</v>
      </c>
      <c r="BM382" t="s">
        <v>7466</v>
      </c>
      <c r="BN382" t="s">
        <v>74</v>
      </c>
      <c r="BO382" t="s">
        <v>74</v>
      </c>
      <c r="BP382" t="s">
        <v>74</v>
      </c>
      <c r="BQ382" t="s">
        <v>74</v>
      </c>
      <c r="BR382" t="s">
        <v>102</v>
      </c>
      <c r="BS382" t="s">
        <v>7467</v>
      </c>
      <c r="BT382" t="str">
        <f>HYPERLINK("https%3A%2F%2Fwww.webofscience.com%2Fwos%2Fwoscc%2Ffull-record%2FWOS:000288343900052","View Full Record in Web of Science")</f>
        <v>View Full Record in Web of Science</v>
      </c>
    </row>
    <row r="383" spans="1:72" x14ac:dyDescent="0.2">
      <c r="A383" t="s">
        <v>72</v>
      </c>
      <c r="B383" t="s">
        <v>7468</v>
      </c>
      <c r="C383" t="s">
        <v>74</v>
      </c>
      <c r="D383" t="s">
        <v>74</v>
      </c>
      <c r="E383" t="s">
        <v>74</v>
      </c>
      <c r="F383" t="s">
        <v>7469</v>
      </c>
      <c r="G383" t="s">
        <v>74</v>
      </c>
      <c r="H383" t="s">
        <v>74</v>
      </c>
      <c r="I383" t="s">
        <v>7470</v>
      </c>
      <c r="J383" t="s">
        <v>7471</v>
      </c>
      <c r="K383" t="s">
        <v>74</v>
      </c>
      <c r="L383" t="s">
        <v>74</v>
      </c>
      <c r="M383" t="s">
        <v>78</v>
      </c>
      <c r="N383" t="s">
        <v>108</v>
      </c>
      <c r="O383" t="s">
        <v>74</v>
      </c>
      <c r="P383" t="s">
        <v>74</v>
      </c>
      <c r="Q383" t="s">
        <v>74</v>
      </c>
      <c r="R383" t="s">
        <v>74</v>
      </c>
      <c r="S383" t="s">
        <v>74</v>
      </c>
      <c r="T383" t="s">
        <v>7472</v>
      </c>
      <c r="U383" t="s">
        <v>7473</v>
      </c>
      <c r="V383" t="s">
        <v>7474</v>
      </c>
      <c r="W383" t="s">
        <v>7475</v>
      </c>
      <c r="X383" t="s">
        <v>7476</v>
      </c>
      <c r="Y383" t="s">
        <v>7477</v>
      </c>
      <c r="Z383" t="s">
        <v>7478</v>
      </c>
      <c r="AA383" t="s">
        <v>74</v>
      </c>
      <c r="AB383" t="s">
        <v>74</v>
      </c>
      <c r="AC383" t="s">
        <v>7479</v>
      </c>
      <c r="AD383" t="s">
        <v>7480</v>
      </c>
      <c r="AE383" t="s">
        <v>7481</v>
      </c>
      <c r="AF383" t="s">
        <v>74</v>
      </c>
      <c r="AG383">
        <v>36</v>
      </c>
      <c r="AH383">
        <v>2</v>
      </c>
      <c r="AI383">
        <v>2</v>
      </c>
      <c r="AJ383">
        <v>0</v>
      </c>
      <c r="AK383">
        <v>1</v>
      </c>
      <c r="AL383" t="s">
        <v>7482</v>
      </c>
      <c r="AM383" t="s">
        <v>7483</v>
      </c>
      <c r="AN383" t="s">
        <v>7484</v>
      </c>
      <c r="AO383" t="s">
        <v>7485</v>
      </c>
      <c r="AP383" t="s">
        <v>7486</v>
      </c>
      <c r="AQ383" t="s">
        <v>74</v>
      </c>
      <c r="AR383" t="s">
        <v>7487</v>
      </c>
      <c r="AS383" t="s">
        <v>7488</v>
      </c>
      <c r="AT383" t="s">
        <v>74</v>
      </c>
      <c r="AU383">
        <v>2020</v>
      </c>
      <c r="AV383">
        <v>40</v>
      </c>
      <c r="AW383">
        <v>3</v>
      </c>
      <c r="AX383" t="s">
        <v>74</v>
      </c>
      <c r="AY383" t="s">
        <v>74</v>
      </c>
      <c r="AZ383" t="s">
        <v>74</v>
      </c>
      <c r="BA383" t="s">
        <v>74</v>
      </c>
      <c r="BB383">
        <v>105</v>
      </c>
      <c r="BC383">
        <v>115</v>
      </c>
      <c r="BD383" t="s">
        <v>74</v>
      </c>
      <c r="BE383" t="s">
        <v>7489</v>
      </c>
      <c r="BF383" t="str">
        <f>HYPERLINK("http://dx.doi.org/10.30765/er.40.3.11","http://dx.doi.org/10.30765/er.40.3.11")</f>
        <v>http://dx.doi.org/10.30765/er.40.3.11</v>
      </c>
      <c r="BG383" t="s">
        <v>74</v>
      </c>
      <c r="BH383" t="s">
        <v>74</v>
      </c>
      <c r="BI383">
        <v>11</v>
      </c>
      <c r="BJ383" t="s">
        <v>2462</v>
      </c>
      <c r="BK383" t="s">
        <v>124</v>
      </c>
      <c r="BL383" t="s">
        <v>1292</v>
      </c>
      <c r="BM383" t="s">
        <v>7490</v>
      </c>
      <c r="BN383" t="s">
        <v>74</v>
      </c>
      <c r="BO383" t="s">
        <v>126</v>
      </c>
      <c r="BP383" t="s">
        <v>74</v>
      </c>
      <c r="BQ383" t="s">
        <v>74</v>
      </c>
      <c r="BR383" t="s">
        <v>102</v>
      </c>
      <c r="BS383" t="s">
        <v>7491</v>
      </c>
      <c r="BT383" t="str">
        <f>HYPERLINK("https%3A%2F%2Fwww.webofscience.com%2Fwos%2Fwoscc%2Ffull-record%2FWOS:000536030200011","View Full Record in Web of Science")</f>
        <v>View Full Record in Web of Science</v>
      </c>
    </row>
    <row r="384" spans="1:72" x14ac:dyDescent="0.2">
      <c r="A384" t="s">
        <v>72</v>
      </c>
      <c r="B384" t="s">
        <v>7492</v>
      </c>
      <c r="C384" t="s">
        <v>74</v>
      </c>
      <c r="D384" t="s">
        <v>74</v>
      </c>
      <c r="E384" t="s">
        <v>74</v>
      </c>
      <c r="F384" t="s">
        <v>7493</v>
      </c>
      <c r="G384" t="s">
        <v>74</v>
      </c>
      <c r="H384" t="s">
        <v>74</v>
      </c>
      <c r="I384" t="s">
        <v>7494</v>
      </c>
      <c r="J384" t="s">
        <v>7495</v>
      </c>
      <c r="K384" t="s">
        <v>74</v>
      </c>
      <c r="L384" t="s">
        <v>74</v>
      </c>
      <c r="M384" t="s">
        <v>78</v>
      </c>
      <c r="N384" t="s">
        <v>108</v>
      </c>
      <c r="O384" t="s">
        <v>74</v>
      </c>
      <c r="P384" t="s">
        <v>74</v>
      </c>
      <c r="Q384" t="s">
        <v>74</v>
      </c>
      <c r="R384" t="s">
        <v>74</v>
      </c>
      <c r="S384" t="s">
        <v>74</v>
      </c>
      <c r="T384" t="s">
        <v>7496</v>
      </c>
      <c r="U384" t="s">
        <v>7497</v>
      </c>
      <c r="V384" t="s">
        <v>7498</v>
      </c>
      <c r="W384" t="s">
        <v>7499</v>
      </c>
      <c r="X384" t="s">
        <v>7500</v>
      </c>
      <c r="Y384" t="s">
        <v>7501</v>
      </c>
      <c r="Z384" t="s">
        <v>7502</v>
      </c>
      <c r="AA384" t="s">
        <v>74</v>
      </c>
      <c r="AB384" t="s">
        <v>74</v>
      </c>
      <c r="AC384" t="s">
        <v>74</v>
      </c>
      <c r="AD384" t="s">
        <v>74</v>
      </c>
      <c r="AE384" t="s">
        <v>74</v>
      </c>
      <c r="AF384" t="s">
        <v>74</v>
      </c>
      <c r="AG384">
        <v>34</v>
      </c>
      <c r="AH384">
        <v>0</v>
      </c>
      <c r="AI384">
        <v>0</v>
      </c>
      <c r="AJ384">
        <v>3</v>
      </c>
      <c r="AK384">
        <v>3</v>
      </c>
      <c r="AL384" t="s">
        <v>2634</v>
      </c>
      <c r="AM384" t="s">
        <v>2635</v>
      </c>
      <c r="AN384" t="s">
        <v>2636</v>
      </c>
      <c r="AO384" t="s">
        <v>7503</v>
      </c>
      <c r="AP384" t="s">
        <v>7504</v>
      </c>
      <c r="AQ384" t="s">
        <v>74</v>
      </c>
      <c r="AR384" t="s">
        <v>7505</v>
      </c>
      <c r="AS384" t="s">
        <v>7506</v>
      </c>
      <c r="AT384" t="s">
        <v>74</v>
      </c>
      <c r="AU384">
        <v>2023</v>
      </c>
      <c r="AV384">
        <v>14</v>
      </c>
      <c r="AW384" t="s">
        <v>3238</v>
      </c>
      <c r="AX384" t="s">
        <v>74</v>
      </c>
      <c r="AY384" t="s">
        <v>74</v>
      </c>
      <c r="AZ384" t="s">
        <v>74</v>
      </c>
      <c r="BA384" t="s">
        <v>74</v>
      </c>
      <c r="BB384">
        <v>216</v>
      </c>
      <c r="BC384">
        <v>228</v>
      </c>
      <c r="BD384" t="s">
        <v>74</v>
      </c>
      <c r="BE384" t="s">
        <v>7507</v>
      </c>
      <c r="BF384" t="str">
        <f>HYPERLINK("http://dx.doi.org/10.1504/IJGUC.2023.131007","http://dx.doi.org/10.1504/IJGUC.2023.131007")</f>
        <v>http://dx.doi.org/10.1504/IJGUC.2023.131007</v>
      </c>
      <c r="BG384" t="s">
        <v>74</v>
      </c>
      <c r="BH384" t="s">
        <v>74</v>
      </c>
      <c r="BI384">
        <v>14</v>
      </c>
      <c r="BJ384" t="s">
        <v>123</v>
      </c>
      <c r="BK384" t="s">
        <v>124</v>
      </c>
      <c r="BL384" t="s">
        <v>99</v>
      </c>
      <c r="BM384" t="s">
        <v>7508</v>
      </c>
      <c r="BN384" t="s">
        <v>74</v>
      </c>
      <c r="BO384" t="s">
        <v>74</v>
      </c>
      <c r="BP384" t="s">
        <v>74</v>
      </c>
      <c r="BQ384" t="s">
        <v>74</v>
      </c>
      <c r="BR384" t="s">
        <v>102</v>
      </c>
      <c r="BS384" t="s">
        <v>7509</v>
      </c>
      <c r="BT384" t="str">
        <f>HYPERLINK("https%3A%2F%2Fwww.webofscience.com%2Fwos%2Fwoscc%2Ffull-record%2FWOS:000996505500012","View Full Record in Web of Science")</f>
        <v>View Full Record in Web of Science</v>
      </c>
    </row>
    <row r="385" spans="1:72" x14ac:dyDescent="0.2">
      <c r="A385" t="s">
        <v>72</v>
      </c>
      <c r="B385" t="s">
        <v>7510</v>
      </c>
      <c r="C385" t="s">
        <v>74</v>
      </c>
      <c r="D385" t="s">
        <v>74</v>
      </c>
      <c r="E385" t="s">
        <v>74</v>
      </c>
      <c r="F385" t="s">
        <v>7511</v>
      </c>
      <c r="G385" t="s">
        <v>74</v>
      </c>
      <c r="H385" t="s">
        <v>74</v>
      </c>
      <c r="I385" t="s">
        <v>7512</v>
      </c>
      <c r="J385" t="s">
        <v>7513</v>
      </c>
      <c r="K385" t="s">
        <v>74</v>
      </c>
      <c r="L385" t="s">
        <v>74</v>
      </c>
      <c r="M385" t="s">
        <v>78</v>
      </c>
      <c r="N385" t="s">
        <v>108</v>
      </c>
      <c r="O385" t="s">
        <v>74</v>
      </c>
      <c r="P385" t="s">
        <v>74</v>
      </c>
      <c r="Q385" t="s">
        <v>74</v>
      </c>
      <c r="R385" t="s">
        <v>74</v>
      </c>
      <c r="S385" t="s">
        <v>74</v>
      </c>
      <c r="T385" t="s">
        <v>74</v>
      </c>
      <c r="U385" t="s">
        <v>74</v>
      </c>
      <c r="V385" t="s">
        <v>7514</v>
      </c>
      <c r="W385" t="s">
        <v>7515</v>
      </c>
      <c r="X385" t="s">
        <v>7516</v>
      </c>
      <c r="Y385" t="s">
        <v>7517</v>
      </c>
      <c r="Z385" t="s">
        <v>7518</v>
      </c>
      <c r="AA385" t="s">
        <v>74</v>
      </c>
      <c r="AB385" t="s">
        <v>74</v>
      </c>
      <c r="AC385" t="s">
        <v>74</v>
      </c>
      <c r="AD385" t="s">
        <v>74</v>
      </c>
      <c r="AE385" t="s">
        <v>74</v>
      </c>
      <c r="AF385" t="s">
        <v>74</v>
      </c>
      <c r="AG385">
        <v>20</v>
      </c>
      <c r="AH385">
        <v>0</v>
      </c>
      <c r="AI385">
        <v>0</v>
      </c>
      <c r="AJ385">
        <v>1</v>
      </c>
      <c r="AK385">
        <v>7</v>
      </c>
      <c r="AL385" t="s">
        <v>3963</v>
      </c>
      <c r="AM385" t="s">
        <v>90</v>
      </c>
      <c r="AN385" t="s">
        <v>3964</v>
      </c>
      <c r="AO385" t="s">
        <v>7519</v>
      </c>
      <c r="AP385" t="s">
        <v>7520</v>
      </c>
      <c r="AQ385" t="s">
        <v>74</v>
      </c>
      <c r="AR385" t="s">
        <v>7521</v>
      </c>
      <c r="AS385" t="s">
        <v>7522</v>
      </c>
      <c r="AT385" t="s">
        <v>7523</v>
      </c>
      <c r="AU385">
        <v>2022</v>
      </c>
      <c r="AV385">
        <v>2022</v>
      </c>
      <c r="AW385" t="s">
        <v>74</v>
      </c>
      <c r="AX385" t="s">
        <v>74</v>
      </c>
      <c r="AY385" t="s">
        <v>74</v>
      </c>
      <c r="AZ385" t="s">
        <v>74</v>
      </c>
      <c r="BA385" t="s">
        <v>74</v>
      </c>
      <c r="BB385" t="s">
        <v>74</v>
      </c>
      <c r="BC385" t="s">
        <v>74</v>
      </c>
      <c r="BD385">
        <v>7381982</v>
      </c>
      <c r="BE385" t="s">
        <v>7524</v>
      </c>
      <c r="BF385" t="str">
        <f>HYPERLINK("http://dx.doi.org/10.1155/2022/7381982","http://dx.doi.org/10.1155/2022/7381982")</f>
        <v>http://dx.doi.org/10.1155/2022/7381982</v>
      </c>
      <c r="BG385" t="s">
        <v>74</v>
      </c>
      <c r="BH385" t="s">
        <v>74</v>
      </c>
      <c r="BI385">
        <v>11</v>
      </c>
      <c r="BJ385" t="s">
        <v>7525</v>
      </c>
      <c r="BK385" t="s">
        <v>98</v>
      </c>
      <c r="BL385" t="s">
        <v>7526</v>
      </c>
      <c r="BM385" t="s">
        <v>7527</v>
      </c>
      <c r="BN385" t="s">
        <v>74</v>
      </c>
      <c r="BO385" t="s">
        <v>126</v>
      </c>
      <c r="BP385" t="s">
        <v>74</v>
      </c>
      <c r="BQ385" t="s">
        <v>74</v>
      </c>
      <c r="BR385" t="s">
        <v>102</v>
      </c>
      <c r="BS385" t="s">
        <v>7528</v>
      </c>
      <c r="BT385" t="str">
        <f>HYPERLINK("https%3A%2F%2Fwww.webofscience.com%2Fwos%2Fwoscc%2Ffull-record%2FWOS:000773642400001","View Full Record in Web of Science")</f>
        <v>View Full Record in Web of Science</v>
      </c>
    </row>
    <row r="386" spans="1:72" x14ac:dyDescent="0.2">
      <c r="A386" t="s">
        <v>72</v>
      </c>
      <c r="B386" t="s">
        <v>7529</v>
      </c>
      <c r="C386" t="s">
        <v>74</v>
      </c>
      <c r="D386" t="s">
        <v>74</v>
      </c>
      <c r="E386" t="s">
        <v>74</v>
      </c>
      <c r="F386" t="s">
        <v>7530</v>
      </c>
      <c r="G386" t="s">
        <v>74</v>
      </c>
      <c r="H386" t="s">
        <v>74</v>
      </c>
      <c r="I386" t="s">
        <v>7531</v>
      </c>
      <c r="J386" t="s">
        <v>4480</v>
      </c>
      <c r="K386" t="s">
        <v>74</v>
      </c>
      <c r="L386" t="s">
        <v>74</v>
      </c>
      <c r="M386" t="s">
        <v>78</v>
      </c>
      <c r="N386" t="s">
        <v>917</v>
      </c>
      <c r="O386" t="s">
        <v>74</v>
      </c>
      <c r="P386" t="s">
        <v>74</v>
      </c>
      <c r="Q386" t="s">
        <v>74</v>
      </c>
      <c r="R386" t="s">
        <v>74</v>
      </c>
      <c r="S386" t="s">
        <v>74</v>
      </c>
      <c r="T386" t="s">
        <v>7532</v>
      </c>
      <c r="U386" t="s">
        <v>7533</v>
      </c>
      <c r="V386" t="s">
        <v>7534</v>
      </c>
      <c r="W386" t="s">
        <v>7535</v>
      </c>
      <c r="X386" t="s">
        <v>7536</v>
      </c>
      <c r="Y386" t="s">
        <v>7537</v>
      </c>
      <c r="Z386" t="s">
        <v>7538</v>
      </c>
      <c r="AA386" t="s">
        <v>7539</v>
      </c>
      <c r="AB386" t="s">
        <v>7540</v>
      </c>
      <c r="AC386" t="s">
        <v>74</v>
      </c>
      <c r="AD386" t="s">
        <v>74</v>
      </c>
      <c r="AE386" t="s">
        <v>74</v>
      </c>
      <c r="AF386" t="s">
        <v>74</v>
      </c>
      <c r="AG386">
        <v>79</v>
      </c>
      <c r="AH386">
        <v>12</v>
      </c>
      <c r="AI386">
        <v>12</v>
      </c>
      <c r="AJ386">
        <v>14</v>
      </c>
      <c r="AK386">
        <v>57</v>
      </c>
      <c r="AL386" t="s">
        <v>4005</v>
      </c>
      <c r="AM386" t="s">
        <v>4006</v>
      </c>
      <c r="AN386" t="s">
        <v>4007</v>
      </c>
      <c r="AO386" t="s">
        <v>4487</v>
      </c>
      <c r="AP386" t="s">
        <v>4488</v>
      </c>
      <c r="AQ386" t="s">
        <v>74</v>
      </c>
      <c r="AR386" t="s">
        <v>4489</v>
      </c>
      <c r="AS386" t="s">
        <v>4490</v>
      </c>
      <c r="AT386" t="s">
        <v>7541</v>
      </c>
      <c r="AU386">
        <v>2021</v>
      </c>
      <c r="AV386" t="s">
        <v>74</v>
      </c>
      <c r="AW386" t="s">
        <v>74</v>
      </c>
      <c r="AX386" t="s">
        <v>74</v>
      </c>
      <c r="AY386" t="s">
        <v>74</v>
      </c>
      <c r="AZ386" t="s">
        <v>74</v>
      </c>
      <c r="BA386" t="s">
        <v>74</v>
      </c>
      <c r="BB386" t="s">
        <v>74</v>
      </c>
      <c r="BC386" t="s">
        <v>74</v>
      </c>
      <c r="BD386" t="s">
        <v>74</v>
      </c>
      <c r="BE386" t="s">
        <v>7542</v>
      </c>
      <c r="BF386" t="str">
        <f>HYPERLINK("http://dx.doi.org/10.1007/s11356-021-13718-8","http://dx.doi.org/10.1007/s11356-021-13718-8")</f>
        <v>http://dx.doi.org/10.1007/s11356-021-13718-8</v>
      </c>
      <c r="BG386" t="s">
        <v>74</v>
      </c>
      <c r="BH386" t="s">
        <v>848</v>
      </c>
      <c r="BI386">
        <v>19</v>
      </c>
      <c r="BJ386" t="s">
        <v>674</v>
      </c>
      <c r="BK386" t="s">
        <v>98</v>
      </c>
      <c r="BL386" t="s">
        <v>675</v>
      </c>
      <c r="BM386" t="s">
        <v>7543</v>
      </c>
      <c r="BN386">
        <v>33891240</v>
      </c>
      <c r="BO386" t="s">
        <v>74</v>
      </c>
      <c r="BP386" t="s">
        <v>74</v>
      </c>
      <c r="BQ386" t="s">
        <v>74</v>
      </c>
      <c r="BR386" t="s">
        <v>102</v>
      </c>
      <c r="BS386" t="s">
        <v>7544</v>
      </c>
      <c r="BT386" t="str">
        <f>HYPERLINK("https%3A%2F%2Fwww.webofscience.com%2Fwos%2Fwoscc%2Ffull-record%2FWOS:000642866000009","View Full Record in Web of Science")</f>
        <v>View Full Record in Web of Science</v>
      </c>
    </row>
    <row r="387" spans="1:72" x14ac:dyDescent="0.2">
      <c r="A387" t="s">
        <v>72</v>
      </c>
      <c r="B387" t="s">
        <v>7545</v>
      </c>
      <c r="C387" t="s">
        <v>74</v>
      </c>
      <c r="D387" t="s">
        <v>74</v>
      </c>
      <c r="E387" t="s">
        <v>74</v>
      </c>
      <c r="F387" t="s">
        <v>7546</v>
      </c>
      <c r="G387" t="s">
        <v>74</v>
      </c>
      <c r="H387" t="s">
        <v>74</v>
      </c>
      <c r="I387" t="s">
        <v>7547</v>
      </c>
      <c r="J387" t="s">
        <v>7548</v>
      </c>
      <c r="K387" t="s">
        <v>74</v>
      </c>
      <c r="L387" t="s">
        <v>74</v>
      </c>
      <c r="M387" t="s">
        <v>78</v>
      </c>
      <c r="N387" t="s">
        <v>108</v>
      </c>
      <c r="O387" t="s">
        <v>74</v>
      </c>
      <c r="P387" t="s">
        <v>74</v>
      </c>
      <c r="Q387" t="s">
        <v>74</v>
      </c>
      <c r="R387" t="s">
        <v>74</v>
      </c>
      <c r="S387" t="s">
        <v>74</v>
      </c>
      <c r="T387" t="s">
        <v>7549</v>
      </c>
      <c r="U387" t="s">
        <v>7550</v>
      </c>
      <c r="V387" t="s">
        <v>7551</v>
      </c>
      <c r="W387" t="s">
        <v>7552</v>
      </c>
      <c r="X387" t="s">
        <v>7175</v>
      </c>
      <c r="Y387" t="s">
        <v>7553</v>
      </c>
      <c r="Z387" t="s">
        <v>7554</v>
      </c>
      <c r="AA387" t="s">
        <v>7555</v>
      </c>
      <c r="AB387" t="s">
        <v>7556</v>
      </c>
      <c r="AC387" t="s">
        <v>74</v>
      </c>
      <c r="AD387" t="s">
        <v>74</v>
      </c>
      <c r="AE387" t="s">
        <v>74</v>
      </c>
      <c r="AF387" t="s">
        <v>74</v>
      </c>
      <c r="AG387">
        <v>35</v>
      </c>
      <c r="AH387">
        <v>117</v>
      </c>
      <c r="AI387">
        <v>118</v>
      </c>
      <c r="AJ387">
        <v>4</v>
      </c>
      <c r="AK387">
        <v>40</v>
      </c>
      <c r="AL387" t="s">
        <v>543</v>
      </c>
      <c r="AM387" t="s">
        <v>260</v>
      </c>
      <c r="AN387" t="s">
        <v>544</v>
      </c>
      <c r="AO387" t="s">
        <v>7557</v>
      </c>
      <c r="AP387" t="s">
        <v>7558</v>
      </c>
      <c r="AQ387" t="s">
        <v>74</v>
      </c>
      <c r="AR387" t="s">
        <v>7559</v>
      </c>
      <c r="AS387" t="s">
        <v>7560</v>
      </c>
      <c r="AT387" t="s">
        <v>7561</v>
      </c>
      <c r="AU387">
        <v>2010</v>
      </c>
      <c r="AV387">
        <v>34</v>
      </c>
      <c r="AW387">
        <v>5</v>
      </c>
      <c r="AX387" t="s">
        <v>74</v>
      </c>
      <c r="AY387" t="s">
        <v>74</v>
      </c>
      <c r="AZ387" t="s">
        <v>570</v>
      </c>
      <c r="BA387" t="s">
        <v>74</v>
      </c>
      <c r="BB387">
        <v>782</v>
      </c>
      <c r="BC387">
        <v>792</v>
      </c>
      <c r="BD387" t="s">
        <v>74</v>
      </c>
      <c r="BE387" t="s">
        <v>7562</v>
      </c>
      <c r="BF387" t="str">
        <f>HYPERLINK("http://dx.doi.org/10.1016/j.compchemeng.2009.11.020","http://dx.doi.org/10.1016/j.compchemeng.2009.11.020")</f>
        <v>http://dx.doi.org/10.1016/j.compchemeng.2009.11.020</v>
      </c>
      <c r="BG387" t="s">
        <v>74</v>
      </c>
      <c r="BH387" t="s">
        <v>74</v>
      </c>
      <c r="BI387">
        <v>11</v>
      </c>
      <c r="BJ387" t="s">
        <v>7563</v>
      </c>
      <c r="BK387" t="s">
        <v>98</v>
      </c>
      <c r="BL387" t="s">
        <v>269</v>
      </c>
      <c r="BM387" t="s">
        <v>7564</v>
      </c>
      <c r="BN387" t="s">
        <v>74</v>
      </c>
      <c r="BO387" t="s">
        <v>74</v>
      </c>
      <c r="BP387" t="s">
        <v>74</v>
      </c>
      <c r="BQ387" t="s">
        <v>74</v>
      </c>
      <c r="BR387" t="s">
        <v>102</v>
      </c>
      <c r="BS387" t="s">
        <v>7565</v>
      </c>
      <c r="BT387" t="str">
        <f>HYPERLINK("https%3A%2F%2Fwww.webofscience.com%2Fwos%2Fwoscc%2Ffull-record%2FWOS:000277747300019","View Full Record in Web of Science")</f>
        <v>View Full Record in Web of Science</v>
      </c>
    </row>
    <row r="388" spans="1:72" x14ac:dyDescent="0.2">
      <c r="A388" t="s">
        <v>72</v>
      </c>
      <c r="B388" t="s">
        <v>7566</v>
      </c>
      <c r="C388" t="s">
        <v>74</v>
      </c>
      <c r="D388" t="s">
        <v>74</v>
      </c>
      <c r="E388" t="s">
        <v>74</v>
      </c>
      <c r="F388" t="s">
        <v>7567</v>
      </c>
      <c r="G388" t="s">
        <v>74</v>
      </c>
      <c r="H388" t="s">
        <v>74</v>
      </c>
      <c r="I388" t="s">
        <v>7568</v>
      </c>
      <c r="J388" t="s">
        <v>5612</v>
      </c>
      <c r="K388" t="s">
        <v>74</v>
      </c>
      <c r="L388" t="s">
        <v>74</v>
      </c>
      <c r="M388" t="s">
        <v>78</v>
      </c>
      <c r="N388" t="s">
        <v>108</v>
      </c>
      <c r="O388" t="s">
        <v>74</v>
      </c>
      <c r="P388" t="s">
        <v>74</v>
      </c>
      <c r="Q388" t="s">
        <v>74</v>
      </c>
      <c r="R388" t="s">
        <v>74</v>
      </c>
      <c r="S388" t="s">
        <v>74</v>
      </c>
      <c r="T388" t="s">
        <v>7569</v>
      </c>
      <c r="U388" t="s">
        <v>7570</v>
      </c>
      <c r="V388" t="s">
        <v>7571</v>
      </c>
      <c r="W388" t="s">
        <v>7572</v>
      </c>
      <c r="X388" t="s">
        <v>7573</v>
      </c>
      <c r="Y388" t="s">
        <v>7574</v>
      </c>
      <c r="Z388" t="s">
        <v>7575</v>
      </c>
      <c r="AA388" t="s">
        <v>7576</v>
      </c>
      <c r="AB388" t="s">
        <v>7577</v>
      </c>
      <c r="AC388" t="s">
        <v>7578</v>
      </c>
      <c r="AD388" t="s">
        <v>7579</v>
      </c>
      <c r="AE388" t="s">
        <v>7580</v>
      </c>
      <c r="AF388" t="s">
        <v>74</v>
      </c>
      <c r="AG388">
        <v>43</v>
      </c>
      <c r="AH388">
        <v>18</v>
      </c>
      <c r="AI388">
        <v>19</v>
      </c>
      <c r="AJ388">
        <v>1</v>
      </c>
      <c r="AK388">
        <v>60</v>
      </c>
      <c r="AL388" t="s">
        <v>437</v>
      </c>
      <c r="AM388" t="s">
        <v>438</v>
      </c>
      <c r="AN388" t="s">
        <v>439</v>
      </c>
      <c r="AO388" t="s">
        <v>5621</v>
      </c>
      <c r="AP388" t="s">
        <v>5622</v>
      </c>
      <c r="AQ388" t="s">
        <v>74</v>
      </c>
      <c r="AR388" t="s">
        <v>5623</v>
      </c>
      <c r="AS388" t="s">
        <v>5624</v>
      </c>
      <c r="AT388" t="s">
        <v>74</v>
      </c>
      <c r="AU388">
        <v>2010</v>
      </c>
      <c r="AV388">
        <v>110</v>
      </c>
      <c r="AW388" t="s">
        <v>7581</v>
      </c>
      <c r="AX388" t="s">
        <v>74</v>
      </c>
      <c r="AY388" t="s">
        <v>74</v>
      </c>
      <c r="AZ388" t="s">
        <v>74</v>
      </c>
      <c r="BA388" t="s">
        <v>74</v>
      </c>
      <c r="BB388">
        <v>731</v>
      </c>
      <c r="BC388">
        <v>743</v>
      </c>
      <c r="BD388" t="s">
        <v>74</v>
      </c>
      <c r="BE388" t="s">
        <v>7582</v>
      </c>
      <c r="BF388" t="str">
        <f>HYPERLINK("http://dx.doi.org/10.1108/02635571011044759","http://dx.doi.org/10.1108/02635571011044759")</f>
        <v>http://dx.doi.org/10.1108/02635571011044759</v>
      </c>
      <c r="BG388" t="s">
        <v>74</v>
      </c>
      <c r="BH388" t="s">
        <v>74</v>
      </c>
      <c r="BI388">
        <v>13</v>
      </c>
      <c r="BJ388" t="s">
        <v>550</v>
      </c>
      <c r="BK388" t="s">
        <v>147</v>
      </c>
      <c r="BL388" t="s">
        <v>269</v>
      </c>
      <c r="BM388" t="s">
        <v>7583</v>
      </c>
      <c r="BN388" t="s">
        <v>74</v>
      </c>
      <c r="BO388" t="s">
        <v>74</v>
      </c>
      <c r="BP388" t="s">
        <v>74</v>
      </c>
      <c r="BQ388" t="s">
        <v>74</v>
      </c>
      <c r="BR388" t="s">
        <v>102</v>
      </c>
      <c r="BS388" t="s">
        <v>7584</v>
      </c>
      <c r="BT388" t="str">
        <f>HYPERLINK("https%3A%2F%2Fwww.webofscience.com%2Fwos%2Fwoscc%2Ffull-record%2FWOS:000280935600006","View Full Record in Web of Science")</f>
        <v>View Full Record in Web of Science</v>
      </c>
    </row>
    <row r="389" spans="1:72" x14ac:dyDescent="0.2">
      <c r="A389" t="s">
        <v>72</v>
      </c>
      <c r="B389" t="s">
        <v>7585</v>
      </c>
      <c r="C389" t="s">
        <v>74</v>
      </c>
      <c r="D389" t="s">
        <v>74</v>
      </c>
      <c r="E389" t="s">
        <v>74</v>
      </c>
      <c r="F389" t="s">
        <v>7586</v>
      </c>
      <c r="G389" t="s">
        <v>74</v>
      </c>
      <c r="H389" t="s">
        <v>74</v>
      </c>
      <c r="I389" t="s">
        <v>7587</v>
      </c>
      <c r="J389" t="s">
        <v>7588</v>
      </c>
      <c r="K389" t="s">
        <v>74</v>
      </c>
      <c r="L389" t="s">
        <v>74</v>
      </c>
      <c r="M389" t="s">
        <v>78</v>
      </c>
      <c r="N389" t="s">
        <v>917</v>
      </c>
      <c r="O389" t="s">
        <v>74</v>
      </c>
      <c r="P389" t="s">
        <v>74</v>
      </c>
      <c r="Q389" t="s">
        <v>74</v>
      </c>
      <c r="R389" t="s">
        <v>74</v>
      </c>
      <c r="S389" t="s">
        <v>74</v>
      </c>
      <c r="T389" t="s">
        <v>7589</v>
      </c>
      <c r="U389" t="s">
        <v>7590</v>
      </c>
      <c r="V389" t="s">
        <v>7591</v>
      </c>
      <c r="W389" t="s">
        <v>7592</v>
      </c>
      <c r="X389" t="s">
        <v>7593</v>
      </c>
      <c r="Y389" t="s">
        <v>7594</v>
      </c>
      <c r="Z389" t="s">
        <v>7595</v>
      </c>
      <c r="AA389" t="s">
        <v>74</v>
      </c>
      <c r="AB389" t="s">
        <v>7596</v>
      </c>
      <c r="AC389" t="s">
        <v>7597</v>
      </c>
      <c r="AD389" t="s">
        <v>7597</v>
      </c>
      <c r="AE389" t="s">
        <v>7598</v>
      </c>
      <c r="AF389" t="s">
        <v>74</v>
      </c>
      <c r="AG389">
        <v>57</v>
      </c>
      <c r="AH389">
        <v>2</v>
      </c>
      <c r="AI389">
        <v>2</v>
      </c>
      <c r="AJ389">
        <v>6</v>
      </c>
      <c r="AK389">
        <v>21</v>
      </c>
      <c r="AL389" t="s">
        <v>636</v>
      </c>
      <c r="AM389" t="s">
        <v>637</v>
      </c>
      <c r="AN389" t="s">
        <v>638</v>
      </c>
      <c r="AO389" t="s">
        <v>7599</v>
      </c>
      <c r="AP389" t="s">
        <v>7600</v>
      </c>
      <c r="AQ389" t="s">
        <v>74</v>
      </c>
      <c r="AR389" t="s">
        <v>7601</v>
      </c>
      <c r="AS389" t="s">
        <v>7602</v>
      </c>
      <c r="AT389" t="s">
        <v>7603</v>
      </c>
      <c r="AU389">
        <v>2022</v>
      </c>
      <c r="AV389" t="s">
        <v>74</v>
      </c>
      <c r="AW389" t="s">
        <v>74</v>
      </c>
      <c r="AX389" t="s">
        <v>74</v>
      </c>
      <c r="AY389" t="s">
        <v>74</v>
      </c>
      <c r="AZ389" t="s">
        <v>74</v>
      </c>
      <c r="BA389" t="s">
        <v>74</v>
      </c>
      <c r="BB389" t="s">
        <v>74</v>
      </c>
      <c r="BC389" t="s">
        <v>74</v>
      </c>
      <c r="BD389" t="s">
        <v>74</v>
      </c>
      <c r="BE389" t="s">
        <v>7604</v>
      </c>
      <c r="BF389" t="str">
        <f>HYPERLINK("http://dx.doi.org/10.1177/03611981221124880","http://dx.doi.org/10.1177/03611981221124880")</f>
        <v>http://dx.doi.org/10.1177/03611981221124880</v>
      </c>
      <c r="BG389" t="s">
        <v>74</v>
      </c>
      <c r="BH389" t="s">
        <v>590</v>
      </c>
      <c r="BI389">
        <v>22</v>
      </c>
      <c r="BJ389" t="s">
        <v>7605</v>
      </c>
      <c r="BK389" t="s">
        <v>98</v>
      </c>
      <c r="BL389" t="s">
        <v>7606</v>
      </c>
      <c r="BM389" t="s">
        <v>7607</v>
      </c>
      <c r="BN389" t="s">
        <v>74</v>
      </c>
      <c r="BO389" t="s">
        <v>1019</v>
      </c>
      <c r="BP389" t="s">
        <v>74</v>
      </c>
      <c r="BQ389" t="s">
        <v>74</v>
      </c>
      <c r="BR389" t="s">
        <v>102</v>
      </c>
      <c r="BS389" t="s">
        <v>7608</v>
      </c>
      <c r="BT389" t="str">
        <f>HYPERLINK("https%3A%2F%2Fwww.webofscience.com%2Fwos%2Fwoscc%2Ffull-record%2FWOS:000864893000001","View Full Record in Web of Science")</f>
        <v>View Full Record in Web of Science</v>
      </c>
    </row>
    <row r="390" spans="1:72" x14ac:dyDescent="0.2">
      <c r="A390" t="s">
        <v>72</v>
      </c>
      <c r="B390" t="s">
        <v>7609</v>
      </c>
      <c r="C390" t="s">
        <v>74</v>
      </c>
      <c r="D390" t="s">
        <v>74</v>
      </c>
      <c r="E390" t="s">
        <v>74</v>
      </c>
      <c r="F390" t="s">
        <v>7610</v>
      </c>
      <c r="G390" t="s">
        <v>74</v>
      </c>
      <c r="H390" t="s">
        <v>74</v>
      </c>
      <c r="I390" t="s">
        <v>7611</v>
      </c>
      <c r="J390" t="s">
        <v>3684</v>
      </c>
      <c r="K390" t="s">
        <v>74</v>
      </c>
      <c r="L390" t="s">
        <v>74</v>
      </c>
      <c r="M390" t="s">
        <v>78</v>
      </c>
      <c r="N390" t="s">
        <v>108</v>
      </c>
      <c r="O390" t="s">
        <v>74</v>
      </c>
      <c r="P390" t="s">
        <v>74</v>
      </c>
      <c r="Q390" t="s">
        <v>74</v>
      </c>
      <c r="R390" t="s">
        <v>74</v>
      </c>
      <c r="S390" t="s">
        <v>74</v>
      </c>
      <c r="T390" t="s">
        <v>7612</v>
      </c>
      <c r="U390" t="s">
        <v>7613</v>
      </c>
      <c r="V390" t="s">
        <v>7614</v>
      </c>
      <c r="W390" t="s">
        <v>7615</v>
      </c>
      <c r="X390" t="s">
        <v>7616</v>
      </c>
      <c r="Y390" t="s">
        <v>7617</v>
      </c>
      <c r="Z390" t="s">
        <v>7618</v>
      </c>
      <c r="AA390" t="s">
        <v>7619</v>
      </c>
      <c r="AB390" t="s">
        <v>7620</v>
      </c>
      <c r="AC390" t="s">
        <v>7621</v>
      </c>
      <c r="AD390" t="s">
        <v>7622</v>
      </c>
      <c r="AE390" t="s">
        <v>7623</v>
      </c>
      <c r="AF390" t="s">
        <v>74</v>
      </c>
      <c r="AG390">
        <v>37</v>
      </c>
      <c r="AH390">
        <v>11</v>
      </c>
      <c r="AI390">
        <v>11</v>
      </c>
      <c r="AJ390">
        <v>3</v>
      </c>
      <c r="AK390">
        <v>32</v>
      </c>
      <c r="AL390" t="s">
        <v>462</v>
      </c>
      <c r="AM390" t="s">
        <v>280</v>
      </c>
      <c r="AN390" t="s">
        <v>463</v>
      </c>
      <c r="AO390" t="s">
        <v>3696</v>
      </c>
      <c r="AP390" t="s">
        <v>3697</v>
      </c>
      <c r="AQ390" t="s">
        <v>74</v>
      </c>
      <c r="AR390" t="s">
        <v>3698</v>
      </c>
      <c r="AS390" t="s">
        <v>3699</v>
      </c>
      <c r="AT390" t="s">
        <v>3821</v>
      </c>
      <c r="AU390">
        <v>2019</v>
      </c>
      <c r="AV390">
        <v>31</v>
      </c>
      <c r="AW390">
        <v>2</v>
      </c>
      <c r="AX390" t="s">
        <v>74</v>
      </c>
      <c r="AY390" t="s">
        <v>74</v>
      </c>
      <c r="AZ390" t="s">
        <v>74</v>
      </c>
      <c r="BA390" t="s">
        <v>74</v>
      </c>
      <c r="BB390">
        <v>248</v>
      </c>
      <c r="BC390">
        <v>266</v>
      </c>
      <c r="BD390" t="s">
        <v>74</v>
      </c>
      <c r="BE390" t="s">
        <v>7624</v>
      </c>
      <c r="BF390" t="str">
        <f>HYPERLINK("http://dx.doi.org/10.1080/09535314.2018.1492369","http://dx.doi.org/10.1080/09535314.2018.1492369")</f>
        <v>http://dx.doi.org/10.1080/09535314.2018.1492369</v>
      </c>
      <c r="BG390" t="s">
        <v>74</v>
      </c>
      <c r="BH390" t="s">
        <v>74</v>
      </c>
      <c r="BI390">
        <v>19</v>
      </c>
      <c r="BJ390" t="s">
        <v>1661</v>
      </c>
      <c r="BK390" t="s">
        <v>242</v>
      </c>
      <c r="BL390" t="s">
        <v>419</v>
      </c>
      <c r="BM390" t="s">
        <v>7625</v>
      </c>
      <c r="BN390" t="s">
        <v>74</v>
      </c>
      <c r="BO390" t="s">
        <v>74</v>
      </c>
      <c r="BP390" t="s">
        <v>74</v>
      </c>
      <c r="BQ390" t="s">
        <v>74</v>
      </c>
      <c r="BR390" t="s">
        <v>102</v>
      </c>
      <c r="BS390" t="s">
        <v>7626</v>
      </c>
      <c r="BT390" t="str">
        <f>HYPERLINK("https%3A%2F%2Fwww.webofscience.com%2Fwos%2Fwoscc%2Ffull-record%2FWOS:000467765900006","View Full Record in Web of Science")</f>
        <v>View Full Record in Web of Science</v>
      </c>
    </row>
    <row r="391" spans="1:72" x14ac:dyDescent="0.2">
      <c r="A391" t="s">
        <v>72</v>
      </c>
      <c r="B391" t="s">
        <v>7627</v>
      </c>
      <c r="C391" t="s">
        <v>74</v>
      </c>
      <c r="D391" t="s">
        <v>74</v>
      </c>
      <c r="E391" t="s">
        <v>74</v>
      </c>
      <c r="F391" t="s">
        <v>7628</v>
      </c>
      <c r="G391" t="s">
        <v>74</v>
      </c>
      <c r="H391" t="s">
        <v>74</v>
      </c>
      <c r="I391" t="s">
        <v>7629</v>
      </c>
      <c r="J391" t="s">
        <v>7630</v>
      </c>
      <c r="K391" t="s">
        <v>74</v>
      </c>
      <c r="L391" t="s">
        <v>74</v>
      </c>
      <c r="M391" t="s">
        <v>78</v>
      </c>
      <c r="N391" t="s">
        <v>108</v>
      </c>
      <c r="O391" t="s">
        <v>74</v>
      </c>
      <c r="P391" t="s">
        <v>74</v>
      </c>
      <c r="Q391" t="s">
        <v>74</v>
      </c>
      <c r="R391" t="s">
        <v>74</v>
      </c>
      <c r="S391" t="s">
        <v>74</v>
      </c>
      <c r="T391" t="s">
        <v>7631</v>
      </c>
      <c r="U391" t="s">
        <v>7632</v>
      </c>
      <c r="V391" t="s">
        <v>7633</v>
      </c>
      <c r="W391" t="s">
        <v>7634</v>
      </c>
      <c r="X391" t="s">
        <v>7635</v>
      </c>
      <c r="Y391" t="s">
        <v>7636</v>
      </c>
      <c r="Z391" t="s">
        <v>7637</v>
      </c>
      <c r="AA391" t="s">
        <v>7638</v>
      </c>
      <c r="AB391" t="s">
        <v>7639</v>
      </c>
      <c r="AC391" t="s">
        <v>74</v>
      </c>
      <c r="AD391" t="s">
        <v>74</v>
      </c>
      <c r="AE391" t="s">
        <v>74</v>
      </c>
      <c r="AF391" t="s">
        <v>74</v>
      </c>
      <c r="AG391">
        <v>27</v>
      </c>
      <c r="AH391">
        <v>5</v>
      </c>
      <c r="AI391">
        <v>5</v>
      </c>
      <c r="AJ391">
        <v>0</v>
      </c>
      <c r="AK391">
        <v>11</v>
      </c>
      <c r="AL391" t="s">
        <v>116</v>
      </c>
      <c r="AM391" t="s">
        <v>117</v>
      </c>
      <c r="AN391" t="s">
        <v>118</v>
      </c>
      <c r="AO391" t="s">
        <v>74</v>
      </c>
      <c r="AP391" t="s">
        <v>7640</v>
      </c>
      <c r="AQ391" t="s">
        <v>74</v>
      </c>
      <c r="AR391" t="s">
        <v>7630</v>
      </c>
      <c r="AS391" t="s">
        <v>7641</v>
      </c>
      <c r="AT391" t="s">
        <v>174</v>
      </c>
      <c r="AU391">
        <v>2021</v>
      </c>
      <c r="AV391">
        <v>14</v>
      </c>
      <c r="AW391">
        <v>20</v>
      </c>
      <c r="AX391" t="s">
        <v>74</v>
      </c>
      <c r="AY391" t="s">
        <v>74</v>
      </c>
      <c r="AZ391" t="s">
        <v>74</v>
      </c>
      <c r="BA391" t="s">
        <v>74</v>
      </c>
      <c r="BB391" t="s">
        <v>74</v>
      </c>
      <c r="BC391" t="s">
        <v>74</v>
      </c>
      <c r="BD391">
        <v>6682</v>
      </c>
      <c r="BE391" t="s">
        <v>7642</v>
      </c>
      <c r="BF391" t="str">
        <f>HYPERLINK("http://dx.doi.org/10.3390/en14206682","http://dx.doi.org/10.3390/en14206682")</f>
        <v>http://dx.doi.org/10.3390/en14206682</v>
      </c>
      <c r="BG391" t="s">
        <v>74</v>
      </c>
      <c r="BH391" t="s">
        <v>74</v>
      </c>
      <c r="BI391">
        <v>17</v>
      </c>
      <c r="BJ391" t="s">
        <v>7643</v>
      </c>
      <c r="BK391" t="s">
        <v>98</v>
      </c>
      <c r="BL391" t="s">
        <v>7643</v>
      </c>
      <c r="BM391" t="s">
        <v>7644</v>
      </c>
      <c r="BN391" t="s">
        <v>74</v>
      </c>
      <c r="BO391" t="s">
        <v>126</v>
      </c>
      <c r="BP391" t="s">
        <v>74</v>
      </c>
      <c r="BQ391" t="s">
        <v>74</v>
      </c>
      <c r="BR391" t="s">
        <v>102</v>
      </c>
      <c r="BS391" t="s">
        <v>7645</v>
      </c>
      <c r="BT391" t="str">
        <f>HYPERLINK("https%3A%2F%2Fwww.webofscience.com%2Fwos%2Fwoscc%2Ffull-record%2FWOS:000714667600001","View Full Record in Web of Science")</f>
        <v>View Full Record in Web of Science</v>
      </c>
    </row>
    <row r="392" spans="1:72" x14ac:dyDescent="0.2">
      <c r="A392" t="s">
        <v>72</v>
      </c>
      <c r="B392" t="s">
        <v>7646</v>
      </c>
      <c r="C392" t="s">
        <v>74</v>
      </c>
      <c r="D392" t="s">
        <v>74</v>
      </c>
      <c r="E392" t="s">
        <v>74</v>
      </c>
      <c r="F392" t="s">
        <v>7647</v>
      </c>
      <c r="G392" t="s">
        <v>74</v>
      </c>
      <c r="H392" t="s">
        <v>74</v>
      </c>
      <c r="I392" t="s">
        <v>7648</v>
      </c>
      <c r="J392" t="s">
        <v>873</v>
      </c>
      <c r="K392" t="s">
        <v>74</v>
      </c>
      <c r="L392" t="s">
        <v>74</v>
      </c>
      <c r="M392" t="s">
        <v>78</v>
      </c>
      <c r="N392" t="s">
        <v>108</v>
      </c>
      <c r="O392" t="s">
        <v>74</v>
      </c>
      <c r="P392" t="s">
        <v>74</v>
      </c>
      <c r="Q392" t="s">
        <v>74</v>
      </c>
      <c r="R392" t="s">
        <v>74</v>
      </c>
      <c r="S392" t="s">
        <v>74</v>
      </c>
      <c r="T392" t="s">
        <v>7649</v>
      </c>
      <c r="U392" t="s">
        <v>7650</v>
      </c>
      <c r="V392" t="s">
        <v>7651</v>
      </c>
      <c r="W392" t="s">
        <v>7652</v>
      </c>
      <c r="X392" t="s">
        <v>7653</v>
      </c>
      <c r="Y392" t="s">
        <v>7654</v>
      </c>
      <c r="Z392" t="s">
        <v>7655</v>
      </c>
      <c r="AA392" t="s">
        <v>7656</v>
      </c>
      <c r="AB392" t="s">
        <v>7657</v>
      </c>
      <c r="AC392" t="s">
        <v>74</v>
      </c>
      <c r="AD392" t="s">
        <v>74</v>
      </c>
      <c r="AE392" t="s">
        <v>74</v>
      </c>
      <c r="AF392" t="s">
        <v>74</v>
      </c>
      <c r="AG392">
        <v>50</v>
      </c>
      <c r="AH392">
        <v>111</v>
      </c>
      <c r="AI392">
        <v>114</v>
      </c>
      <c r="AJ392">
        <v>1</v>
      </c>
      <c r="AK392">
        <v>123</v>
      </c>
      <c r="AL392" t="s">
        <v>6345</v>
      </c>
      <c r="AM392" t="s">
        <v>210</v>
      </c>
      <c r="AN392" t="s">
        <v>6346</v>
      </c>
      <c r="AO392" t="s">
        <v>883</v>
      </c>
      <c r="AP392" t="s">
        <v>74</v>
      </c>
      <c r="AQ392" t="s">
        <v>74</v>
      </c>
      <c r="AR392" t="s">
        <v>885</v>
      </c>
      <c r="AS392" t="s">
        <v>886</v>
      </c>
      <c r="AT392" t="s">
        <v>216</v>
      </c>
      <c r="AU392">
        <v>2010</v>
      </c>
      <c r="AV392">
        <v>128</v>
      </c>
      <c r="AW392">
        <v>2</v>
      </c>
      <c r="AX392" t="s">
        <v>74</v>
      </c>
      <c r="AY392" t="s">
        <v>74</v>
      </c>
      <c r="AZ392" t="s">
        <v>570</v>
      </c>
      <c r="BA392" t="s">
        <v>74</v>
      </c>
      <c r="BB392">
        <v>470</v>
      </c>
      <c r="BC392">
        <v>483</v>
      </c>
      <c r="BD392" t="s">
        <v>74</v>
      </c>
      <c r="BE392" t="s">
        <v>7658</v>
      </c>
      <c r="BF392" t="str">
        <f>HYPERLINK("http://dx.doi.org/10.1016/j.ijpe.2010.07.018","http://dx.doi.org/10.1016/j.ijpe.2010.07.018")</f>
        <v>http://dx.doi.org/10.1016/j.ijpe.2010.07.018</v>
      </c>
      <c r="BG392" t="s">
        <v>74</v>
      </c>
      <c r="BH392" t="s">
        <v>74</v>
      </c>
      <c r="BI392">
        <v>14</v>
      </c>
      <c r="BJ392" t="s">
        <v>780</v>
      </c>
      <c r="BK392" t="s">
        <v>147</v>
      </c>
      <c r="BL392" t="s">
        <v>781</v>
      </c>
      <c r="BM392" t="s">
        <v>7659</v>
      </c>
      <c r="BN392" t="s">
        <v>74</v>
      </c>
      <c r="BO392" t="s">
        <v>74</v>
      </c>
      <c r="BP392" t="s">
        <v>74</v>
      </c>
      <c r="BQ392" t="s">
        <v>74</v>
      </c>
      <c r="BR392" t="s">
        <v>102</v>
      </c>
      <c r="BS392" t="s">
        <v>7660</v>
      </c>
      <c r="BT392" t="str">
        <f>HYPERLINK("https%3A%2F%2Fwww.webofscience.com%2Fwos%2Fwoscc%2Ffull-record%2FWOS:000284967500003","View Full Record in Web of Science")</f>
        <v>View Full Record in Web of Science</v>
      </c>
    </row>
    <row r="393" spans="1:72" x14ac:dyDescent="0.2">
      <c r="A393" t="s">
        <v>72</v>
      </c>
      <c r="B393" t="s">
        <v>7661</v>
      </c>
      <c r="C393" t="s">
        <v>74</v>
      </c>
      <c r="D393" t="s">
        <v>74</v>
      </c>
      <c r="E393" t="s">
        <v>74</v>
      </c>
      <c r="F393" t="s">
        <v>7662</v>
      </c>
      <c r="G393" t="s">
        <v>74</v>
      </c>
      <c r="H393" t="s">
        <v>74</v>
      </c>
      <c r="I393" t="s">
        <v>7663</v>
      </c>
      <c r="J393" t="s">
        <v>337</v>
      </c>
      <c r="K393" t="s">
        <v>74</v>
      </c>
      <c r="L393" t="s">
        <v>74</v>
      </c>
      <c r="M393" t="s">
        <v>78</v>
      </c>
      <c r="N393" t="s">
        <v>108</v>
      </c>
      <c r="O393" t="s">
        <v>74</v>
      </c>
      <c r="P393" t="s">
        <v>74</v>
      </c>
      <c r="Q393" t="s">
        <v>74</v>
      </c>
      <c r="R393" t="s">
        <v>74</v>
      </c>
      <c r="S393" t="s">
        <v>74</v>
      </c>
      <c r="T393" t="s">
        <v>7664</v>
      </c>
      <c r="U393" t="s">
        <v>7665</v>
      </c>
      <c r="V393" t="s">
        <v>7666</v>
      </c>
      <c r="W393" t="s">
        <v>7667</v>
      </c>
      <c r="X393" t="s">
        <v>7668</v>
      </c>
      <c r="Y393" t="s">
        <v>7669</v>
      </c>
      <c r="Z393" t="s">
        <v>7670</v>
      </c>
      <c r="AA393" t="s">
        <v>7671</v>
      </c>
      <c r="AB393" t="s">
        <v>7672</v>
      </c>
      <c r="AC393" t="s">
        <v>74</v>
      </c>
      <c r="AD393" t="s">
        <v>74</v>
      </c>
      <c r="AE393" t="s">
        <v>74</v>
      </c>
      <c r="AF393" t="s">
        <v>74</v>
      </c>
      <c r="AG393">
        <v>150</v>
      </c>
      <c r="AH393">
        <v>7</v>
      </c>
      <c r="AI393">
        <v>7</v>
      </c>
      <c r="AJ393">
        <v>4</v>
      </c>
      <c r="AK393">
        <v>4</v>
      </c>
      <c r="AL393" t="s">
        <v>347</v>
      </c>
      <c r="AM393" t="s">
        <v>348</v>
      </c>
      <c r="AN393" t="s">
        <v>349</v>
      </c>
      <c r="AO393" t="s">
        <v>350</v>
      </c>
      <c r="AP393" t="s">
        <v>351</v>
      </c>
      <c r="AQ393" t="s">
        <v>74</v>
      </c>
      <c r="AR393" t="s">
        <v>352</v>
      </c>
      <c r="AS393" t="s">
        <v>353</v>
      </c>
      <c r="AT393" t="s">
        <v>394</v>
      </c>
      <c r="AU393">
        <v>2021</v>
      </c>
      <c r="AV393">
        <v>170</v>
      </c>
      <c r="AW393" t="s">
        <v>74</v>
      </c>
      <c r="AX393" t="s">
        <v>74</v>
      </c>
      <c r="AY393" t="s">
        <v>74</v>
      </c>
      <c r="AZ393" t="s">
        <v>74</v>
      </c>
      <c r="BA393" t="s">
        <v>74</v>
      </c>
      <c r="BB393" t="s">
        <v>74</v>
      </c>
      <c r="BC393" t="s">
        <v>74</v>
      </c>
      <c r="BD393">
        <v>120927</v>
      </c>
      <c r="BE393" t="s">
        <v>7673</v>
      </c>
      <c r="BF393" t="str">
        <f>HYPERLINK("http://dx.doi.org/10.1016/j.techfore.2021.120927","http://dx.doi.org/10.1016/j.techfore.2021.120927")</f>
        <v>http://dx.doi.org/10.1016/j.techfore.2021.120927</v>
      </c>
      <c r="BG393" t="s">
        <v>74</v>
      </c>
      <c r="BH393" t="s">
        <v>4013</v>
      </c>
      <c r="BI393">
        <v>13</v>
      </c>
      <c r="BJ393" t="s">
        <v>356</v>
      </c>
      <c r="BK393" t="s">
        <v>242</v>
      </c>
      <c r="BL393" t="s">
        <v>357</v>
      </c>
      <c r="BM393" t="s">
        <v>7674</v>
      </c>
      <c r="BN393" t="s">
        <v>74</v>
      </c>
      <c r="BO393" t="s">
        <v>74</v>
      </c>
      <c r="BP393" t="s">
        <v>74</v>
      </c>
      <c r="BQ393" t="s">
        <v>74</v>
      </c>
      <c r="BR393" t="s">
        <v>102</v>
      </c>
      <c r="BS393" t="s">
        <v>7675</v>
      </c>
      <c r="BT393" t="str">
        <f>HYPERLINK("https%3A%2F%2Fwww.webofscience.com%2Fwos%2Fwoscc%2Ffull-record%2FWOS:000672564400004","View Full Record in Web of Science")</f>
        <v>View Full Record in Web of Science</v>
      </c>
    </row>
    <row r="394" spans="1:72" x14ac:dyDescent="0.2">
      <c r="A394" t="s">
        <v>72</v>
      </c>
      <c r="B394" t="s">
        <v>7676</v>
      </c>
      <c r="C394" t="s">
        <v>74</v>
      </c>
      <c r="D394" t="s">
        <v>74</v>
      </c>
      <c r="E394" t="s">
        <v>74</v>
      </c>
      <c r="F394" t="s">
        <v>7677</v>
      </c>
      <c r="G394" t="s">
        <v>74</v>
      </c>
      <c r="H394" t="s">
        <v>74</v>
      </c>
      <c r="I394" t="s">
        <v>7678</v>
      </c>
      <c r="J394" t="s">
        <v>7679</v>
      </c>
      <c r="K394" t="s">
        <v>74</v>
      </c>
      <c r="L394" t="s">
        <v>74</v>
      </c>
      <c r="M394" t="s">
        <v>78</v>
      </c>
      <c r="N394" t="s">
        <v>108</v>
      </c>
      <c r="O394" t="s">
        <v>74</v>
      </c>
      <c r="P394" t="s">
        <v>74</v>
      </c>
      <c r="Q394" t="s">
        <v>74</v>
      </c>
      <c r="R394" t="s">
        <v>74</v>
      </c>
      <c r="S394" t="s">
        <v>74</v>
      </c>
      <c r="T394" t="s">
        <v>7680</v>
      </c>
      <c r="U394" t="s">
        <v>7681</v>
      </c>
      <c r="V394" t="s">
        <v>7682</v>
      </c>
      <c r="W394" t="s">
        <v>7683</v>
      </c>
      <c r="X394" t="s">
        <v>7684</v>
      </c>
      <c r="Y394" t="s">
        <v>7685</v>
      </c>
      <c r="Z394" t="s">
        <v>7686</v>
      </c>
      <c r="AA394" t="s">
        <v>74</v>
      </c>
      <c r="AB394" t="s">
        <v>74</v>
      </c>
      <c r="AC394" t="s">
        <v>74</v>
      </c>
      <c r="AD394" t="s">
        <v>74</v>
      </c>
      <c r="AE394" t="s">
        <v>74</v>
      </c>
      <c r="AF394" t="s">
        <v>74</v>
      </c>
      <c r="AG394">
        <v>91</v>
      </c>
      <c r="AH394">
        <v>4</v>
      </c>
      <c r="AI394">
        <v>4</v>
      </c>
      <c r="AJ394">
        <v>1</v>
      </c>
      <c r="AK394">
        <v>31</v>
      </c>
      <c r="AL394" t="s">
        <v>409</v>
      </c>
      <c r="AM394" t="s">
        <v>410</v>
      </c>
      <c r="AN394" t="s">
        <v>411</v>
      </c>
      <c r="AO394" t="s">
        <v>7687</v>
      </c>
      <c r="AP394" t="s">
        <v>7688</v>
      </c>
      <c r="AQ394" t="s">
        <v>74</v>
      </c>
      <c r="AR394" t="s">
        <v>7689</v>
      </c>
      <c r="AS394" t="s">
        <v>7690</v>
      </c>
      <c r="AT394" t="s">
        <v>216</v>
      </c>
      <c r="AU394">
        <v>2019</v>
      </c>
      <c r="AV394">
        <v>40</v>
      </c>
      <c r="AW394">
        <v>4</v>
      </c>
      <c r="AX394" t="s">
        <v>74</v>
      </c>
      <c r="AY394" t="s">
        <v>74</v>
      </c>
      <c r="AZ394" t="s">
        <v>74</v>
      </c>
      <c r="BA394" t="s">
        <v>74</v>
      </c>
      <c r="BB394">
        <v>339</v>
      </c>
      <c r="BC394">
        <v>357</v>
      </c>
      <c r="BD394" t="s">
        <v>74</v>
      </c>
      <c r="BE394" t="s">
        <v>7691</v>
      </c>
      <c r="BF394" t="str">
        <f>HYPERLINK("http://dx.doi.org/10.1111/jbl.12232","http://dx.doi.org/10.1111/jbl.12232")</f>
        <v>http://dx.doi.org/10.1111/jbl.12232</v>
      </c>
      <c r="BG394" t="s">
        <v>74</v>
      </c>
      <c r="BH394" t="s">
        <v>74</v>
      </c>
      <c r="BI394">
        <v>19</v>
      </c>
      <c r="BJ394" t="s">
        <v>418</v>
      </c>
      <c r="BK394" t="s">
        <v>242</v>
      </c>
      <c r="BL394" t="s">
        <v>419</v>
      </c>
      <c r="BM394" t="s">
        <v>7692</v>
      </c>
      <c r="BN394" t="s">
        <v>74</v>
      </c>
      <c r="BO394" t="s">
        <v>74</v>
      </c>
      <c r="BP394" t="s">
        <v>74</v>
      </c>
      <c r="BQ394" t="s">
        <v>74</v>
      </c>
      <c r="BR394" t="s">
        <v>102</v>
      </c>
      <c r="BS394" t="s">
        <v>7693</v>
      </c>
      <c r="BT394" t="str">
        <f>HYPERLINK("https%3A%2F%2Fwww.webofscience.com%2Fwos%2Fwoscc%2Ffull-record%2FWOS:000505281000005","View Full Record in Web of Science")</f>
        <v>View Full Record in Web of Science</v>
      </c>
    </row>
    <row r="395" spans="1:72" x14ac:dyDescent="0.2">
      <c r="A395" t="s">
        <v>72</v>
      </c>
      <c r="B395" t="s">
        <v>7694</v>
      </c>
      <c r="C395" t="s">
        <v>74</v>
      </c>
      <c r="D395" t="s">
        <v>74</v>
      </c>
      <c r="E395" t="s">
        <v>74</v>
      </c>
      <c r="F395" t="s">
        <v>7695</v>
      </c>
      <c r="G395" t="s">
        <v>74</v>
      </c>
      <c r="H395" t="s">
        <v>74</v>
      </c>
      <c r="I395" t="s">
        <v>7696</v>
      </c>
      <c r="J395" t="s">
        <v>7697</v>
      </c>
      <c r="K395" t="s">
        <v>74</v>
      </c>
      <c r="L395" t="s">
        <v>74</v>
      </c>
      <c r="M395" t="s">
        <v>78</v>
      </c>
      <c r="N395" t="s">
        <v>108</v>
      </c>
      <c r="O395" t="s">
        <v>74</v>
      </c>
      <c r="P395" t="s">
        <v>74</v>
      </c>
      <c r="Q395" t="s">
        <v>74</v>
      </c>
      <c r="R395" t="s">
        <v>74</v>
      </c>
      <c r="S395" t="s">
        <v>74</v>
      </c>
      <c r="T395" t="s">
        <v>7698</v>
      </c>
      <c r="U395" t="s">
        <v>7699</v>
      </c>
      <c r="V395" t="s">
        <v>7700</v>
      </c>
      <c r="W395" t="s">
        <v>7701</v>
      </c>
      <c r="X395" t="s">
        <v>7702</v>
      </c>
      <c r="Y395" t="s">
        <v>7703</v>
      </c>
      <c r="Z395" t="s">
        <v>7704</v>
      </c>
      <c r="AA395" t="s">
        <v>74</v>
      </c>
      <c r="AB395" t="s">
        <v>7705</v>
      </c>
      <c r="AC395" t="s">
        <v>74</v>
      </c>
      <c r="AD395" t="s">
        <v>74</v>
      </c>
      <c r="AE395" t="s">
        <v>74</v>
      </c>
      <c r="AF395" t="s">
        <v>74</v>
      </c>
      <c r="AG395">
        <v>61</v>
      </c>
      <c r="AH395">
        <v>0</v>
      </c>
      <c r="AI395">
        <v>0</v>
      </c>
      <c r="AJ395">
        <v>0</v>
      </c>
      <c r="AK395">
        <v>1</v>
      </c>
      <c r="AL395" t="s">
        <v>409</v>
      </c>
      <c r="AM395" t="s">
        <v>410</v>
      </c>
      <c r="AN395" t="s">
        <v>411</v>
      </c>
      <c r="AO395" t="s">
        <v>7706</v>
      </c>
      <c r="AP395" t="s">
        <v>7707</v>
      </c>
      <c r="AQ395" t="s">
        <v>74</v>
      </c>
      <c r="AR395" t="s">
        <v>7708</v>
      </c>
      <c r="AS395" t="s">
        <v>7709</v>
      </c>
      <c r="AT395" t="s">
        <v>616</v>
      </c>
      <c r="AU395">
        <v>2023</v>
      </c>
      <c r="AV395">
        <v>41</v>
      </c>
      <c r="AW395">
        <v>2</v>
      </c>
      <c r="AX395" t="s">
        <v>74</v>
      </c>
      <c r="AY395" t="s">
        <v>74</v>
      </c>
      <c r="AZ395" t="s">
        <v>74</v>
      </c>
      <c r="BA395" t="s">
        <v>74</v>
      </c>
      <c r="BB395" t="s">
        <v>74</v>
      </c>
      <c r="BC395" t="s">
        <v>74</v>
      </c>
      <c r="BD395" t="s">
        <v>74</v>
      </c>
      <c r="BE395" t="s">
        <v>7710</v>
      </c>
      <c r="BF395" t="str">
        <f>HYPERLINK("http://dx.doi.org/10.1111/dpr.12662","http://dx.doi.org/10.1111/dpr.12662")</f>
        <v>http://dx.doi.org/10.1111/dpr.12662</v>
      </c>
      <c r="BG395" t="s">
        <v>74</v>
      </c>
      <c r="BH395" t="s">
        <v>6185</v>
      </c>
      <c r="BI395">
        <v>22</v>
      </c>
      <c r="BJ395" t="s">
        <v>7711</v>
      </c>
      <c r="BK395" t="s">
        <v>242</v>
      </c>
      <c r="BL395" t="s">
        <v>7711</v>
      </c>
      <c r="BM395" t="s">
        <v>7712</v>
      </c>
      <c r="BN395" t="s">
        <v>74</v>
      </c>
      <c r="BO395" t="s">
        <v>7713</v>
      </c>
      <c r="BP395" t="s">
        <v>74</v>
      </c>
      <c r="BQ395" t="s">
        <v>74</v>
      </c>
      <c r="BR395" t="s">
        <v>102</v>
      </c>
      <c r="BS395" t="s">
        <v>7714</v>
      </c>
      <c r="BT395" t="str">
        <f>HYPERLINK("https%3A%2F%2Fwww.webofscience.com%2Fwos%2Fwoscc%2Ffull-record%2FWOS:000920023300001","View Full Record in Web of Science")</f>
        <v>View Full Record in Web of Science</v>
      </c>
    </row>
    <row r="396" spans="1:72" x14ac:dyDescent="0.2">
      <c r="A396" t="s">
        <v>72</v>
      </c>
      <c r="B396" t="s">
        <v>7715</v>
      </c>
      <c r="C396" t="s">
        <v>74</v>
      </c>
      <c r="D396" t="s">
        <v>74</v>
      </c>
      <c r="E396" t="s">
        <v>74</v>
      </c>
      <c r="F396" t="s">
        <v>7716</v>
      </c>
      <c r="G396" t="s">
        <v>74</v>
      </c>
      <c r="H396" t="s">
        <v>74</v>
      </c>
      <c r="I396" t="s">
        <v>7717</v>
      </c>
      <c r="J396" t="s">
        <v>7718</v>
      </c>
      <c r="K396" t="s">
        <v>74</v>
      </c>
      <c r="L396" t="s">
        <v>74</v>
      </c>
      <c r="M396" t="s">
        <v>78</v>
      </c>
      <c r="N396" t="s">
        <v>108</v>
      </c>
      <c r="O396" t="s">
        <v>74</v>
      </c>
      <c r="P396" t="s">
        <v>74</v>
      </c>
      <c r="Q396" t="s">
        <v>74</v>
      </c>
      <c r="R396" t="s">
        <v>74</v>
      </c>
      <c r="S396" t="s">
        <v>74</v>
      </c>
      <c r="T396" t="s">
        <v>7719</v>
      </c>
      <c r="U396" t="s">
        <v>7720</v>
      </c>
      <c r="V396" t="s">
        <v>7721</v>
      </c>
      <c r="W396" t="s">
        <v>7722</v>
      </c>
      <c r="X396" t="s">
        <v>7723</v>
      </c>
      <c r="Y396" t="s">
        <v>7724</v>
      </c>
      <c r="Z396" t="s">
        <v>7725</v>
      </c>
      <c r="AA396" t="s">
        <v>74</v>
      </c>
      <c r="AB396" t="s">
        <v>74</v>
      </c>
      <c r="AC396" t="s">
        <v>7726</v>
      </c>
      <c r="AD396" t="s">
        <v>7727</v>
      </c>
      <c r="AE396" t="s">
        <v>7728</v>
      </c>
      <c r="AF396" t="s">
        <v>74</v>
      </c>
      <c r="AG396">
        <v>62</v>
      </c>
      <c r="AH396">
        <v>0</v>
      </c>
      <c r="AI396">
        <v>0</v>
      </c>
      <c r="AJ396">
        <v>2</v>
      </c>
      <c r="AK396">
        <v>2</v>
      </c>
      <c r="AL396" t="s">
        <v>259</v>
      </c>
      <c r="AM396" t="s">
        <v>260</v>
      </c>
      <c r="AN396" t="s">
        <v>261</v>
      </c>
      <c r="AO396" t="s">
        <v>7729</v>
      </c>
      <c r="AP396" t="s">
        <v>7730</v>
      </c>
      <c r="AQ396" t="s">
        <v>74</v>
      </c>
      <c r="AR396" t="s">
        <v>7731</v>
      </c>
      <c r="AS396" t="s">
        <v>7732</v>
      </c>
      <c r="AT396" t="s">
        <v>7733</v>
      </c>
      <c r="AU396">
        <v>2023</v>
      </c>
      <c r="AV396">
        <v>99</v>
      </c>
      <c r="AW396" t="s">
        <v>74</v>
      </c>
      <c r="AX396" t="s">
        <v>74</v>
      </c>
      <c r="AY396" t="s">
        <v>74</v>
      </c>
      <c r="AZ396" t="s">
        <v>74</v>
      </c>
      <c r="BA396" t="s">
        <v>74</v>
      </c>
      <c r="BB396">
        <v>898</v>
      </c>
      <c r="BC396">
        <v>910</v>
      </c>
      <c r="BD396" t="s">
        <v>74</v>
      </c>
      <c r="BE396" t="s">
        <v>7734</v>
      </c>
      <c r="BF396" t="str">
        <f>HYPERLINK("http://dx.doi.org/10.1016/j.jmapro.2023.05.030","http://dx.doi.org/10.1016/j.jmapro.2023.05.030")</f>
        <v>http://dx.doi.org/10.1016/j.jmapro.2023.05.030</v>
      </c>
      <c r="BG396" t="s">
        <v>74</v>
      </c>
      <c r="BH396" t="s">
        <v>396</v>
      </c>
      <c r="BI396">
        <v>13</v>
      </c>
      <c r="BJ396" t="s">
        <v>7735</v>
      </c>
      <c r="BK396" t="s">
        <v>98</v>
      </c>
      <c r="BL396" t="s">
        <v>1292</v>
      </c>
      <c r="BM396" t="s">
        <v>7736</v>
      </c>
      <c r="BN396" t="s">
        <v>74</v>
      </c>
      <c r="BO396" t="s">
        <v>74</v>
      </c>
      <c r="BP396" t="s">
        <v>74</v>
      </c>
      <c r="BQ396" t="s">
        <v>74</v>
      </c>
      <c r="BR396" t="s">
        <v>102</v>
      </c>
      <c r="BS396" t="s">
        <v>7737</v>
      </c>
      <c r="BT396" t="str">
        <f>HYPERLINK("https%3A%2F%2Fwww.webofscience.com%2Fwos%2Fwoscc%2Ffull-record%2FWOS:001018234800001","View Full Record in Web of Science")</f>
        <v>View Full Record in Web of Science</v>
      </c>
    </row>
    <row r="397" spans="1:72" x14ac:dyDescent="0.2">
      <c r="A397" t="s">
        <v>72</v>
      </c>
      <c r="B397" t="s">
        <v>7738</v>
      </c>
      <c r="C397" t="s">
        <v>74</v>
      </c>
      <c r="D397" t="s">
        <v>74</v>
      </c>
      <c r="E397" t="s">
        <v>74</v>
      </c>
      <c r="F397" t="s">
        <v>7739</v>
      </c>
      <c r="G397" t="s">
        <v>74</v>
      </c>
      <c r="H397" t="s">
        <v>74</v>
      </c>
      <c r="I397" t="s">
        <v>7740</v>
      </c>
      <c r="J397" t="s">
        <v>7741</v>
      </c>
      <c r="K397" t="s">
        <v>74</v>
      </c>
      <c r="L397" t="s">
        <v>74</v>
      </c>
      <c r="M397" t="s">
        <v>78</v>
      </c>
      <c r="N397" t="s">
        <v>108</v>
      </c>
      <c r="O397" t="s">
        <v>74</v>
      </c>
      <c r="P397" t="s">
        <v>74</v>
      </c>
      <c r="Q397" t="s">
        <v>74</v>
      </c>
      <c r="R397" t="s">
        <v>74</v>
      </c>
      <c r="S397" t="s">
        <v>74</v>
      </c>
      <c r="T397" t="s">
        <v>74</v>
      </c>
      <c r="U397" t="s">
        <v>7742</v>
      </c>
      <c r="V397" t="s">
        <v>7743</v>
      </c>
      <c r="W397" t="s">
        <v>7744</v>
      </c>
      <c r="X397" t="s">
        <v>7745</v>
      </c>
      <c r="Y397" t="s">
        <v>7746</v>
      </c>
      <c r="Z397" t="s">
        <v>7747</v>
      </c>
      <c r="AA397" t="s">
        <v>7748</v>
      </c>
      <c r="AB397" t="s">
        <v>7749</v>
      </c>
      <c r="AC397" t="s">
        <v>74</v>
      </c>
      <c r="AD397" t="s">
        <v>74</v>
      </c>
      <c r="AE397" t="s">
        <v>74</v>
      </c>
      <c r="AF397" t="s">
        <v>74</v>
      </c>
      <c r="AG397">
        <v>20</v>
      </c>
      <c r="AH397">
        <v>1</v>
      </c>
      <c r="AI397">
        <v>1</v>
      </c>
      <c r="AJ397">
        <v>1</v>
      </c>
      <c r="AK397">
        <v>25</v>
      </c>
      <c r="AL397" t="s">
        <v>4005</v>
      </c>
      <c r="AM397" t="s">
        <v>4006</v>
      </c>
      <c r="AN397" t="s">
        <v>4007</v>
      </c>
      <c r="AO397" t="s">
        <v>7750</v>
      </c>
      <c r="AP397" t="s">
        <v>7751</v>
      </c>
      <c r="AQ397" t="s">
        <v>74</v>
      </c>
      <c r="AR397" t="s">
        <v>7752</v>
      </c>
      <c r="AS397" t="s">
        <v>7753</v>
      </c>
      <c r="AT397" t="s">
        <v>800</v>
      </c>
      <c r="AU397">
        <v>2021</v>
      </c>
      <c r="AV397">
        <v>27</v>
      </c>
      <c r="AW397">
        <v>4</v>
      </c>
      <c r="AX397" t="s">
        <v>74</v>
      </c>
      <c r="AY397" t="s">
        <v>74</v>
      </c>
      <c r="AZ397" t="s">
        <v>570</v>
      </c>
      <c r="BA397" t="s">
        <v>74</v>
      </c>
      <c r="BB397">
        <v>1305</v>
      </c>
      <c r="BC397">
        <v>1315</v>
      </c>
      <c r="BD397" t="s">
        <v>74</v>
      </c>
      <c r="BE397" t="s">
        <v>7754</v>
      </c>
      <c r="BF397" t="str">
        <f>HYPERLINK("http://dx.doi.org/10.1007/s00542-018-4228-0","http://dx.doi.org/10.1007/s00542-018-4228-0")</f>
        <v>http://dx.doi.org/10.1007/s00542-018-4228-0</v>
      </c>
      <c r="BG397" t="s">
        <v>74</v>
      </c>
      <c r="BH397" t="s">
        <v>74</v>
      </c>
      <c r="BI397">
        <v>11</v>
      </c>
      <c r="BJ397" t="s">
        <v>7755</v>
      </c>
      <c r="BK397" t="s">
        <v>147</v>
      </c>
      <c r="BL397" t="s">
        <v>7756</v>
      </c>
      <c r="BM397" t="s">
        <v>7757</v>
      </c>
      <c r="BN397" t="s">
        <v>74</v>
      </c>
      <c r="BO397" t="s">
        <v>702</v>
      </c>
      <c r="BP397" t="s">
        <v>74</v>
      </c>
      <c r="BQ397" t="s">
        <v>74</v>
      </c>
      <c r="BR397" t="s">
        <v>102</v>
      </c>
      <c r="BS397" t="s">
        <v>7758</v>
      </c>
      <c r="BT397" t="str">
        <f>HYPERLINK("https%3A%2F%2Fwww.webofscience.com%2Fwos%2Fwoscc%2Ffull-record%2FWOS:000647800200026","View Full Record in Web of Science")</f>
        <v>View Full Record in Web of Science</v>
      </c>
    </row>
    <row r="398" spans="1:72" x14ac:dyDescent="0.2">
      <c r="A398" t="s">
        <v>72</v>
      </c>
      <c r="B398" t="s">
        <v>7759</v>
      </c>
      <c r="C398" t="s">
        <v>74</v>
      </c>
      <c r="D398" t="s">
        <v>74</v>
      </c>
      <c r="E398" t="s">
        <v>74</v>
      </c>
      <c r="F398" t="s">
        <v>7760</v>
      </c>
      <c r="G398" t="s">
        <v>74</v>
      </c>
      <c r="H398" t="s">
        <v>74</v>
      </c>
      <c r="I398" t="s">
        <v>7761</v>
      </c>
      <c r="J398" t="s">
        <v>5483</v>
      </c>
      <c r="K398" t="s">
        <v>74</v>
      </c>
      <c r="L398" t="s">
        <v>74</v>
      </c>
      <c r="M398" t="s">
        <v>78</v>
      </c>
      <c r="N398" t="s">
        <v>79</v>
      </c>
      <c r="O398" t="s">
        <v>74</v>
      </c>
      <c r="P398" t="s">
        <v>74</v>
      </c>
      <c r="Q398" t="s">
        <v>74</v>
      </c>
      <c r="R398" t="s">
        <v>74</v>
      </c>
      <c r="S398" t="s">
        <v>74</v>
      </c>
      <c r="T398" t="s">
        <v>7762</v>
      </c>
      <c r="U398" t="s">
        <v>7763</v>
      </c>
      <c r="V398" t="s">
        <v>7764</v>
      </c>
      <c r="W398" t="s">
        <v>7765</v>
      </c>
      <c r="X398" t="s">
        <v>7766</v>
      </c>
      <c r="Y398" t="s">
        <v>7767</v>
      </c>
      <c r="Z398" t="s">
        <v>7768</v>
      </c>
      <c r="AA398" t="s">
        <v>7769</v>
      </c>
      <c r="AB398" t="s">
        <v>7770</v>
      </c>
      <c r="AC398" t="s">
        <v>74</v>
      </c>
      <c r="AD398" t="s">
        <v>74</v>
      </c>
      <c r="AE398" t="s">
        <v>74</v>
      </c>
      <c r="AF398" t="s">
        <v>74</v>
      </c>
      <c r="AG398">
        <v>139</v>
      </c>
      <c r="AH398">
        <v>3</v>
      </c>
      <c r="AI398">
        <v>3</v>
      </c>
      <c r="AJ398">
        <v>32</v>
      </c>
      <c r="AK398">
        <v>105</v>
      </c>
      <c r="AL398" t="s">
        <v>437</v>
      </c>
      <c r="AM398" t="s">
        <v>438</v>
      </c>
      <c r="AN398" t="s">
        <v>439</v>
      </c>
      <c r="AO398" t="s">
        <v>5493</v>
      </c>
      <c r="AP398" t="s">
        <v>5494</v>
      </c>
      <c r="AQ398" t="s">
        <v>74</v>
      </c>
      <c r="AR398" t="s">
        <v>5495</v>
      </c>
      <c r="AS398" t="s">
        <v>5496</v>
      </c>
      <c r="AT398" t="s">
        <v>7771</v>
      </c>
      <c r="AU398">
        <v>2023</v>
      </c>
      <c r="AV398">
        <v>28</v>
      </c>
      <c r="AW398">
        <v>1</v>
      </c>
      <c r="AX398" t="s">
        <v>74</v>
      </c>
      <c r="AY398" t="s">
        <v>74</v>
      </c>
      <c r="AZ398" t="s">
        <v>74</v>
      </c>
      <c r="BA398" t="s">
        <v>74</v>
      </c>
      <c r="BB398">
        <v>140</v>
      </c>
      <c r="BC398">
        <v>161</v>
      </c>
      <c r="BD398" t="s">
        <v>74</v>
      </c>
      <c r="BE398" t="s">
        <v>7772</v>
      </c>
      <c r="BF398" t="str">
        <f>HYPERLINK("http://dx.doi.org/10.1108/SCM-03-2021-0111","http://dx.doi.org/10.1108/SCM-03-2021-0111")</f>
        <v>http://dx.doi.org/10.1108/SCM-03-2021-0111</v>
      </c>
      <c r="BG398" t="s">
        <v>74</v>
      </c>
      <c r="BH398" t="s">
        <v>267</v>
      </c>
      <c r="BI398">
        <v>22</v>
      </c>
      <c r="BJ398" t="s">
        <v>849</v>
      </c>
      <c r="BK398" t="s">
        <v>242</v>
      </c>
      <c r="BL398" t="s">
        <v>419</v>
      </c>
      <c r="BM398" t="s">
        <v>7773</v>
      </c>
      <c r="BN398" t="s">
        <v>74</v>
      </c>
      <c r="BO398" t="s">
        <v>74</v>
      </c>
      <c r="BP398" t="s">
        <v>74</v>
      </c>
      <c r="BQ398" t="s">
        <v>74</v>
      </c>
      <c r="BR398" t="s">
        <v>102</v>
      </c>
      <c r="BS398" t="s">
        <v>7774</v>
      </c>
      <c r="BT398" t="str">
        <f>HYPERLINK("https%3A%2F%2Fwww.webofscience.com%2Fwos%2Fwoscc%2Ffull-record%2FWOS:000709474400001","View Full Record in Web of Science")</f>
        <v>View Full Record in Web of Science</v>
      </c>
    </row>
    <row r="399" spans="1:72" x14ac:dyDescent="0.2">
      <c r="A399" t="s">
        <v>72</v>
      </c>
      <c r="B399" t="s">
        <v>7775</v>
      </c>
      <c r="C399" t="s">
        <v>74</v>
      </c>
      <c r="D399" t="s">
        <v>74</v>
      </c>
      <c r="E399" t="s">
        <v>74</v>
      </c>
      <c r="F399" t="s">
        <v>7776</v>
      </c>
      <c r="G399" t="s">
        <v>74</v>
      </c>
      <c r="H399" t="s">
        <v>74</v>
      </c>
      <c r="I399" t="s">
        <v>7777</v>
      </c>
      <c r="J399" t="s">
        <v>4384</v>
      </c>
      <c r="K399" t="s">
        <v>74</v>
      </c>
      <c r="L399" t="s">
        <v>74</v>
      </c>
      <c r="M399" t="s">
        <v>78</v>
      </c>
      <c r="N399" t="s">
        <v>108</v>
      </c>
      <c r="O399" t="s">
        <v>74</v>
      </c>
      <c r="P399" t="s">
        <v>74</v>
      </c>
      <c r="Q399" t="s">
        <v>74</v>
      </c>
      <c r="R399" t="s">
        <v>74</v>
      </c>
      <c r="S399" t="s">
        <v>74</v>
      </c>
      <c r="T399" t="s">
        <v>7778</v>
      </c>
      <c r="U399" t="s">
        <v>7779</v>
      </c>
      <c r="V399" t="s">
        <v>7780</v>
      </c>
      <c r="W399" t="s">
        <v>7781</v>
      </c>
      <c r="X399" t="s">
        <v>7782</v>
      </c>
      <c r="Y399" t="s">
        <v>7783</v>
      </c>
      <c r="Z399" t="s">
        <v>7784</v>
      </c>
      <c r="AA399" t="s">
        <v>74</v>
      </c>
      <c r="AB399" t="s">
        <v>7785</v>
      </c>
      <c r="AC399" t="s">
        <v>74</v>
      </c>
      <c r="AD399" t="s">
        <v>74</v>
      </c>
      <c r="AE399" t="s">
        <v>74</v>
      </c>
      <c r="AF399" t="s">
        <v>74</v>
      </c>
      <c r="AG399">
        <v>34</v>
      </c>
      <c r="AH399">
        <v>0</v>
      </c>
      <c r="AI399">
        <v>0</v>
      </c>
      <c r="AJ399">
        <v>8</v>
      </c>
      <c r="AK399">
        <v>23</v>
      </c>
      <c r="AL399" t="s">
        <v>167</v>
      </c>
      <c r="AM399" t="s">
        <v>168</v>
      </c>
      <c r="AN399" t="s">
        <v>169</v>
      </c>
      <c r="AO399" t="s">
        <v>4393</v>
      </c>
      <c r="AP399" t="s">
        <v>74</v>
      </c>
      <c r="AQ399" t="s">
        <v>74</v>
      </c>
      <c r="AR399" t="s">
        <v>4384</v>
      </c>
      <c r="AS399" t="s">
        <v>4394</v>
      </c>
      <c r="AT399" t="s">
        <v>74</v>
      </c>
      <c r="AU399">
        <v>2022</v>
      </c>
      <c r="AV399">
        <v>10</v>
      </c>
      <c r="AW399" t="s">
        <v>74</v>
      </c>
      <c r="AX399" t="s">
        <v>74</v>
      </c>
      <c r="AY399" t="s">
        <v>74</v>
      </c>
      <c r="AZ399" t="s">
        <v>74</v>
      </c>
      <c r="BA399" t="s">
        <v>74</v>
      </c>
      <c r="BB399">
        <v>12191</v>
      </c>
      <c r="BC399">
        <v>12200</v>
      </c>
      <c r="BD399" t="s">
        <v>74</v>
      </c>
      <c r="BE399" t="s">
        <v>7786</v>
      </c>
      <c r="BF399" t="str">
        <f>HYPERLINK("http://dx.doi.org/10.1109/ACCESS.2022.3145157","http://dx.doi.org/10.1109/ACCESS.2022.3145157")</f>
        <v>http://dx.doi.org/10.1109/ACCESS.2022.3145157</v>
      </c>
      <c r="BG399" t="s">
        <v>74</v>
      </c>
      <c r="BH399" t="s">
        <v>74</v>
      </c>
      <c r="BI399">
        <v>10</v>
      </c>
      <c r="BJ399" t="s">
        <v>2959</v>
      </c>
      <c r="BK399" t="s">
        <v>98</v>
      </c>
      <c r="BL399" t="s">
        <v>2960</v>
      </c>
      <c r="BM399" t="s">
        <v>7787</v>
      </c>
      <c r="BN399" t="s">
        <v>74</v>
      </c>
      <c r="BO399" t="s">
        <v>126</v>
      </c>
      <c r="BP399" t="s">
        <v>74</v>
      </c>
      <c r="BQ399" t="s">
        <v>74</v>
      </c>
      <c r="BR399" t="s">
        <v>102</v>
      </c>
      <c r="BS399" t="s">
        <v>7788</v>
      </c>
      <c r="BT399" t="str">
        <f>HYPERLINK("https%3A%2F%2Fwww.webofscience.com%2Fwos%2Fwoscc%2Ffull-record%2FWOS:000751359000001","View Full Record in Web of Science")</f>
        <v>View Full Record in Web of Science</v>
      </c>
    </row>
    <row r="400" spans="1:72" x14ac:dyDescent="0.2">
      <c r="A400" t="s">
        <v>72</v>
      </c>
      <c r="B400" t="s">
        <v>7789</v>
      </c>
      <c r="C400" t="s">
        <v>74</v>
      </c>
      <c r="D400" t="s">
        <v>74</v>
      </c>
      <c r="E400" t="s">
        <v>74</v>
      </c>
      <c r="F400" t="s">
        <v>7790</v>
      </c>
      <c r="G400" t="s">
        <v>74</v>
      </c>
      <c r="H400" t="s">
        <v>74</v>
      </c>
      <c r="I400" t="s">
        <v>7791</v>
      </c>
      <c r="J400" t="s">
        <v>762</v>
      </c>
      <c r="K400" t="s">
        <v>74</v>
      </c>
      <c r="L400" t="s">
        <v>74</v>
      </c>
      <c r="M400" t="s">
        <v>78</v>
      </c>
      <c r="N400" t="s">
        <v>108</v>
      </c>
      <c r="O400" t="s">
        <v>74</v>
      </c>
      <c r="P400" t="s">
        <v>74</v>
      </c>
      <c r="Q400" t="s">
        <v>74</v>
      </c>
      <c r="R400" t="s">
        <v>74</v>
      </c>
      <c r="S400" t="s">
        <v>74</v>
      </c>
      <c r="T400" t="s">
        <v>7792</v>
      </c>
      <c r="U400" t="s">
        <v>7793</v>
      </c>
      <c r="V400" t="s">
        <v>7794</v>
      </c>
      <c r="W400" t="s">
        <v>7795</v>
      </c>
      <c r="X400" t="s">
        <v>7796</v>
      </c>
      <c r="Y400" t="s">
        <v>7797</v>
      </c>
      <c r="Z400" t="s">
        <v>7798</v>
      </c>
      <c r="AA400" t="s">
        <v>74</v>
      </c>
      <c r="AB400" t="s">
        <v>74</v>
      </c>
      <c r="AC400" t="s">
        <v>7799</v>
      </c>
      <c r="AD400" t="s">
        <v>7799</v>
      </c>
      <c r="AE400" t="s">
        <v>7800</v>
      </c>
      <c r="AF400" t="s">
        <v>74</v>
      </c>
      <c r="AG400">
        <v>19</v>
      </c>
      <c r="AH400">
        <v>30</v>
      </c>
      <c r="AI400">
        <v>30</v>
      </c>
      <c r="AJ400">
        <v>5</v>
      </c>
      <c r="AK400">
        <v>39</v>
      </c>
      <c r="AL400" t="s">
        <v>279</v>
      </c>
      <c r="AM400" t="s">
        <v>280</v>
      </c>
      <c r="AN400" t="s">
        <v>281</v>
      </c>
      <c r="AO400" t="s">
        <v>773</v>
      </c>
      <c r="AP400" t="s">
        <v>774</v>
      </c>
      <c r="AQ400" t="s">
        <v>74</v>
      </c>
      <c r="AR400" t="s">
        <v>775</v>
      </c>
      <c r="AS400" t="s">
        <v>776</v>
      </c>
      <c r="AT400" t="s">
        <v>74</v>
      </c>
      <c r="AU400">
        <v>2017</v>
      </c>
      <c r="AV400">
        <v>55</v>
      </c>
      <c r="AW400">
        <v>17</v>
      </c>
      <c r="AX400" t="s">
        <v>74</v>
      </c>
      <c r="AY400" t="s">
        <v>74</v>
      </c>
      <c r="AZ400" t="s">
        <v>74</v>
      </c>
      <c r="BA400" t="s">
        <v>74</v>
      </c>
      <c r="BB400">
        <v>5001</v>
      </c>
      <c r="BC400">
        <v>5010</v>
      </c>
      <c r="BD400" t="s">
        <v>74</v>
      </c>
      <c r="BE400" t="s">
        <v>7801</v>
      </c>
      <c r="BF400" t="str">
        <f>HYPERLINK("http://dx.doi.org/10.1080/00207543.2015.1112046","http://dx.doi.org/10.1080/00207543.2015.1112046")</f>
        <v>http://dx.doi.org/10.1080/00207543.2015.1112046</v>
      </c>
      <c r="BG400" t="s">
        <v>74</v>
      </c>
      <c r="BH400" t="s">
        <v>74</v>
      </c>
      <c r="BI400">
        <v>10</v>
      </c>
      <c r="BJ400" t="s">
        <v>780</v>
      </c>
      <c r="BK400" t="s">
        <v>98</v>
      </c>
      <c r="BL400" t="s">
        <v>781</v>
      </c>
      <c r="BM400" t="s">
        <v>7802</v>
      </c>
      <c r="BN400" t="s">
        <v>74</v>
      </c>
      <c r="BO400" t="s">
        <v>74</v>
      </c>
      <c r="BP400" t="s">
        <v>74</v>
      </c>
      <c r="BQ400" t="s">
        <v>74</v>
      </c>
      <c r="BR400" t="s">
        <v>102</v>
      </c>
      <c r="BS400" t="s">
        <v>7803</v>
      </c>
      <c r="BT400" t="str">
        <f>HYPERLINK("https%3A%2F%2Fwww.webofscience.com%2Fwos%2Fwoscc%2Ffull-record%2FWOS:000404671500012","View Full Record in Web of Science")</f>
        <v>View Full Record in Web of Science</v>
      </c>
    </row>
    <row r="401" spans="1:72" x14ac:dyDescent="0.2">
      <c r="A401" t="s">
        <v>72</v>
      </c>
      <c r="B401" t="s">
        <v>7804</v>
      </c>
      <c r="C401" t="s">
        <v>74</v>
      </c>
      <c r="D401" t="s">
        <v>74</v>
      </c>
      <c r="E401" t="s">
        <v>74</v>
      </c>
      <c r="F401" t="s">
        <v>7805</v>
      </c>
      <c r="G401" t="s">
        <v>74</v>
      </c>
      <c r="H401" t="s">
        <v>74</v>
      </c>
      <c r="I401" t="s">
        <v>7806</v>
      </c>
      <c r="J401" t="s">
        <v>7807</v>
      </c>
      <c r="K401" t="s">
        <v>74</v>
      </c>
      <c r="L401" t="s">
        <v>74</v>
      </c>
      <c r="M401" t="s">
        <v>78</v>
      </c>
      <c r="N401" t="s">
        <v>108</v>
      </c>
      <c r="O401" t="s">
        <v>74</v>
      </c>
      <c r="P401" t="s">
        <v>74</v>
      </c>
      <c r="Q401" t="s">
        <v>74</v>
      </c>
      <c r="R401" t="s">
        <v>74</v>
      </c>
      <c r="S401" t="s">
        <v>74</v>
      </c>
      <c r="T401" t="s">
        <v>7808</v>
      </c>
      <c r="U401" t="s">
        <v>7809</v>
      </c>
      <c r="V401" t="s">
        <v>7810</v>
      </c>
      <c r="W401" t="s">
        <v>7811</v>
      </c>
      <c r="X401" t="s">
        <v>3587</v>
      </c>
      <c r="Y401" t="s">
        <v>7812</v>
      </c>
      <c r="Z401" t="s">
        <v>7813</v>
      </c>
      <c r="AA401" t="s">
        <v>7814</v>
      </c>
      <c r="AB401" t="s">
        <v>7815</v>
      </c>
      <c r="AC401" t="s">
        <v>74</v>
      </c>
      <c r="AD401" t="s">
        <v>74</v>
      </c>
      <c r="AE401" t="s">
        <v>74</v>
      </c>
      <c r="AF401" t="s">
        <v>74</v>
      </c>
      <c r="AG401">
        <v>60</v>
      </c>
      <c r="AH401">
        <v>12</v>
      </c>
      <c r="AI401">
        <v>12</v>
      </c>
      <c r="AJ401">
        <v>8</v>
      </c>
      <c r="AK401">
        <v>18</v>
      </c>
      <c r="AL401" t="s">
        <v>321</v>
      </c>
      <c r="AM401" t="s">
        <v>348</v>
      </c>
      <c r="AN401" t="s">
        <v>1454</v>
      </c>
      <c r="AO401" t="s">
        <v>7816</v>
      </c>
      <c r="AP401" t="s">
        <v>7817</v>
      </c>
      <c r="AQ401" t="s">
        <v>74</v>
      </c>
      <c r="AR401" t="s">
        <v>7818</v>
      </c>
      <c r="AS401" t="s">
        <v>7819</v>
      </c>
      <c r="AT401" t="s">
        <v>616</v>
      </c>
      <c r="AU401">
        <v>2022</v>
      </c>
      <c r="AV401">
        <v>26</v>
      </c>
      <c r="AW401">
        <v>6</v>
      </c>
      <c r="AX401" t="s">
        <v>74</v>
      </c>
      <c r="AY401" t="s">
        <v>74</v>
      </c>
      <c r="AZ401" t="s">
        <v>74</v>
      </c>
      <c r="BA401" t="s">
        <v>74</v>
      </c>
      <c r="BB401">
        <v>2883</v>
      </c>
      <c r="BC401">
        <v>2900</v>
      </c>
      <c r="BD401" t="s">
        <v>74</v>
      </c>
      <c r="BE401" t="s">
        <v>7820</v>
      </c>
      <c r="BF401" t="str">
        <f>HYPERLINK("http://dx.doi.org/10.1007/s00500-021-06609-0","http://dx.doi.org/10.1007/s00500-021-06609-0")</f>
        <v>http://dx.doi.org/10.1007/s00500-021-06609-0</v>
      </c>
      <c r="BG401" t="s">
        <v>74</v>
      </c>
      <c r="BH401" t="s">
        <v>3823</v>
      </c>
      <c r="BI401">
        <v>18</v>
      </c>
      <c r="BJ401" t="s">
        <v>4166</v>
      </c>
      <c r="BK401" t="s">
        <v>147</v>
      </c>
      <c r="BL401" t="s">
        <v>99</v>
      </c>
      <c r="BM401" t="s">
        <v>7821</v>
      </c>
      <c r="BN401" t="s">
        <v>74</v>
      </c>
      <c r="BO401" t="s">
        <v>1833</v>
      </c>
      <c r="BP401" t="s">
        <v>74</v>
      </c>
      <c r="BQ401" t="s">
        <v>74</v>
      </c>
      <c r="BR401" t="s">
        <v>102</v>
      </c>
      <c r="BS401" t="s">
        <v>7822</v>
      </c>
      <c r="BT401" t="str">
        <f>HYPERLINK("https%3A%2F%2Fwww.webofscience.com%2Fwos%2Fwoscc%2Ffull-record%2FWOS:000740402900002","View Full Record in Web of Science")</f>
        <v>View Full Record in Web of Science</v>
      </c>
    </row>
    <row r="402" spans="1:72" x14ac:dyDescent="0.2">
      <c r="A402" t="s">
        <v>72</v>
      </c>
      <c r="B402" t="s">
        <v>7823</v>
      </c>
      <c r="C402" t="s">
        <v>74</v>
      </c>
      <c r="D402" t="s">
        <v>74</v>
      </c>
      <c r="E402" t="s">
        <v>74</v>
      </c>
      <c r="F402" t="s">
        <v>7824</v>
      </c>
      <c r="G402" t="s">
        <v>74</v>
      </c>
      <c r="H402" t="s">
        <v>74</v>
      </c>
      <c r="I402" t="s">
        <v>7825</v>
      </c>
      <c r="J402" t="s">
        <v>7826</v>
      </c>
      <c r="K402" t="s">
        <v>74</v>
      </c>
      <c r="L402" t="s">
        <v>74</v>
      </c>
      <c r="M402" t="s">
        <v>78</v>
      </c>
      <c r="N402" t="s">
        <v>79</v>
      </c>
      <c r="O402" t="s">
        <v>74</v>
      </c>
      <c r="P402" t="s">
        <v>74</v>
      </c>
      <c r="Q402" t="s">
        <v>74</v>
      </c>
      <c r="R402" t="s">
        <v>74</v>
      </c>
      <c r="S402" t="s">
        <v>74</v>
      </c>
      <c r="T402" t="s">
        <v>74</v>
      </c>
      <c r="U402" t="s">
        <v>7827</v>
      </c>
      <c r="V402" t="s">
        <v>7828</v>
      </c>
      <c r="W402" t="s">
        <v>7829</v>
      </c>
      <c r="X402" t="s">
        <v>7830</v>
      </c>
      <c r="Y402" t="s">
        <v>7831</v>
      </c>
      <c r="Z402" t="s">
        <v>7832</v>
      </c>
      <c r="AA402" t="s">
        <v>7833</v>
      </c>
      <c r="AB402" t="s">
        <v>7834</v>
      </c>
      <c r="AC402" t="s">
        <v>7835</v>
      </c>
      <c r="AD402" t="s">
        <v>7835</v>
      </c>
      <c r="AE402" t="s">
        <v>7836</v>
      </c>
      <c r="AF402" t="s">
        <v>74</v>
      </c>
      <c r="AG402">
        <v>83</v>
      </c>
      <c r="AH402">
        <v>21</v>
      </c>
      <c r="AI402">
        <v>21</v>
      </c>
      <c r="AJ402">
        <v>6</v>
      </c>
      <c r="AK402">
        <v>44</v>
      </c>
      <c r="AL402" t="s">
        <v>259</v>
      </c>
      <c r="AM402" t="s">
        <v>260</v>
      </c>
      <c r="AN402" t="s">
        <v>261</v>
      </c>
      <c r="AO402" t="s">
        <v>7837</v>
      </c>
      <c r="AP402" t="s">
        <v>74</v>
      </c>
      <c r="AQ402" t="s">
        <v>74</v>
      </c>
      <c r="AR402" t="s">
        <v>7838</v>
      </c>
      <c r="AS402" t="s">
        <v>7839</v>
      </c>
      <c r="AT402" t="s">
        <v>216</v>
      </c>
      <c r="AU402">
        <v>2019</v>
      </c>
      <c r="AV402">
        <v>26</v>
      </c>
      <c r="AW402" t="s">
        <v>74</v>
      </c>
      <c r="AX402" t="s">
        <v>74</v>
      </c>
      <c r="AY402" t="s">
        <v>74</v>
      </c>
      <c r="AZ402" t="s">
        <v>74</v>
      </c>
      <c r="BA402" t="s">
        <v>74</v>
      </c>
      <c r="BB402">
        <v>148</v>
      </c>
      <c r="BC402">
        <v>156</v>
      </c>
      <c r="BD402" t="s">
        <v>74</v>
      </c>
      <c r="BE402" t="s">
        <v>7840</v>
      </c>
      <c r="BF402" t="str">
        <f>HYPERLINK("http://dx.doi.org/10.1016/j.coche.2019.09.010","http://dx.doi.org/10.1016/j.coche.2019.09.010")</f>
        <v>http://dx.doi.org/10.1016/j.coche.2019.09.010</v>
      </c>
      <c r="BG402" t="s">
        <v>74</v>
      </c>
      <c r="BH402" t="s">
        <v>74</v>
      </c>
      <c r="BI402">
        <v>9</v>
      </c>
      <c r="BJ402" t="s">
        <v>7841</v>
      </c>
      <c r="BK402" t="s">
        <v>98</v>
      </c>
      <c r="BL402" t="s">
        <v>7842</v>
      </c>
      <c r="BM402" t="s">
        <v>7843</v>
      </c>
      <c r="BN402" t="s">
        <v>74</v>
      </c>
      <c r="BO402" t="s">
        <v>74</v>
      </c>
      <c r="BP402" t="s">
        <v>74</v>
      </c>
      <c r="BQ402" t="s">
        <v>74</v>
      </c>
      <c r="BR402" t="s">
        <v>102</v>
      </c>
      <c r="BS402" t="s">
        <v>7844</v>
      </c>
      <c r="BT402" t="str">
        <f>HYPERLINK("https%3A%2F%2Fwww.webofscience.com%2Fwos%2Fwoscc%2Ffull-record%2FWOS:000503208700021","View Full Record in Web of Science")</f>
        <v>View Full Record in Web of Science</v>
      </c>
    </row>
    <row r="403" spans="1:72" x14ac:dyDescent="0.2">
      <c r="A403" t="s">
        <v>72</v>
      </c>
      <c r="B403" t="s">
        <v>7845</v>
      </c>
      <c r="C403" t="s">
        <v>74</v>
      </c>
      <c r="D403" t="s">
        <v>74</v>
      </c>
      <c r="E403" t="s">
        <v>74</v>
      </c>
      <c r="F403" t="s">
        <v>7846</v>
      </c>
      <c r="G403" t="s">
        <v>74</v>
      </c>
      <c r="H403" t="s">
        <v>74</v>
      </c>
      <c r="I403" t="s">
        <v>7847</v>
      </c>
      <c r="J403" t="s">
        <v>4384</v>
      </c>
      <c r="K403" t="s">
        <v>74</v>
      </c>
      <c r="L403" t="s">
        <v>74</v>
      </c>
      <c r="M403" t="s">
        <v>78</v>
      </c>
      <c r="N403" t="s">
        <v>108</v>
      </c>
      <c r="O403" t="s">
        <v>74</v>
      </c>
      <c r="P403" t="s">
        <v>74</v>
      </c>
      <c r="Q403" t="s">
        <v>74</v>
      </c>
      <c r="R403" t="s">
        <v>74</v>
      </c>
      <c r="S403" t="s">
        <v>74</v>
      </c>
      <c r="T403" t="s">
        <v>7848</v>
      </c>
      <c r="U403" t="s">
        <v>7849</v>
      </c>
      <c r="V403" t="s">
        <v>7850</v>
      </c>
      <c r="W403" t="s">
        <v>7851</v>
      </c>
      <c r="X403" t="s">
        <v>7852</v>
      </c>
      <c r="Y403" t="s">
        <v>7853</v>
      </c>
      <c r="Z403" t="s">
        <v>7854</v>
      </c>
      <c r="AA403" t="s">
        <v>74</v>
      </c>
      <c r="AB403" t="s">
        <v>74</v>
      </c>
      <c r="AC403" t="s">
        <v>7855</v>
      </c>
      <c r="AD403" t="s">
        <v>7856</v>
      </c>
      <c r="AE403" t="s">
        <v>7857</v>
      </c>
      <c r="AF403" t="s">
        <v>74</v>
      </c>
      <c r="AG403">
        <v>132</v>
      </c>
      <c r="AH403">
        <v>4</v>
      </c>
      <c r="AI403">
        <v>4</v>
      </c>
      <c r="AJ403">
        <v>2</v>
      </c>
      <c r="AK403">
        <v>28</v>
      </c>
      <c r="AL403" t="s">
        <v>167</v>
      </c>
      <c r="AM403" t="s">
        <v>168</v>
      </c>
      <c r="AN403" t="s">
        <v>169</v>
      </c>
      <c r="AO403" t="s">
        <v>4393</v>
      </c>
      <c r="AP403" t="s">
        <v>74</v>
      </c>
      <c r="AQ403" t="s">
        <v>74</v>
      </c>
      <c r="AR403" t="s">
        <v>4384</v>
      </c>
      <c r="AS403" t="s">
        <v>4394</v>
      </c>
      <c r="AT403" t="s">
        <v>74</v>
      </c>
      <c r="AU403">
        <v>2018</v>
      </c>
      <c r="AV403">
        <v>6</v>
      </c>
      <c r="AW403" t="s">
        <v>74</v>
      </c>
      <c r="AX403" t="s">
        <v>74</v>
      </c>
      <c r="AY403" t="s">
        <v>74</v>
      </c>
      <c r="AZ403" t="s">
        <v>74</v>
      </c>
      <c r="BA403" t="s">
        <v>74</v>
      </c>
      <c r="BB403">
        <v>40226</v>
      </c>
      <c r="BC403">
        <v>40244</v>
      </c>
      <c r="BD403" t="s">
        <v>74</v>
      </c>
      <c r="BE403" t="s">
        <v>7858</v>
      </c>
      <c r="BF403" t="str">
        <f>HYPERLINK("http://dx.doi.org/10.1109/ACCESS.2018.2856262","http://dx.doi.org/10.1109/ACCESS.2018.2856262")</f>
        <v>http://dx.doi.org/10.1109/ACCESS.2018.2856262</v>
      </c>
      <c r="BG403" t="s">
        <v>74</v>
      </c>
      <c r="BH403" t="s">
        <v>74</v>
      </c>
      <c r="BI403">
        <v>19</v>
      </c>
      <c r="BJ403" t="s">
        <v>2959</v>
      </c>
      <c r="BK403" t="s">
        <v>147</v>
      </c>
      <c r="BL403" t="s">
        <v>2960</v>
      </c>
      <c r="BM403" t="s">
        <v>7859</v>
      </c>
      <c r="BN403" t="s">
        <v>74</v>
      </c>
      <c r="BO403" t="s">
        <v>126</v>
      </c>
      <c r="BP403" t="s">
        <v>74</v>
      </c>
      <c r="BQ403" t="s">
        <v>74</v>
      </c>
      <c r="BR403" t="s">
        <v>102</v>
      </c>
      <c r="BS403" t="s">
        <v>7860</v>
      </c>
      <c r="BT403" t="str">
        <f>HYPERLINK("https%3A%2F%2Fwww.webofscience.com%2Fwos%2Fwoscc%2Ffull-record%2FWOS:000441019900001","View Full Record in Web of Science")</f>
        <v>View Full Record in Web of Science</v>
      </c>
    </row>
    <row r="404" spans="1:72" x14ac:dyDescent="0.2">
      <c r="A404" t="s">
        <v>72</v>
      </c>
      <c r="B404" t="s">
        <v>7861</v>
      </c>
      <c r="C404" t="s">
        <v>74</v>
      </c>
      <c r="D404" t="s">
        <v>74</v>
      </c>
      <c r="E404" t="s">
        <v>74</v>
      </c>
      <c r="F404" t="s">
        <v>7862</v>
      </c>
      <c r="G404" t="s">
        <v>74</v>
      </c>
      <c r="H404" t="s">
        <v>74</v>
      </c>
      <c r="I404" t="s">
        <v>7863</v>
      </c>
      <c r="J404" t="s">
        <v>1278</v>
      </c>
      <c r="K404" t="s">
        <v>74</v>
      </c>
      <c r="L404" t="s">
        <v>74</v>
      </c>
      <c r="M404" t="s">
        <v>78</v>
      </c>
      <c r="N404" t="s">
        <v>108</v>
      </c>
      <c r="O404" t="s">
        <v>74</v>
      </c>
      <c r="P404" t="s">
        <v>74</v>
      </c>
      <c r="Q404" t="s">
        <v>74</v>
      </c>
      <c r="R404" t="s">
        <v>74</v>
      </c>
      <c r="S404" t="s">
        <v>74</v>
      </c>
      <c r="T404" t="s">
        <v>7864</v>
      </c>
      <c r="U404" t="s">
        <v>7865</v>
      </c>
      <c r="V404" t="s">
        <v>7866</v>
      </c>
      <c r="W404" t="s">
        <v>7867</v>
      </c>
      <c r="X404" t="s">
        <v>7868</v>
      </c>
      <c r="Y404" t="s">
        <v>7869</v>
      </c>
      <c r="Z404" t="s">
        <v>7870</v>
      </c>
      <c r="AA404" t="s">
        <v>74</v>
      </c>
      <c r="AB404" t="s">
        <v>7871</v>
      </c>
      <c r="AC404" t="s">
        <v>74</v>
      </c>
      <c r="AD404" t="s">
        <v>74</v>
      </c>
      <c r="AE404" t="s">
        <v>74</v>
      </c>
      <c r="AF404" t="s">
        <v>74</v>
      </c>
      <c r="AG404">
        <v>66</v>
      </c>
      <c r="AH404">
        <v>0</v>
      </c>
      <c r="AI404">
        <v>0</v>
      </c>
      <c r="AJ404">
        <v>5</v>
      </c>
      <c r="AK404">
        <v>17</v>
      </c>
      <c r="AL404" t="s">
        <v>116</v>
      </c>
      <c r="AM404" t="s">
        <v>117</v>
      </c>
      <c r="AN404" t="s">
        <v>118</v>
      </c>
      <c r="AO404" t="s">
        <v>74</v>
      </c>
      <c r="AP404" t="s">
        <v>1288</v>
      </c>
      <c r="AQ404" t="s">
        <v>74</v>
      </c>
      <c r="AR404" t="s">
        <v>1278</v>
      </c>
      <c r="AS404" t="s">
        <v>1289</v>
      </c>
      <c r="AT404" t="s">
        <v>846</v>
      </c>
      <c r="AU404">
        <v>2022</v>
      </c>
      <c r="AV404">
        <v>10</v>
      </c>
      <c r="AW404">
        <v>5</v>
      </c>
      <c r="AX404" t="s">
        <v>74</v>
      </c>
      <c r="AY404" t="s">
        <v>74</v>
      </c>
      <c r="AZ404" t="s">
        <v>74</v>
      </c>
      <c r="BA404" t="s">
        <v>74</v>
      </c>
      <c r="BB404" t="s">
        <v>74</v>
      </c>
      <c r="BC404" t="s">
        <v>74</v>
      </c>
      <c r="BD404">
        <v>852</v>
      </c>
      <c r="BE404" t="s">
        <v>7872</v>
      </c>
      <c r="BF404" t="str">
        <f>HYPERLINK("http://dx.doi.org/10.3390/pr10050852","http://dx.doi.org/10.3390/pr10050852")</f>
        <v>http://dx.doi.org/10.3390/pr10050852</v>
      </c>
      <c r="BG404" t="s">
        <v>74</v>
      </c>
      <c r="BH404" t="s">
        <v>74</v>
      </c>
      <c r="BI404">
        <v>21</v>
      </c>
      <c r="BJ404" t="s">
        <v>1291</v>
      </c>
      <c r="BK404" t="s">
        <v>98</v>
      </c>
      <c r="BL404" t="s">
        <v>1292</v>
      </c>
      <c r="BM404" t="s">
        <v>7873</v>
      </c>
      <c r="BN404" t="s">
        <v>74</v>
      </c>
      <c r="BO404" t="s">
        <v>126</v>
      </c>
      <c r="BP404" t="s">
        <v>74</v>
      </c>
      <c r="BQ404" t="s">
        <v>74</v>
      </c>
      <c r="BR404" t="s">
        <v>102</v>
      </c>
      <c r="BS404" t="s">
        <v>7874</v>
      </c>
      <c r="BT404" t="str">
        <f>HYPERLINK("https%3A%2F%2Fwww.webofscience.com%2Fwos%2Fwoscc%2Ffull-record%2FWOS:000801422300001","View Full Record in Web of Science")</f>
        <v>View Full Record in Web of Science</v>
      </c>
    </row>
    <row r="405" spans="1:72" x14ac:dyDescent="0.2">
      <c r="A405" t="s">
        <v>72</v>
      </c>
      <c r="B405" t="s">
        <v>7875</v>
      </c>
      <c r="C405" t="s">
        <v>74</v>
      </c>
      <c r="D405" t="s">
        <v>74</v>
      </c>
      <c r="E405" t="s">
        <v>74</v>
      </c>
      <c r="F405" t="s">
        <v>7876</v>
      </c>
      <c r="G405" t="s">
        <v>74</v>
      </c>
      <c r="H405" t="s">
        <v>74</v>
      </c>
      <c r="I405" t="s">
        <v>7877</v>
      </c>
      <c r="J405" t="s">
        <v>5483</v>
      </c>
      <c r="K405" t="s">
        <v>74</v>
      </c>
      <c r="L405" t="s">
        <v>74</v>
      </c>
      <c r="M405" t="s">
        <v>78</v>
      </c>
      <c r="N405" t="s">
        <v>108</v>
      </c>
      <c r="O405" t="s">
        <v>74</v>
      </c>
      <c r="P405" t="s">
        <v>74</v>
      </c>
      <c r="Q405" t="s">
        <v>74</v>
      </c>
      <c r="R405" t="s">
        <v>74</v>
      </c>
      <c r="S405" t="s">
        <v>74</v>
      </c>
      <c r="T405" t="s">
        <v>7878</v>
      </c>
      <c r="U405" t="s">
        <v>7879</v>
      </c>
      <c r="V405" t="s">
        <v>7880</v>
      </c>
      <c r="W405" t="s">
        <v>7881</v>
      </c>
      <c r="X405" t="s">
        <v>7882</v>
      </c>
      <c r="Y405" t="s">
        <v>7883</v>
      </c>
      <c r="Z405" t="s">
        <v>7884</v>
      </c>
      <c r="AA405" t="s">
        <v>7885</v>
      </c>
      <c r="AB405" t="s">
        <v>7886</v>
      </c>
      <c r="AC405" t="s">
        <v>74</v>
      </c>
      <c r="AD405" t="s">
        <v>74</v>
      </c>
      <c r="AE405" t="s">
        <v>74</v>
      </c>
      <c r="AF405" t="s">
        <v>74</v>
      </c>
      <c r="AG405">
        <v>27</v>
      </c>
      <c r="AH405">
        <v>18</v>
      </c>
      <c r="AI405">
        <v>19</v>
      </c>
      <c r="AJ405">
        <v>1</v>
      </c>
      <c r="AK405">
        <v>20</v>
      </c>
      <c r="AL405" t="s">
        <v>437</v>
      </c>
      <c r="AM405" t="s">
        <v>438</v>
      </c>
      <c r="AN405" t="s">
        <v>439</v>
      </c>
      <c r="AO405" t="s">
        <v>5493</v>
      </c>
      <c r="AP405" t="s">
        <v>5494</v>
      </c>
      <c r="AQ405" t="s">
        <v>74</v>
      </c>
      <c r="AR405" t="s">
        <v>5495</v>
      </c>
      <c r="AS405" t="s">
        <v>5496</v>
      </c>
      <c r="AT405" t="s">
        <v>74</v>
      </c>
      <c r="AU405">
        <v>2013</v>
      </c>
      <c r="AV405">
        <v>18</v>
      </c>
      <c r="AW405">
        <v>4</v>
      </c>
      <c r="AX405" t="s">
        <v>74</v>
      </c>
      <c r="AY405" t="s">
        <v>74</v>
      </c>
      <c r="AZ405" t="s">
        <v>74</v>
      </c>
      <c r="BA405" t="s">
        <v>74</v>
      </c>
      <c r="BB405">
        <v>398</v>
      </c>
      <c r="BC405">
        <v>412</v>
      </c>
      <c r="BD405" t="s">
        <v>74</v>
      </c>
      <c r="BE405" t="s">
        <v>7887</v>
      </c>
      <c r="BF405" t="str">
        <f>HYPERLINK("http://dx.doi.org/10.1108/SCM-06-2012-0209","http://dx.doi.org/10.1108/SCM-06-2012-0209")</f>
        <v>http://dx.doi.org/10.1108/SCM-06-2012-0209</v>
      </c>
      <c r="BG405" t="s">
        <v>74</v>
      </c>
      <c r="BH405" t="s">
        <v>74</v>
      </c>
      <c r="BI405">
        <v>15</v>
      </c>
      <c r="BJ405" t="s">
        <v>849</v>
      </c>
      <c r="BK405" t="s">
        <v>242</v>
      </c>
      <c r="BL405" t="s">
        <v>419</v>
      </c>
      <c r="BM405" t="s">
        <v>7888</v>
      </c>
      <c r="BN405" t="s">
        <v>74</v>
      </c>
      <c r="BO405" t="s">
        <v>1833</v>
      </c>
      <c r="BP405" t="s">
        <v>74</v>
      </c>
      <c r="BQ405" t="s">
        <v>74</v>
      </c>
      <c r="BR405" t="s">
        <v>102</v>
      </c>
      <c r="BS405" t="s">
        <v>7889</v>
      </c>
      <c r="BT405" t="str">
        <f>HYPERLINK("https%3A%2F%2Fwww.webofscience.com%2Fwos%2Fwoscc%2Ffull-record%2FWOS:000322942600005","View Full Record in Web of Science")</f>
        <v>View Full Record in Web of Science</v>
      </c>
    </row>
    <row r="406" spans="1:72" x14ac:dyDescent="0.2">
      <c r="A406" t="s">
        <v>72</v>
      </c>
      <c r="B406" t="s">
        <v>7890</v>
      </c>
      <c r="C406" t="s">
        <v>74</v>
      </c>
      <c r="D406" t="s">
        <v>74</v>
      </c>
      <c r="E406" t="s">
        <v>74</v>
      </c>
      <c r="F406" t="s">
        <v>7891</v>
      </c>
      <c r="G406" t="s">
        <v>74</v>
      </c>
      <c r="H406" t="s">
        <v>74</v>
      </c>
      <c r="I406" t="s">
        <v>7892</v>
      </c>
      <c r="J406" t="s">
        <v>7893</v>
      </c>
      <c r="K406" t="s">
        <v>74</v>
      </c>
      <c r="L406" t="s">
        <v>74</v>
      </c>
      <c r="M406" t="s">
        <v>78</v>
      </c>
      <c r="N406" t="s">
        <v>108</v>
      </c>
      <c r="O406" t="s">
        <v>74</v>
      </c>
      <c r="P406" t="s">
        <v>74</v>
      </c>
      <c r="Q406" t="s">
        <v>74</v>
      </c>
      <c r="R406" t="s">
        <v>74</v>
      </c>
      <c r="S406" t="s">
        <v>74</v>
      </c>
      <c r="T406" t="s">
        <v>7894</v>
      </c>
      <c r="U406" t="s">
        <v>7895</v>
      </c>
      <c r="V406" t="s">
        <v>7896</v>
      </c>
      <c r="W406" t="s">
        <v>7897</v>
      </c>
      <c r="X406" t="s">
        <v>7898</v>
      </c>
      <c r="Y406" t="s">
        <v>7899</v>
      </c>
      <c r="Z406" t="s">
        <v>7900</v>
      </c>
      <c r="AA406" t="s">
        <v>7901</v>
      </c>
      <c r="AB406" t="s">
        <v>7902</v>
      </c>
      <c r="AC406" t="s">
        <v>74</v>
      </c>
      <c r="AD406" t="s">
        <v>74</v>
      </c>
      <c r="AE406" t="s">
        <v>74</v>
      </c>
      <c r="AF406" t="s">
        <v>74</v>
      </c>
      <c r="AG406">
        <v>87</v>
      </c>
      <c r="AH406">
        <v>48</v>
      </c>
      <c r="AI406">
        <v>49</v>
      </c>
      <c r="AJ406">
        <v>2</v>
      </c>
      <c r="AK406">
        <v>72</v>
      </c>
      <c r="AL406" t="s">
        <v>437</v>
      </c>
      <c r="AM406" t="s">
        <v>438</v>
      </c>
      <c r="AN406" t="s">
        <v>439</v>
      </c>
      <c r="AO406" t="s">
        <v>7903</v>
      </c>
      <c r="AP406" t="s">
        <v>7904</v>
      </c>
      <c r="AQ406" t="s">
        <v>74</v>
      </c>
      <c r="AR406" t="s">
        <v>7905</v>
      </c>
      <c r="AS406" t="s">
        <v>7906</v>
      </c>
      <c r="AT406" t="s">
        <v>74</v>
      </c>
      <c r="AU406">
        <v>2013</v>
      </c>
      <c r="AV406">
        <v>43</v>
      </c>
      <c r="AW406" t="s">
        <v>7581</v>
      </c>
      <c r="AX406" t="s">
        <v>74</v>
      </c>
      <c r="AY406" t="s">
        <v>74</v>
      </c>
      <c r="AZ406" t="s">
        <v>570</v>
      </c>
      <c r="BA406" t="s">
        <v>74</v>
      </c>
      <c r="BB406">
        <v>380</v>
      </c>
      <c r="BC406">
        <v>406</v>
      </c>
      <c r="BD406" t="s">
        <v>74</v>
      </c>
      <c r="BE406" t="s">
        <v>7907</v>
      </c>
      <c r="BF406" t="str">
        <f>HYPERLINK("http://dx.doi.org/10.1108/IJPDLM-03-2012-0081","http://dx.doi.org/10.1108/IJPDLM-03-2012-0081")</f>
        <v>http://dx.doi.org/10.1108/IJPDLM-03-2012-0081</v>
      </c>
      <c r="BG406" t="s">
        <v>74</v>
      </c>
      <c r="BH406" t="s">
        <v>74</v>
      </c>
      <c r="BI406">
        <v>27</v>
      </c>
      <c r="BJ406" t="s">
        <v>418</v>
      </c>
      <c r="BK406" t="s">
        <v>242</v>
      </c>
      <c r="BL406" t="s">
        <v>419</v>
      </c>
      <c r="BM406" t="s">
        <v>7908</v>
      </c>
      <c r="BN406" t="s">
        <v>74</v>
      </c>
      <c r="BO406" t="s">
        <v>74</v>
      </c>
      <c r="BP406" t="s">
        <v>74</v>
      </c>
      <c r="BQ406" t="s">
        <v>74</v>
      </c>
      <c r="BR406" t="s">
        <v>102</v>
      </c>
      <c r="BS406" t="s">
        <v>7909</v>
      </c>
      <c r="BT406" t="str">
        <f>HYPERLINK("https%3A%2F%2Fwww.webofscience.com%2Fwos%2Fwoscc%2Ffull-record%2FWOS:000332269500003","View Full Record in Web of Science")</f>
        <v>View Full Record in Web of Science</v>
      </c>
    </row>
    <row r="407" spans="1:72" x14ac:dyDescent="0.2">
      <c r="A407" t="s">
        <v>72</v>
      </c>
      <c r="B407" t="s">
        <v>7910</v>
      </c>
      <c r="C407" t="s">
        <v>74</v>
      </c>
      <c r="D407" t="s">
        <v>74</v>
      </c>
      <c r="E407" t="s">
        <v>74</v>
      </c>
      <c r="F407" t="s">
        <v>7911</v>
      </c>
      <c r="G407" t="s">
        <v>74</v>
      </c>
      <c r="H407" t="s">
        <v>74</v>
      </c>
      <c r="I407" t="s">
        <v>7912</v>
      </c>
      <c r="J407" t="s">
        <v>7913</v>
      </c>
      <c r="K407" t="s">
        <v>74</v>
      </c>
      <c r="L407" t="s">
        <v>74</v>
      </c>
      <c r="M407" t="s">
        <v>78</v>
      </c>
      <c r="N407" t="s">
        <v>108</v>
      </c>
      <c r="O407" t="s">
        <v>74</v>
      </c>
      <c r="P407" t="s">
        <v>74</v>
      </c>
      <c r="Q407" t="s">
        <v>74</v>
      </c>
      <c r="R407" t="s">
        <v>74</v>
      </c>
      <c r="S407" t="s">
        <v>74</v>
      </c>
      <c r="T407" t="s">
        <v>7914</v>
      </c>
      <c r="U407" t="s">
        <v>7915</v>
      </c>
      <c r="V407" t="s">
        <v>7916</v>
      </c>
      <c r="W407" t="s">
        <v>7917</v>
      </c>
      <c r="X407" t="s">
        <v>7918</v>
      </c>
      <c r="Y407" t="s">
        <v>7919</v>
      </c>
      <c r="Z407" t="s">
        <v>7920</v>
      </c>
      <c r="AA407" t="s">
        <v>7921</v>
      </c>
      <c r="AB407" t="s">
        <v>7922</v>
      </c>
      <c r="AC407" t="s">
        <v>74</v>
      </c>
      <c r="AD407" t="s">
        <v>74</v>
      </c>
      <c r="AE407" t="s">
        <v>74</v>
      </c>
      <c r="AF407" t="s">
        <v>74</v>
      </c>
      <c r="AG407">
        <v>61</v>
      </c>
      <c r="AH407">
        <v>7</v>
      </c>
      <c r="AI407">
        <v>7</v>
      </c>
      <c r="AJ407">
        <v>3</v>
      </c>
      <c r="AK407">
        <v>24</v>
      </c>
      <c r="AL407" t="s">
        <v>321</v>
      </c>
      <c r="AM407" t="s">
        <v>348</v>
      </c>
      <c r="AN407" t="s">
        <v>1454</v>
      </c>
      <c r="AO407" t="s">
        <v>7923</v>
      </c>
      <c r="AP407" t="s">
        <v>7924</v>
      </c>
      <c r="AQ407" t="s">
        <v>74</v>
      </c>
      <c r="AR407" t="s">
        <v>7925</v>
      </c>
      <c r="AS407" t="s">
        <v>7926</v>
      </c>
      <c r="AT407" t="s">
        <v>216</v>
      </c>
      <c r="AU407">
        <v>2020</v>
      </c>
      <c r="AV407">
        <v>22</v>
      </c>
      <c r="AW407">
        <v>10</v>
      </c>
      <c r="AX407" t="s">
        <v>74</v>
      </c>
      <c r="AY407" t="s">
        <v>74</v>
      </c>
      <c r="AZ407" t="s">
        <v>74</v>
      </c>
      <c r="BA407" t="s">
        <v>74</v>
      </c>
      <c r="BB407">
        <v>2053</v>
      </c>
      <c r="BC407">
        <v>2077</v>
      </c>
      <c r="BD407" t="s">
        <v>74</v>
      </c>
      <c r="BE407" t="s">
        <v>7927</v>
      </c>
      <c r="BF407" t="str">
        <f>HYPERLINK("http://dx.doi.org/10.1007/s10098-020-01955-3","http://dx.doi.org/10.1007/s10098-020-01955-3")</f>
        <v>http://dx.doi.org/10.1007/s10098-020-01955-3</v>
      </c>
      <c r="BG407" t="s">
        <v>74</v>
      </c>
      <c r="BH407" t="s">
        <v>4301</v>
      </c>
      <c r="BI407">
        <v>25</v>
      </c>
      <c r="BJ407" t="s">
        <v>995</v>
      </c>
      <c r="BK407" t="s">
        <v>98</v>
      </c>
      <c r="BL407" t="s">
        <v>996</v>
      </c>
      <c r="BM407" t="s">
        <v>7928</v>
      </c>
      <c r="BN407" t="s">
        <v>74</v>
      </c>
      <c r="BO407" t="s">
        <v>74</v>
      </c>
      <c r="BP407" t="s">
        <v>74</v>
      </c>
      <c r="BQ407" t="s">
        <v>74</v>
      </c>
      <c r="BR407" t="s">
        <v>102</v>
      </c>
      <c r="BS407" t="s">
        <v>7929</v>
      </c>
      <c r="BT407" t="str">
        <f>HYPERLINK("https%3A%2F%2Fwww.webofscience.com%2Fwos%2Fwoscc%2Ffull-record%2FWOS:000577936000002","View Full Record in Web of Science")</f>
        <v>View Full Record in Web of Science</v>
      </c>
    </row>
    <row r="408" spans="1:72" x14ac:dyDescent="0.2">
      <c r="A408" t="s">
        <v>72</v>
      </c>
      <c r="B408" t="s">
        <v>7930</v>
      </c>
      <c r="C408" t="s">
        <v>74</v>
      </c>
      <c r="D408" t="s">
        <v>74</v>
      </c>
      <c r="E408" t="s">
        <v>74</v>
      </c>
      <c r="F408" t="s">
        <v>7931</v>
      </c>
      <c r="G408" t="s">
        <v>74</v>
      </c>
      <c r="H408" t="s">
        <v>74</v>
      </c>
      <c r="I408" t="s">
        <v>7932</v>
      </c>
      <c r="J408" t="s">
        <v>531</v>
      </c>
      <c r="K408" t="s">
        <v>74</v>
      </c>
      <c r="L408" t="s">
        <v>74</v>
      </c>
      <c r="M408" t="s">
        <v>78</v>
      </c>
      <c r="N408" t="s">
        <v>482</v>
      </c>
      <c r="O408" t="s">
        <v>7933</v>
      </c>
      <c r="P408" t="s">
        <v>7934</v>
      </c>
      <c r="Q408" t="s">
        <v>7935</v>
      </c>
      <c r="R408" t="s">
        <v>74</v>
      </c>
      <c r="S408" t="s">
        <v>74</v>
      </c>
      <c r="T408" t="s">
        <v>7936</v>
      </c>
      <c r="U408" t="s">
        <v>7937</v>
      </c>
      <c r="V408" t="s">
        <v>7938</v>
      </c>
      <c r="W408" t="s">
        <v>7939</v>
      </c>
      <c r="X408" t="s">
        <v>7940</v>
      </c>
      <c r="Y408" t="s">
        <v>7941</v>
      </c>
      <c r="Z408" t="s">
        <v>7942</v>
      </c>
      <c r="AA408" t="s">
        <v>74</v>
      </c>
      <c r="AB408" t="s">
        <v>7943</v>
      </c>
      <c r="AC408" t="s">
        <v>74</v>
      </c>
      <c r="AD408" t="s">
        <v>74</v>
      </c>
      <c r="AE408" t="s">
        <v>74</v>
      </c>
      <c r="AF408" t="s">
        <v>74</v>
      </c>
      <c r="AG408">
        <v>28</v>
      </c>
      <c r="AH408">
        <v>1</v>
      </c>
      <c r="AI408">
        <v>1</v>
      </c>
      <c r="AJ408">
        <v>0</v>
      </c>
      <c r="AK408">
        <v>5</v>
      </c>
      <c r="AL408" t="s">
        <v>543</v>
      </c>
      <c r="AM408" t="s">
        <v>260</v>
      </c>
      <c r="AN408" t="s">
        <v>544</v>
      </c>
      <c r="AO408" t="s">
        <v>545</v>
      </c>
      <c r="AP408" t="s">
        <v>546</v>
      </c>
      <c r="AQ408" t="s">
        <v>74</v>
      </c>
      <c r="AR408" t="s">
        <v>547</v>
      </c>
      <c r="AS408" t="s">
        <v>548</v>
      </c>
      <c r="AT408" t="s">
        <v>194</v>
      </c>
      <c r="AU408">
        <v>2017</v>
      </c>
      <c r="AV408">
        <v>113</v>
      </c>
      <c r="AW408" t="s">
        <v>74</v>
      </c>
      <c r="AX408" t="s">
        <v>74</v>
      </c>
      <c r="AY408" t="s">
        <v>74</v>
      </c>
      <c r="AZ408" t="s">
        <v>74</v>
      </c>
      <c r="BA408" t="s">
        <v>74</v>
      </c>
      <c r="BB408">
        <v>904</v>
      </c>
      <c r="BC408">
        <v>920</v>
      </c>
      <c r="BD408" t="s">
        <v>74</v>
      </c>
      <c r="BE408" t="s">
        <v>7944</v>
      </c>
      <c r="BF408" t="str">
        <f>HYPERLINK("http://dx.doi.org/10.1016/j.cie.2017.04.037","http://dx.doi.org/10.1016/j.cie.2017.04.037")</f>
        <v>http://dx.doi.org/10.1016/j.cie.2017.04.037</v>
      </c>
      <c r="BG408" t="s">
        <v>74</v>
      </c>
      <c r="BH408" t="s">
        <v>74</v>
      </c>
      <c r="BI408">
        <v>17</v>
      </c>
      <c r="BJ408" t="s">
        <v>550</v>
      </c>
      <c r="BK408" t="s">
        <v>3093</v>
      </c>
      <c r="BL408" t="s">
        <v>269</v>
      </c>
      <c r="BM408" t="s">
        <v>7945</v>
      </c>
      <c r="BN408" t="s">
        <v>74</v>
      </c>
      <c r="BO408" t="s">
        <v>74</v>
      </c>
      <c r="BP408" t="s">
        <v>74</v>
      </c>
      <c r="BQ408" t="s">
        <v>74</v>
      </c>
      <c r="BR408" t="s">
        <v>102</v>
      </c>
      <c r="BS408" t="s">
        <v>7946</v>
      </c>
      <c r="BT408" t="str">
        <f>HYPERLINK("https%3A%2F%2Fwww.webofscience.com%2Fwos%2Fwoscc%2Ffull-record%2FWOS:000418207900069","View Full Record in Web of Science")</f>
        <v>View Full Record in Web of Science</v>
      </c>
    </row>
    <row r="409" spans="1:72" x14ac:dyDescent="0.2">
      <c r="A409" t="s">
        <v>72</v>
      </c>
      <c r="B409" t="s">
        <v>7947</v>
      </c>
      <c r="C409" t="s">
        <v>74</v>
      </c>
      <c r="D409" t="s">
        <v>74</v>
      </c>
      <c r="E409" t="s">
        <v>74</v>
      </c>
      <c r="F409" t="s">
        <v>7948</v>
      </c>
      <c r="G409" t="s">
        <v>74</v>
      </c>
      <c r="H409" t="s">
        <v>74</v>
      </c>
      <c r="I409" t="s">
        <v>7949</v>
      </c>
      <c r="J409" t="s">
        <v>1278</v>
      </c>
      <c r="K409" t="s">
        <v>74</v>
      </c>
      <c r="L409" t="s">
        <v>74</v>
      </c>
      <c r="M409" t="s">
        <v>78</v>
      </c>
      <c r="N409" t="s">
        <v>108</v>
      </c>
      <c r="O409" t="s">
        <v>74</v>
      </c>
      <c r="P409" t="s">
        <v>74</v>
      </c>
      <c r="Q409" t="s">
        <v>74</v>
      </c>
      <c r="R409" t="s">
        <v>74</v>
      </c>
      <c r="S409" t="s">
        <v>74</v>
      </c>
      <c r="T409" t="s">
        <v>7950</v>
      </c>
      <c r="U409" t="s">
        <v>7951</v>
      </c>
      <c r="V409" t="s">
        <v>7952</v>
      </c>
      <c r="W409" t="s">
        <v>7953</v>
      </c>
      <c r="X409" t="s">
        <v>7954</v>
      </c>
      <c r="Y409" t="s">
        <v>7955</v>
      </c>
      <c r="Z409" t="s">
        <v>7956</v>
      </c>
      <c r="AA409" t="s">
        <v>74</v>
      </c>
      <c r="AB409" t="s">
        <v>7957</v>
      </c>
      <c r="AC409" t="s">
        <v>7958</v>
      </c>
      <c r="AD409" t="s">
        <v>7959</v>
      </c>
      <c r="AE409" t="s">
        <v>7960</v>
      </c>
      <c r="AF409" t="s">
        <v>74</v>
      </c>
      <c r="AG409">
        <v>89</v>
      </c>
      <c r="AH409">
        <v>1</v>
      </c>
      <c r="AI409">
        <v>1</v>
      </c>
      <c r="AJ409">
        <v>9</v>
      </c>
      <c r="AK409">
        <v>33</v>
      </c>
      <c r="AL409" t="s">
        <v>116</v>
      </c>
      <c r="AM409" t="s">
        <v>117</v>
      </c>
      <c r="AN409" t="s">
        <v>118</v>
      </c>
      <c r="AO409" t="s">
        <v>74</v>
      </c>
      <c r="AP409" t="s">
        <v>1288</v>
      </c>
      <c r="AQ409" t="s">
        <v>74</v>
      </c>
      <c r="AR409" t="s">
        <v>1278</v>
      </c>
      <c r="AS409" t="s">
        <v>1289</v>
      </c>
      <c r="AT409" t="s">
        <v>372</v>
      </c>
      <c r="AU409">
        <v>2023</v>
      </c>
      <c r="AV409">
        <v>11</v>
      </c>
      <c r="AW409">
        <v>1</v>
      </c>
      <c r="AX409" t="s">
        <v>74</v>
      </c>
      <c r="AY409" t="s">
        <v>74</v>
      </c>
      <c r="AZ409" t="s">
        <v>74</v>
      </c>
      <c r="BA409" t="s">
        <v>74</v>
      </c>
      <c r="BB409" t="s">
        <v>74</v>
      </c>
      <c r="BC409" t="s">
        <v>74</v>
      </c>
      <c r="BD409">
        <v>271</v>
      </c>
      <c r="BE409" t="s">
        <v>7961</v>
      </c>
      <c r="BF409" t="str">
        <f>HYPERLINK("http://dx.doi.org/10.3390/pr11010271","http://dx.doi.org/10.3390/pr11010271")</f>
        <v>http://dx.doi.org/10.3390/pr11010271</v>
      </c>
      <c r="BG409" t="s">
        <v>74</v>
      </c>
      <c r="BH409" t="s">
        <v>74</v>
      </c>
      <c r="BI409">
        <v>22</v>
      </c>
      <c r="BJ409" t="s">
        <v>1291</v>
      </c>
      <c r="BK409" t="s">
        <v>98</v>
      </c>
      <c r="BL409" t="s">
        <v>1292</v>
      </c>
      <c r="BM409" t="s">
        <v>7962</v>
      </c>
      <c r="BN409" t="s">
        <v>74</v>
      </c>
      <c r="BO409" t="s">
        <v>126</v>
      </c>
      <c r="BP409" t="s">
        <v>74</v>
      </c>
      <c r="BQ409" t="s">
        <v>74</v>
      </c>
      <c r="BR409" t="s">
        <v>102</v>
      </c>
      <c r="BS409" t="s">
        <v>7963</v>
      </c>
      <c r="BT409" t="str">
        <f>HYPERLINK("https%3A%2F%2Fwww.webofscience.com%2Fwos%2Fwoscc%2Ffull-record%2FWOS:000916324400001","View Full Record in Web of Science")</f>
        <v>View Full Record in Web of Science</v>
      </c>
    </row>
    <row r="410" spans="1:72" x14ac:dyDescent="0.2">
      <c r="A410" t="s">
        <v>72</v>
      </c>
      <c r="B410" t="s">
        <v>7964</v>
      </c>
      <c r="C410" t="s">
        <v>74</v>
      </c>
      <c r="D410" t="s">
        <v>74</v>
      </c>
      <c r="E410" t="s">
        <v>74</v>
      </c>
      <c r="F410" t="s">
        <v>7965</v>
      </c>
      <c r="G410" t="s">
        <v>74</v>
      </c>
      <c r="H410" t="s">
        <v>74</v>
      </c>
      <c r="I410" t="s">
        <v>7966</v>
      </c>
      <c r="J410" t="s">
        <v>7967</v>
      </c>
      <c r="K410" t="s">
        <v>74</v>
      </c>
      <c r="L410" t="s">
        <v>74</v>
      </c>
      <c r="M410" t="s">
        <v>78</v>
      </c>
      <c r="N410" t="s">
        <v>108</v>
      </c>
      <c r="O410" t="s">
        <v>74</v>
      </c>
      <c r="P410" t="s">
        <v>74</v>
      </c>
      <c r="Q410" t="s">
        <v>74</v>
      </c>
      <c r="R410" t="s">
        <v>74</v>
      </c>
      <c r="S410" t="s">
        <v>74</v>
      </c>
      <c r="T410" t="s">
        <v>7968</v>
      </c>
      <c r="U410" t="s">
        <v>7969</v>
      </c>
      <c r="V410" t="s">
        <v>7970</v>
      </c>
      <c r="W410" t="s">
        <v>7971</v>
      </c>
      <c r="X410" t="s">
        <v>7972</v>
      </c>
      <c r="Y410" t="s">
        <v>7973</v>
      </c>
      <c r="Z410" t="s">
        <v>7974</v>
      </c>
      <c r="AA410" t="s">
        <v>74</v>
      </c>
      <c r="AB410" t="s">
        <v>7975</v>
      </c>
      <c r="AC410" t="s">
        <v>74</v>
      </c>
      <c r="AD410" t="s">
        <v>74</v>
      </c>
      <c r="AE410" t="s">
        <v>74</v>
      </c>
      <c r="AF410" t="s">
        <v>74</v>
      </c>
      <c r="AG410">
        <v>25</v>
      </c>
      <c r="AH410">
        <v>7</v>
      </c>
      <c r="AI410">
        <v>7</v>
      </c>
      <c r="AJ410">
        <v>0</v>
      </c>
      <c r="AK410">
        <v>23</v>
      </c>
      <c r="AL410" t="s">
        <v>321</v>
      </c>
      <c r="AM410" t="s">
        <v>348</v>
      </c>
      <c r="AN410" t="s">
        <v>2555</v>
      </c>
      <c r="AO410" t="s">
        <v>7976</v>
      </c>
      <c r="AP410" t="s">
        <v>7977</v>
      </c>
      <c r="AQ410" t="s">
        <v>74</v>
      </c>
      <c r="AR410" t="s">
        <v>7978</v>
      </c>
      <c r="AS410" t="s">
        <v>7979</v>
      </c>
      <c r="AT410" t="s">
        <v>738</v>
      </c>
      <c r="AU410">
        <v>2019</v>
      </c>
      <c r="AV410">
        <v>43</v>
      </c>
      <c r="AW410">
        <v>2</v>
      </c>
      <c r="AX410" t="s">
        <v>74</v>
      </c>
      <c r="AY410" t="s">
        <v>74</v>
      </c>
      <c r="AZ410" t="s">
        <v>74</v>
      </c>
      <c r="BA410" t="s">
        <v>74</v>
      </c>
      <c r="BB410" t="s">
        <v>74</v>
      </c>
      <c r="BC410" t="s">
        <v>74</v>
      </c>
      <c r="BD410">
        <v>28</v>
      </c>
      <c r="BE410" t="s">
        <v>7980</v>
      </c>
      <c r="BF410" t="str">
        <f>HYPERLINK("http://dx.doi.org/10.1007/s10916-018-1141-0","http://dx.doi.org/10.1007/s10916-018-1141-0")</f>
        <v>http://dx.doi.org/10.1007/s10916-018-1141-0</v>
      </c>
      <c r="BG410" t="s">
        <v>74</v>
      </c>
      <c r="BH410" t="s">
        <v>74</v>
      </c>
      <c r="BI410">
        <v>8</v>
      </c>
      <c r="BJ410" t="s">
        <v>7981</v>
      </c>
      <c r="BK410" t="s">
        <v>98</v>
      </c>
      <c r="BL410" t="s">
        <v>7981</v>
      </c>
      <c r="BM410" t="s">
        <v>7982</v>
      </c>
      <c r="BN410">
        <v>30607551</v>
      </c>
      <c r="BO410" t="s">
        <v>74</v>
      </c>
      <c r="BP410" t="s">
        <v>74</v>
      </c>
      <c r="BQ410" t="s">
        <v>74</v>
      </c>
      <c r="BR410" t="s">
        <v>102</v>
      </c>
      <c r="BS410" t="s">
        <v>7983</v>
      </c>
      <c r="BT410" t="str">
        <f>HYPERLINK("https%3A%2F%2Fwww.webofscience.com%2Fwos%2Fwoscc%2Ffull-record%2FWOS:000454901000007","View Full Record in Web of Science")</f>
        <v>View Full Record in Web of Science</v>
      </c>
    </row>
    <row r="411" spans="1:72" x14ac:dyDescent="0.2">
      <c r="A411" t="s">
        <v>72</v>
      </c>
      <c r="B411" t="s">
        <v>7984</v>
      </c>
      <c r="C411" t="s">
        <v>74</v>
      </c>
      <c r="D411" t="s">
        <v>74</v>
      </c>
      <c r="E411" t="s">
        <v>74</v>
      </c>
      <c r="F411" t="s">
        <v>7985</v>
      </c>
      <c r="G411" t="s">
        <v>74</v>
      </c>
      <c r="H411" t="s">
        <v>74</v>
      </c>
      <c r="I411" t="s">
        <v>7986</v>
      </c>
      <c r="J411" t="s">
        <v>3117</v>
      </c>
      <c r="K411" t="s">
        <v>74</v>
      </c>
      <c r="L411" t="s">
        <v>74</v>
      </c>
      <c r="M411" t="s">
        <v>78</v>
      </c>
      <c r="N411" t="s">
        <v>108</v>
      </c>
      <c r="O411" t="s">
        <v>74</v>
      </c>
      <c r="P411" t="s">
        <v>74</v>
      </c>
      <c r="Q411" t="s">
        <v>74</v>
      </c>
      <c r="R411" t="s">
        <v>74</v>
      </c>
      <c r="S411" t="s">
        <v>74</v>
      </c>
      <c r="T411" t="s">
        <v>7987</v>
      </c>
      <c r="U411" t="s">
        <v>7988</v>
      </c>
      <c r="V411" t="s">
        <v>7989</v>
      </c>
      <c r="W411" t="s">
        <v>7990</v>
      </c>
      <c r="X411" t="s">
        <v>7991</v>
      </c>
      <c r="Y411" t="s">
        <v>7992</v>
      </c>
      <c r="Z411" t="s">
        <v>7993</v>
      </c>
      <c r="AA411" t="s">
        <v>7994</v>
      </c>
      <c r="AB411" t="s">
        <v>7995</v>
      </c>
      <c r="AC411" t="s">
        <v>74</v>
      </c>
      <c r="AD411" t="s">
        <v>74</v>
      </c>
      <c r="AE411" t="s">
        <v>74</v>
      </c>
      <c r="AF411" t="s">
        <v>74</v>
      </c>
      <c r="AG411">
        <v>50</v>
      </c>
      <c r="AH411">
        <v>21</v>
      </c>
      <c r="AI411">
        <v>21</v>
      </c>
      <c r="AJ411">
        <v>5</v>
      </c>
      <c r="AK411">
        <v>38</v>
      </c>
      <c r="AL411" t="s">
        <v>3128</v>
      </c>
      <c r="AM411" t="s">
        <v>3129</v>
      </c>
      <c r="AN411" t="s">
        <v>3130</v>
      </c>
      <c r="AO411" t="s">
        <v>3131</v>
      </c>
      <c r="AP411" t="s">
        <v>3132</v>
      </c>
      <c r="AQ411" t="s">
        <v>74</v>
      </c>
      <c r="AR411" t="s">
        <v>3133</v>
      </c>
      <c r="AS411" t="s">
        <v>3134</v>
      </c>
      <c r="AT411" t="s">
        <v>74</v>
      </c>
      <c r="AU411">
        <v>2021</v>
      </c>
      <c r="AV411">
        <v>69</v>
      </c>
      <c r="AW411">
        <v>2</v>
      </c>
      <c r="AX411" t="s">
        <v>74</v>
      </c>
      <c r="AY411" t="s">
        <v>74</v>
      </c>
      <c r="AZ411" t="s">
        <v>74</v>
      </c>
      <c r="BA411" t="s">
        <v>74</v>
      </c>
      <c r="BB411">
        <v>1801</v>
      </c>
      <c r="BC411">
        <v>1821</v>
      </c>
      <c r="BD411" t="s">
        <v>74</v>
      </c>
      <c r="BE411" t="s">
        <v>7996</v>
      </c>
      <c r="BF411" t="str">
        <f>HYPERLINK("http://dx.doi.org/10.32604/cmc.2021.018466","http://dx.doi.org/10.32604/cmc.2021.018466")</f>
        <v>http://dx.doi.org/10.32604/cmc.2021.018466</v>
      </c>
      <c r="BG411" t="s">
        <v>74</v>
      </c>
      <c r="BH411" t="s">
        <v>74</v>
      </c>
      <c r="BI411">
        <v>21</v>
      </c>
      <c r="BJ411" t="s">
        <v>3136</v>
      </c>
      <c r="BK411" t="s">
        <v>98</v>
      </c>
      <c r="BL411" t="s">
        <v>3137</v>
      </c>
      <c r="BM411" t="s">
        <v>7997</v>
      </c>
      <c r="BN411" t="s">
        <v>74</v>
      </c>
      <c r="BO411" t="s">
        <v>126</v>
      </c>
      <c r="BP411" t="s">
        <v>74</v>
      </c>
      <c r="BQ411" t="s">
        <v>74</v>
      </c>
      <c r="BR411" t="s">
        <v>102</v>
      </c>
      <c r="BS411" t="s">
        <v>7998</v>
      </c>
      <c r="BT411" t="str">
        <f>HYPERLINK("https%3A%2F%2Fwww.webofscience.com%2Fwos%2Fwoscc%2Ffull-record%2FWOS:000677642400021","View Full Record in Web of Science")</f>
        <v>View Full Record in Web of Science</v>
      </c>
    </row>
    <row r="412" spans="1:72" x14ac:dyDescent="0.2">
      <c r="A412" t="s">
        <v>72</v>
      </c>
      <c r="B412" t="s">
        <v>7999</v>
      </c>
      <c r="C412" t="s">
        <v>74</v>
      </c>
      <c r="D412" t="s">
        <v>74</v>
      </c>
      <c r="E412" t="s">
        <v>74</v>
      </c>
      <c r="F412" t="s">
        <v>8000</v>
      </c>
      <c r="G412" t="s">
        <v>74</v>
      </c>
      <c r="H412" t="s">
        <v>74</v>
      </c>
      <c r="I412" t="s">
        <v>8001</v>
      </c>
      <c r="J412" t="s">
        <v>131</v>
      </c>
      <c r="K412" t="s">
        <v>74</v>
      </c>
      <c r="L412" t="s">
        <v>74</v>
      </c>
      <c r="M412" t="s">
        <v>78</v>
      </c>
      <c r="N412" t="s">
        <v>108</v>
      </c>
      <c r="O412" t="s">
        <v>74</v>
      </c>
      <c r="P412" t="s">
        <v>74</v>
      </c>
      <c r="Q412" t="s">
        <v>74</v>
      </c>
      <c r="R412" t="s">
        <v>74</v>
      </c>
      <c r="S412" t="s">
        <v>74</v>
      </c>
      <c r="T412" t="s">
        <v>8002</v>
      </c>
      <c r="U412" t="s">
        <v>8003</v>
      </c>
      <c r="V412" t="s">
        <v>8004</v>
      </c>
      <c r="W412" t="s">
        <v>8005</v>
      </c>
      <c r="X412" t="s">
        <v>8006</v>
      </c>
      <c r="Y412" t="s">
        <v>8007</v>
      </c>
      <c r="Z412" t="s">
        <v>8008</v>
      </c>
      <c r="AA412" t="s">
        <v>8009</v>
      </c>
      <c r="AB412" t="s">
        <v>8010</v>
      </c>
      <c r="AC412" t="s">
        <v>8011</v>
      </c>
      <c r="AD412" t="s">
        <v>690</v>
      </c>
      <c r="AE412" t="s">
        <v>8012</v>
      </c>
      <c r="AF412" t="s">
        <v>74</v>
      </c>
      <c r="AG412">
        <v>65</v>
      </c>
      <c r="AH412">
        <v>18</v>
      </c>
      <c r="AI412">
        <v>19</v>
      </c>
      <c r="AJ412">
        <v>1</v>
      </c>
      <c r="AK412">
        <v>34</v>
      </c>
      <c r="AL412" t="s">
        <v>116</v>
      </c>
      <c r="AM412" t="s">
        <v>117</v>
      </c>
      <c r="AN412" t="s">
        <v>118</v>
      </c>
      <c r="AO412" t="s">
        <v>74</v>
      </c>
      <c r="AP412" t="s">
        <v>142</v>
      </c>
      <c r="AQ412" t="s">
        <v>74</v>
      </c>
      <c r="AR412" t="s">
        <v>143</v>
      </c>
      <c r="AS412" t="s">
        <v>144</v>
      </c>
      <c r="AT412" t="s">
        <v>2900</v>
      </c>
      <c r="AU412">
        <v>2019</v>
      </c>
      <c r="AV412">
        <v>11</v>
      </c>
      <c r="AW412">
        <v>6</v>
      </c>
      <c r="AX412" t="s">
        <v>74</v>
      </c>
      <c r="AY412" t="s">
        <v>74</v>
      </c>
      <c r="AZ412" t="s">
        <v>74</v>
      </c>
      <c r="BA412" t="s">
        <v>74</v>
      </c>
      <c r="BB412" t="s">
        <v>74</v>
      </c>
      <c r="BC412" t="s">
        <v>74</v>
      </c>
      <c r="BD412">
        <v>1698</v>
      </c>
      <c r="BE412" t="s">
        <v>8013</v>
      </c>
      <c r="BF412" t="str">
        <f>HYPERLINK("http://dx.doi.org/10.3390/su11061698","http://dx.doi.org/10.3390/su11061698")</f>
        <v>http://dx.doi.org/10.3390/su11061698</v>
      </c>
      <c r="BG412" t="s">
        <v>74</v>
      </c>
      <c r="BH412" t="s">
        <v>74</v>
      </c>
      <c r="BI412">
        <v>18</v>
      </c>
      <c r="BJ412" t="s">
        <v>146</v>
      </c>
      <c r="BK412" t="s">
        <v>147</v>
      </c>
      <c r="BL412" t="s">
        <v>148</v>
      </c>
      <c r="BM412" t="s">
        <v>8014</v>
      </c>
      <c r="BN412" t="s">
        <v>74</v>
      </c>
      <c r="BO412" t="s">
        <v>101</v>
      </c>
      <c r="BP412" t="s">
        <v>74</v>
      </c>
      <c r="BQ412" t="s">
        <v>74</v>
      </c>
      <c r="BR412" t="s">
        <v>102</v>
      </c>
      <c r="BS412" t="s">
        <v>8015</v>
      </c>
      <c r="BT412" t="str">
        <f>HYPERLINK("https%3A%2F%2Fwww.webofscience.com%2Fwos%2Fwoscc%2Ffull-record%2FWOS:000465613000130","View Full Record in Web of Science")</f>
        <v>View Full Record in Web of Science</v>
      </c>
    </row>
    <row r="413" spans="1:72" x14ac:dyDescent="0.2">
      <c r="A413" t="s">
        <v>72</v>
      </c>
      <c r="B413" t="s">
        <v>8016</v>
      </c>
      <c r="C413" t="s">
        <v>74</v>
      </c>
      <c r="D413" t="s">
        <v>74</v>
      </c>
      <c r="E413" t="s">
        <v>74</v>
      </c>
      <c r="F413" t="s">
        <v>8017</v>
      </c>
      <c r="G413" t="s">
        <v>74</v>
      </c>
      <c r="H413" t="s">
        <v>74</v>
      </c>
      <c r="I413" t="s">
        <v>8018</v>
      </c>
      <c r="J413" t="s">
        <v>7513</v>
      </c>
      <c r="K413" t="s">
        <v>74</v>
      </c>
      <c r="L413" t="s">
        <v>74</v>
      </c>
      <c r="M413" t="s">
        <v>78</v>
      </c>
      <c r="N413" t="s">
        <v>108</v>
      </c>
      <c r="O413" t="s">
        <v>74</v>
      </c>
      <c r="P413" t="s">
        <v>74</v>
      </c>
      <c r="Q413" t="s">
        <v>74</v>
      </c>
      <c r="R413" t="s">
        <v>74</v>
      </c>
      <c r="S413" t="s">
        <v>74</v>
      </c>
      <c r="T413" t="s">
        <v>74</v>
      </c>
      <c r="U413" t="s">
        <v>74</v>
      </c>
      <c r="V413" t="s">
        <v>8019</v>
      </c>
      <c r="W413" t="s">
        <v>8020</v>
      </c>
      <c r="X413" t="s">
        <v>3793</v>
      </c>
      <c r="Y413" t="s">
        <v>8021</v>
      </c>
      <c r="Z413" t="s">
        <v>8022</v>
      </c>
      <c r="AA413" t="s">
        <v>8023</v>
      </c>
      <c r="AB413" t="s">
        <v>74</v>
      </c>
      <c r="AC413" t="s">
        <v>8024</v>
      </c>
      <c r="AD413" t="s">
        <v>8025</v>
      </c>
      <c r="AE413" t="s">
        <v>8026</v>
      </c>
      <c r="AF413" t="s">
        <v>74</v>
      </c>
      <c r="AG413">
        <v>18</v>
      </c>
      <c r="AH413">
        <v>4</v>
      </c>
      <c r="AI413">
        <v>4</v>
      </c>
      <c r="AJ413">
        <v>0</v>
      </c>
      <c r="AK413">
        <v>22</v>
      </c>
      <c r="AL413" t="s">
        <v>3963</v>
      </c>
      <c r="AM413" t="s">
        <v>90</v>
      </c>
      <c r="AN413" t="s">
        <v>3964</v>
      </c>
      <c r="AO413" t="s">
        <v>7519</v>
      </c>
      <c r="AP413" t="s">
        <v>7520</v>
      </c>
      <c r="AQ413" t="s">
        <v>74</v>
      </c>
      <c r="AR413" t="s">
        <v>7521</v>
      </c>
      <c r="AS413" t="s">
        <v>7522</v>
      </c>
      <c r="AT413" t="s">
        <v>74</v>
      </c>
      <c r="AU413">
        <v>2013</v>
      </c>
      <c r="AV413">
        <v>2013</v>
      </c>
      <c r="AW413" t="s">
        <v>74</v>
      </c>
      <c r="AX413" t="s">
        <v>74</v>
      </c>
      <c r="AY413" t="s">
        <v>74</v>
      </c>
      <c r="AZ413" t="s">
        <v>74</v>
      </c>
      <c r="BA413" t="s">
        <v>74</v>
      </c>
      <c r="BB413" t="s">
        <v>74</v>
      </c>
      <c r="BC413" t="s">
        <v>74</v>
      </c>
      <c r="BD413">
        <v>108062</v>
      </c>
      <c r="BE413" t="s">
        <v>8027</v>
      </c>
      <c r="BF413" t="str">
        <f>HYPERLINK("http://dx.doi.org/10.1155/2013/108062","http://dx.doi.org/10.1155/2013/108062")</f>
        <v>http://dx.doi.org/10.1155/2013/108062</v>
      </c>
      <c r="BG413" t="s">
        <v>74</v>
      </c>
      <c r="BH413" t="s">
        <v>74</v>
      </c>
      <c r="BI413">
        <v>12</v>
      </c>
      <c r="BJ413" t="s">
        <v>7525</v>
      </c>
      <c r="BK413" t="s">
        <v>147</v>
      </c>
      <c r="BL413" t="s">
        <v>7526</v>
      </c>
      <c r="BM413" t="s">
        <v>8028</v>
      </c>
      <c r="BN413" t="s">
        <v>74</v>
      </c>
      <c r="BO413" t="s">
        <v>126</v>
      </c>
      <c r="BP413" t="s">
        <v>74</v>
      </c>
      <c r="BQ413" t="s">
        <v>74</v>
      </c>
      <c r="BR413" t="s">
        <v>102</v>
      </c>
      <c r="BS413" t="s">
        <v>8029</v>
      </c>
      <c r="BT413" t="str">
        <f>HYPERLINK("https%3A%2F%2Fwww.webofscience.com%2Fwos%2Fwoscc%2Ffull-record%2FWOS:000327329600001","View Full Record in Web of Science")</f>
        <v>View Full Record in Web of Science</v>
      </c>
    </row>
    <row r="414" spans="1:72" x14ac:dyDescent="0.2">
      <c r="A414" t="s">
        <v>72</v>
      </c>
      <c r="B414" t="s">
        <v>8030</v>
      </c>
      <c r="C414" t="s">
        <v>74</v>
      </c>
      <c r="D414" t="s">
        <v>74</v>
      </c>
      <c r="E414" t="s">
        <v>74</v>
      </c>
      <c r="F414" t="s">
        <v>8031</v>
      </c>
      <c r="G414" t="s">
        <v>74</v>
      </c>
      <c r="H414" t="s">
        <v>74</v>
      </c>
      <c r="I414" t="s">
        <v>8032</v>
      </c>
      <c r="J414" t="s">
        <v>2804</v>
      </c>
      <c r="K414" t="s">
        <v>74</v>
      </c>
      <c r="L414" t="s">
        <v>74</v>
      </c>
      <c r="M414" t="s">
        <v>78</v>
      </c>
      <c r="N414" t="s">
        <v>482</v>
      </c>
      <c r="O414" t="s">
        <v>8033</v>
      </c>
      <c r="P414" t="s">
        <v>8034</v>
      </c>
      <c r="Q414" t="s">
        <v>8035</v>
      </c>
      <c r="R414" t="s">
        <v>74</v>
      </c>
      <c r="S414" t="s">
        <v>8036</v>
      </c>
      <c r="T414" t="s">
        <v>8037</v>
      </c>
      <c r="U414" t="s">
        <v>8038</v>
      </c>
      <c r="V414" t="s">
        <v>8039</v>
      </c>
      <c r="W414" t="s">
        <v>8040</v>
      </c>
      <c r="X414" t="s">
        <v>8041</v>
      </c>
      <c r="Y414" t="s">
        <v>8042</v>
      </c>
      <c r="Z414" t="s">
        <v>8043</v>
      </c>
      <c r="AA414" t="s">
        <v>8044</v>
      </c>
      <c r="AB414" t="s">
        <v>8045</v>
      </c>
      <c r="AC414" t="s">
        <v>74</v>
      </c>
      <c r="AD414" t="s">
        <v>74</v>
      </c>
      <c r="AE414" t="s">
        <v>74</v>
      </c>
      <c r="AF414" t="s">
        <v>74</v>
      </c>
      <c r="AG414">
        <v>41</v>
      </c>
      <c r="AH414">
        <v>11</v>
      </c>
      <c r="AI414">
        <v>11</v>
      </c>
      <c r="AJ414">
        <v>0</v>
      </c>
      <c r="AK414">
        <v>25</v>
      </c>
      <c r="AL414" t="s">
        <v>2147</v>
      </c>
      <c r="AM414" t="s">
        <v>90</v>
      </c>
      <c r="AN414" t="s">
        <v>2148</v>
      </c>
      <c r="AO414" t="s">
        <v>2814</v>
      </c>
      <c r="AP414" t="s">
        <v>2815</v>
      </c>
      <c r="AQ414" t="s">
        <v>74</v>
      </c>
      <c r="AR414" t="s">
        <v>2816</v>
      </c>
      <c r="AS414" t="s">
        <v>2817</v>
      </c>
      <c r="AT414" t="s">
        <v>738</v>
      </c>
      <c r="AU414">
        <v>2007</v>
      </c>
      <c r="AV414">
        <v>221</v>
      </c>
      <c r="AW414">
        <v>2</v>
      </c>
      <c r="AX414" t="s">
        <v>74</v>
      </c>
      <c r="AY414" t="s">
        <v>74</v>
      </c>
      <c r="AZ414" t="s">
        <v>74</v>
      </c>
      <c r="BA414" t="s">
        <v>74</v>
      </c>
      <c r="BB414">
        <v>195</v>
      </c>
      <c r="BC414">
        <v>211</v>
      </c>
      <c r="BD414" t="s">
        <v>74</v>
      </c>
      <c r="BE414" t="s">
        <v>8046</v>
      </c>
      <c r="BF414" t="str">
        <f>HYPERLINK("http://dx.doi.org/10.1243/09544054JEM627","http://dx.doi.org/10.1243/09544054JEM627")</f>
        <v>http://dx.doi.org/10.1243/09544054JEM627</v>
      </c>
      <c r="BG414" t="s">
        <v>74</v>
      </c>
      <c r="BH414" t="s">
        <v>74</v>
      </c>
      <c r="BI414">
        <v>17</v>
      </c>
      <c r="BJ414" t="s">
        <v>2819</v>
      </c>
      <c r="BK414" t="s">
        <v>3093</v>
      </c>
      <c r="BL414" t="s">
        <v>1292</v>
      </c>
      <c r="BM414" t="s">
        <v>8047</v>
      </c>
      <c r="BN414" t="s">
        <v>74</v>
      </c>
      <c r="BO414" t="s">
        <v>74</v>
      </c>
      <c r="BP414" t="s">
        <v>74</v>
      </c>
      <c r="BQ414" t="s">
        <v>74</v>
      </c>
      <c r="BR414" t="s">
        <v>102</v>
      </c>
      <c r="BS414" t="s">
        <v>8048</v>
      </c>
      <c r="BT414" t="str">
        <f>HYPERLINK("https%3A%2F%2Fwww.webofscience.com%2Fwos%2Fwoscc%2Ffull-record%2FWOS:000246880000007","View Full Record in Web of Science")</f>
        <v>View Full Record in Web of Science</v>
      </c>
    </row>
    <row r="415" spans="1:72" x14ac:dyDescent="0.2">
      <c r="A415" t="s">
        <v>72</v>
      </c>
      <c r="B415" t="s">
        <v>8049</v>
      </c>
      <c r="C415" t="s">
        <v>74</v>
      </c>
      <c r="D415" t="s">
        <v>74</v>
      </c>
      <c r="E415" t="s">
        <v>74</v>
      </c>
      <c r="F415" t="s">
        <v>8050</v>
      </c>
      <c r="G415" t="s">
        <v>74</v>
      </c>
      <c r="H415" t="s">
        <v>74</v>
      </c>
      <c r="I415" t="s">
        <v>8051</v>
      </c>
      <c r="J415" t="s">
        <v>131</v>
      </c>
      <c r="K415" t="s">
        <v>74</v>
      </c>
      <c r="L415" t="s">
        <v>74</v>
      </c>
      <c r="M415" t="s">
        <v>78</v>
      </c>
      <c r="N415" t="s">
        <v>108</v>
      </c>
      <c r="O415" t="s">
        <v>74</v>
      </c>
      <c r="P415" t="s">
        <v>74</v>
      </c>
      <c r="Q415" t="s">
        <v>74</v>
      </c>
      <c r="R415" t="s">
        <v>74</v>
      </c>
      <c r="S415" t="s">
        <v>74</v>
      </c>
      <c r="T415" t="s">
        <v>8052</v>
      </c>
      <c r="U415" t="s">
        <v>8053</v>
      </c>
      <c r="V415" t="s">
        <v>8054</v>
      </c>
      <c r="W415" t="s">
        <v>8055</v>
      </c>
      <c r="X415" t="s">
        <v>8056</v>
      </c>
      <c r="Y415" t="s">
        <v>8057</v>
      </c>
      <c r="Z415" t="s">
        <v>8058</v>
      </c>
      <c r="AA415" t="s">
        <v>8059</v>
      </c>
      <c r="AB415" t="s">
        <v>8060</v>
      </c>
      <c r="AC415" t="s">
        <v>74</v>
      </c>
      <c r="AD415" t="s">
        <v>74</v>
      </c>
      <c r="AE415" t="s">
        <v>74</v>
      </c>
      <c r="AF415" t="s">
        <v>74</v>
      </c>
      <c r="AG415">
        <v>62</v>
      </c>
      <c r="AH415">
        <v>0</v>
      </c>
      <c r="AI415">
        <v>0</v>
      </c>
      <c r="AJ415">
        <v>5</v>
      </c>
      <c r="AK415">
        <v>5</v>
      </c>
      <c r="AL415" t="s">
        <v>116</v>
      </c>
      <c r="AM415" t="s">
        <v>117</v>
      </c>
      <c r="AN415" t="s">
        <v>118</v>
      </c>
      <c r="AO415" t="s">
        <v>74</v>
      </c>
      <c r="AP415" t="s">
        <v>142</v>
      </c>
      <c r="AQ415" t="s">
        <v>74</v>
      </c>
      <c r="AR415" t="s">
        <v>143</v>
      </c>
      <c r="AS415" t="s">
        <v>144</v>
      </c>
      <c r="AT415" t="s">
        <v>8061</v>
      </c>
      <c r="AU415">
        <v>2023</v>
      </c>
      <c r="AV415">
        <v>15</v>
      </c>
      <c r="AW415">
        <v>11</v>
      </c>
      <c r="AX415" t="s">
        <v>74</v>
      </c>
      <c r="AY415" t="s">
        <v>74</v>
      </c>
      <c r="AZ415" t="s">
        <v>74</v>
      </c>
      <c r="BA415" t="s">
        <v>74</v>
      </c>
      <c r="BB415" t="s">
        <v>74</v>
      </c>
      <c r="BC415" t="s">
        <v>74</v>
      </c>
      <c r="BD415">
        <v>8670</v>
      </c>
      <c r="BE415" t="s">
        <v>8062</v>
      </c>
      <c r="BF415" t="str">
        <f>HYPERLINK("http://dx.doi.org/10.3390/su15118670","http://dx.doi.org/10.3390/su15118670")</f>
        <v>http://dx.doi.org/10.3390/su15118670</v>
      </c>
      <c r="BG415" t="s">
        <v>74</v>
      </c>
      <c r="BH415" t="s">
        <v>74</v>
      </c>
      <c r="BI415">
        <v>18</v>
      </c>
      <c r="BJ415" t="s">
        <v>146</v>
      </c>
      <c r="BK415" t="s">
        <v>147</v>
      </c>
      <c r="BL415" t="s">
        <v>148</v>
      </c>
      <c r="BM415" t="s">
        <v>8063</v>
      </c>
      <c r="BN415" t="s">
        <v>74</v>
      </c>
      <c r="BO415" t="s">
        <v>126</v>
      </c>
      <c r="BP415" t="s">
        <v>74</v>
      </c>
      <c r="BQ415" t="s">
        <v>74</v>
      </c>
      <c r="BR415" t="s">
        <v>102</v>
      </c>
      <c r="BS415" t="s">
        <v>8064</v>
      </c>
      <c r="BT415" t="str">
        <f>HYPERLINK("https%3A%2F%2Fwww.webofscience.com%2Fwos%2Fwoscc%2Ffull-record%2FWOS:001005468200001","View Full Record in Web of Science")</f>
        <v>View Full Record in Web of Science</v>
      </c>
    </row>
    <row r="416" spans="1:72" x14ac:dyDescent="0.2">
      <c r="A416" t="s">
        <v>72</v>
      </c>
      <c r="B416" t="s">
        <v>8065</v>
      </c>
      <c r="C416" t="s">
        <v>74</v>
      </c>
      <c r="D416" t="s">
        <v>74</v>
      </c>
      <c r="E416" t="s">
        <v>74</v>
      </c>
      <c r="F416" t="s">
        <v>8066</v>
      </c>
      <c r="G416" t="s">
        <v>74</v>
      </c>
      <c r="H416" t="s">
        <v>74</v>
      </c>
      <c r="I416" t="s">
        <v>8067</v>
      </c>
      <c r="J416" t="s">
        <v>8068</v>
      </c>
      <c r="K416" t="s">
        <v>74</v>
      </c>
      <c r="L416" t="s">
        <v>74</v>
      </c>
      <c r="M416" t="s">
        <v>78</v>
      </c>
      <c r="N416" t="s">
        <v>79</v>
      </c>
      <c r="O416" t="s">
        <v>74</v>
      </c>
      <c r="P416" t="s">
        <v>74</v>
      </c>
      <c r="Q416" t="s">
        <v>74</v>
      </c>
      <c r="R416" t="s">
        <v>74</v>
      </c>
      <c r="S416" t="s">
        <v>74</v>
      </c>
      <c r="T416" t="s">
        <v>8069</v>
      </c>
      <c r="U416" t="s">
        <v>8070</v>
      </c>
      <c r="V416" t="s">
        <v>8071</v>
      </c>
      <c r="W416" t="s">
        <v>8072</v>
      </c>
      <c r="X416" t="s">
        <v>74</v>
      </c>
      <c r="Y416" t="s">
        <v>8073</v>
      </c>
      <c r="Z416" t="s">
        <v>8074</v>
      </c>
      <c r="AA416" t="s">
        <v>74</v>
      </c>
      <c r="AB416" t="s">
        <v>74</v>
      </c>
      <c r="AC416" t="s">
        <v>74</v>
      </c>
      <c r="AD416" t="s">
        <v>74</v>
      </c>
      <c r="AE416" t="s">
        <v>74</v>
      </c>
      <c r="AF416" t="s">
        <v>74</v>
      </c>
      <c r="AG416">
        <v>87</v>
      </c>
      <c r="AH416">
        <v>9</v>
      </c>
      <c r="AI416">
        <v>9</v>
      </c>
      <c r="AJ416">
        <v>3</v>
      </c>
      <c r="AK416">
        <v>18</v>
      </c>
      <c r="AL416" t="s">
        <v>116</v>
      </c>
      <c r="AM416" t="s">
        <v>117</v>
      </c>
      <c r="AN416" t="s">
        <v>118</v>
      </c>
      <c r="AO416" t="s">
        <v>74</v>
      </c>
      <c r="AP416" t="s">
        <v>8075</v>
      </c>
      <c r="AQ416" t="s">
        <v>74</v>
      </c>
      <c r="AR416" t="s">
        <v>8068</v>
      </c>
      <c r="AS416" t="s">
        <v>8076</v>
      </c>
      <c r="AT416" t="s">
        <v>800</v>
      </c>
      <c r="AU416">
        <v>2018</v>
      </c>
      <c r="AV416">
        <v>9</v>
      </c>
      <c r="AW416">
        <v>4</v>
      </c>
      <c r="AX416" t="s">
        <v>74</v>
      </c>
      <c r="AY416" t="s">
        <v>74</v>
      </c>
      <c r="AZ416" t="s">
        <v>74</v>
      </c>
      <c r="BA416" t="s">
        <v>74</v>
      </c>
      <c r="BB416" t="s">
        <v>74</v>
      </c>
      <c r="BC416" t="s">
        <v>74</v>
      </c>
      <c r="BD416">
        <v>186</v>
      </c>
      <c r="BE416" t="s">
        <v>8077</v>
      </c>
      <c r="BF416" t="str">
        <f>HYPERLINK("http://dx.doi.org/10.3390/f9040186","http://dx.doi.org/10.3390/f9040186")</f>
        <v>http://dx.doi.org/10.3390/f9040186</v>
      </c>
      <c r="BG416" t="s">
        <v>74</v>
      </c>
      <c r="BH416" t="s">
        <v>74</v>
      </c>
      <c r="BI416">
        <v>16</v>
      </c>
      <c r="BJ416" t="s">
        <v>8078</v>
      </c>
      <c r="BK416" t="s">
        <v>147</v>
      </c>
      <c r="BL416" t="s">
        <v>8078</v>
      </c>
      <c r="BM416" t="s">
        <v>8079</v>
      </c>
      <c r="BN416" t="s">
        <v>74</v>
      </c>
      <c r="BO416" t="s">
        <v>126</v>
      </c>
      <c r="BP416" t="s">
        <v>74</v>
      </c>
      <c r="BQ416" t="s">
        <v>74</v>
      </c>
      <c r="BR416" t="s">
        <v>102</v>
      </c>
      <c r="BS416" t="s">
        <v>8080</v>
      </c>
      <c r="BT416" t="str">
        <f>HYPERLINK("https%3A%2F%2Fwww.webofscience.com%2Fwos%2Fwoscc%2Ffull-record%2FWOS:000434856800030","View Full Record in Web of Science")</f>
        <v>View Full Record in Web of Science</v>
      </c>
    </row>
    <row r="417" spans="1:72" x14ac:dyDescent="0.2">
      <c r="A417" t="s">
        <v>72</v>
      </c>
      <c r="B417" t="s">
        <v>5465</v>
      </c>
      <c r="C417" t="s">
        <v>74</v>
      </c>
      <c r="D417" t="s">
        <v>74</v>
      </c>
      <c r="E417" t="s">
        <v>74</v>
      </c>
      <c r="F417" t="s">
        <v>8081</v>
      </c>
      <c r="G417" t="s">
        <v>74</v>
      </c>
      <c r="H417" t="s">
        <v>74</v>
      </c>
      <c r="I417" t="s">
        <v>8082</v>
      </c>
      <c r="J417" t="s">
        <v>762</v>
      </c>
      <c r="K417" t="s">
        <v>74</v>
      </c>
      <c r="L417" t="s">
        <v>74</v>
      </c>
      <c r="M417" t="s">
        <v>78</v>
      </c>
      <c r="N417" t="s">
        <v>108</v>
      </c>
      <c r="O417" t="s">
        <v>74</v>
      </c>
      <c r="P417" t="s">
        <v>74</v>
      </c>
      <c r="Q417" t="s">
        <v>74</v>
      </c>
      <c r="R417" t="s">
        <v>74</v>
      </c>
      <c r="S417" t="s">
        <v>74</v>
      </c>
      <c r="T417" t="s">
        <v>8083</v>
      </c>
      <c r="U417" t="s">
        <v>8084</v>
      </c>
      <c r="V417" t="s">
        <v>8085</v>
      </c>
      <c r="W417" t="s">
        <v>8086</v>
      </c>
      <c r="X417" t="s">
        <v>3104</v>
      </c>
      <c r="Y417" t="s">
        <v>5472</v>
      </c>
      <c r="Z417" t="s">
        <v>5473</v>
      </c>
      <c r="AA417" t="s">
        <v>5474</v>
      </c>
      <c r="AB417" t="s">
        <v>5475</v>
      </c>
      <c r="AC417" t="s">
        <v>74</v>
      </c>
      <c r="AD417" t="s">
        <v>74</v>
      </c>
      <c r="AE417" t="s">
        <v>74</v>
      </c>
      <c r="AF417" t="s">
        <v>74</v>
      </c>
      <c r="AG417">
        <v>41</v>
      </c>
      <c r="AH417">
        <v>44</v>
      </c>
      <c r="AI417">
        <v>44</v>
      </c>
      <c r="AJ417">
        <v>0</v>
      </c>
      <c r="AK417">
        <v>19</v>
      </c>
      <c r="AL417" t="s">
        <v>279</v>
      </c>
      <c r="AM417" t="s">
        <v>280</v>
      </c>
      <c r="AN417" t="s">
        <v>281</v>
      </c>
      <c r="AO417" t="s">
        <v>773</v>
      </c>
      <c r="AP417" t="s">
        <v>774</v>
      </c>
      <c r="AQ417" t="s">
        <v>74</v>
      </c>
      <c r="AR417" t="s">
        <v>775</v>
      </c>
      <c r="AS417" t="s">
        <v>776</v>
      </c>
      <c r="AT417" t="s">
        <v>6632</v>
      </c>
      <c r="AU417">
        <v>2007</v>
      </c>
      <c r="AV417">
        <v>45</v>
      </c>
      <c r="AW417">
        <v>6</v>
      </c>
      <c r="AX417" t="s">
        <v>74</v>
      </c>
      <c r="AY417" t="s">
        <v>74</v>
      </c>
      <c r="AZ417" t="s">
        <v>74</v>
      </c>
      <c r="BA417" t="s">
        <v>74</v>
      </c>
      <c r="BB417">
        <v>1323</v>
      </c>
      <c r="BC417">
        <v>1353</v>
      </c>
      <c r="BD417" t="s">
        <v>74</v>
      </c>
      <c r="BE417" t="s">
        <v>8087</v>
      </c>
      <c r="BF417" t="str">
        <f>HYPERLINK("http://dx.doi.org/10.1080/00207540600665836","http://dx.doi.org/10.1080/00207540600665836")</f>
        <v>http://dx.doi.org/10.1080/00207540600665836</v>
      </c>
      <c r="BG417" t="s">
        <v>74</v>
      </c>
      <c r="BH417" t="s">
        <v>74</v>
      </c>
      <c r="BI417">
        <v>31</v>
      </c>
      <c r="BJ417" t="s">
        <v>780</v>
      </c>
      <c r="BK417" t="s">
        <v>147</v>
      </c>
      <c r="BL417" t="s">
        <v>781</v>
      </c>
      <c r="BM417" t="s">
        <v>8088</v>
      </c>
      <c r="BN417" t="s">
        <v>74</v>
      </c>
      <c r="BO417" t="s">
        <v>74</v>
      </c>
      <c r="BP417" t="s">
        <v>74</v>
      </c>
      <c r="BQ417" t="s">
        <v>74</v>
      </c>
      <c r="BR417" t="s">
        <v>102</v>
      </c>
      <c r="BS417" t="s">
        <v>8089</v>
      </c>
      <c r="BT417" t="str">
        <f>HYPERLINK("https%3A%2F%2Fwww.webofscience.com%2Fwos%2Fwoscc%2Ffull-record%2FWOS:000244144300004","View Full Record in Web of Science")</f>
        <v>View Full Record in Web of Science</v>
      </c>
    </row>
    <row r="418" spans="1:72" x14ac:dyDescent="0.2">
      <c r="A418" t="s">
        <v>72</v>
      </c>
      <c r="B418" t="s">
        <v>8090</v>
      </c>
      <c r="C418" t="s">
        <v>74</v>
      </c>
      <c r="D418" t="s">
        <v>74</v>
      </c>
      <c r="E418" t="s">
        <v>74</v>
      </c>
      <c r="F418" t="s">
        <v>8091</v>
      </c>
      <c r="G418" t="s">
        <v>74</v>
      </c>
      <c r="H418" t="s">
        <v>74</v>
      </c>
      <c r="I418" t="s">
        <v>8092</v>
      </c>
      <c r="J418" t="s">
        <v>2621</v>
      </c>
      <c r="K418" t="s">
        <v>74</v>
      </c>
      <c r="L418" t="s">
        <v>74</v>
      </c>
      <c r="M418" t="s">
        <v>78</v>
      </c>
      <c r="N418" t="s">
        <v>108</v>
      </c>
      <c r="O418" t="s">
        <v>74</v>
      </c>
      <c r="P418" t="s">
        <v>74</v>
      </c>
      <c r="Q418" t="s">
        <v>74</v>
      </c>
      <c r="R418" t="s">
        <v>74</v>
      </c>
      <c r="S418" t="s">
        <v>74</v>
      </c>
      <c r="T418" t="s">
        <v>8093</v>
      </c>
      <c r="U418" t="s">
        <v>8094</v>
      </c>
      <c r="V418" t="s">
        <v>8095</v>
      </c>
      <c r="W418" t="s">
        <v>8096</v>
      </c>
      <c r="X418" t="s">
        <v>8097</v>
      </c>
      <c r="Y418" t="s">
        <v>8098</v>
      </c>
      <c r="Z418" t="s">
        <v>8099</v>
      </c>
      <c r="AA418" t="s">
        <v>74</v>
      </c>
      <c r="AB418" t="s">
        <v>74</v>
      </c>
      <c r="AC418" t="s">
        <v>74</v>
      </c>
      <c r="AD418" t="s">
        <v>74</v>
      </c>
      <c r="AE418" t="s">
        <v>74</v>
      </c>
      <c r="AF418" t="s">
        <v>74</v>
      </c>
      <c r="AG418">
        <v>30</v>
      </c>
      <c r="AH418">
        <v>2</v>
      </c>
      <c r="AI418">
        <v>2</v>
      </c>
      <c r="AJ418">
        <v>10</v>
      </c>
      <c r="AK418">
        <v>63</v>
      </c>
      <c r="AL418" t="s">
        <v>2634</v>
      </c>
      <c r="AM418" t="s">
        <v>2635</v>
      </c>
      <c r="AN418" t="s">
        <v>2636</v>
      </c>
      <c r="AO418" t="s">
        <v>2637</v>
      </c>
      <c r="AP418" t="s">
        <v>2638</v>
      </c>
      <c r="AQ418" t="s">
        <v>74</v>
      </c>
      <c r="AR418" t="s">
        <v>2639</v>
      </c>
      <c r="AS418" t="s">
        <v>2640</v>
      </c>
      <c r="AT418" t="s">
        <v>74</v>
      </c>
      <c r="AU418">
        <v>2017</v>
      </c>
      <c r="AV418">
        <v>11</v>
      </c>
      <c r="AW418">
        <v>4</v>
      </c>
      <c r="AX418" t="s">
        <v>74</v>
      </c>
      <c r="AY418" t="s">
        <v>74</v>
      </c>
      <c r="AZ418" t="s">
        <v>74</v>
      </c>
      <c r="BA418" t="s">
        <v>74</v>
      </c>
      <c r="BB418">
        <v>469</v>
      </c>
      <c r="BC418">
        <v>485</v>
      </c>
      <c r="BD418" t="s">
        <v>74</v>
      </c>
      <c r="BE418" t="s">
        <v>8100</v>
      </c>
      <c r="BF418" t="str">
        <f>HYPERLINK("http://dx.doi.org/10.1504/EJIE.2017.086184","http://dx.doi.org/10.1504/EJIE.2017.086184")</f>
        <v>http://dx.doi.org/10.1504/EJIE.2017.086184</v>
      </c>
      <c r="BG418" t="s">
        <v>74</v>
      </c>
      <c r="BH418" t="s">
        <v>74</v>
      </c>
      <c r="BI418">
        <v>17</v>
      </c>
      <c r="BJ418" t="s">
        <v>2642</v>
      </c>
      <c r="BK418" t="s">
        <v>98</v>
      </c>
      <c r="BL418" t="s">
        <v>781</v>
      </c>
      <c r="BM418" t="s">
        <v>8101</v>
      </c>
      <c r="BN418" t="s">
        <v>74</v>
      </c>
      <c r="BO418" t="s">
        <v>74</v>
      </c>
      <c r="BP418" t="s">
        <v>74</v>
      </c>
      <c r="BQ418" t="s">
        <v>74</v>
      </c>
      <c r="BR418" t="s">
        <v>102</v>
      </c>
      <c r="BS418" t="s">
        <v>8102</v>
      </c>
      <c r="BT418" t="str">
        <f>HYPERLINK("https%3A%2F%2Fwww.webofscience.com%2Fwos%2Fwoscc%2Ffull-record%2FWOS:000415107300002","View Full Record in Web of Science")</f>
        <v>View Full Record in Web of Science</v>
      </c>
    </row>
    <row r="419" spans="1:72" x14ac:dyDescent="0.2">
      <c r="A419" t="s">
        <v>72</v>
      </c>
      <c r="B419" t="s">
        <v>8103</v>
      </c>
      <c r="C419" t="s">
        <v>74</v>
      </c>
      <c r="D419" t="s">
        <v>74</v>
      </c>
      <c r="E419" t="s">
        <v>74</v>
      </c>
      <c r="F419" t="s">
        <v>8104</v>
      </c>
      <c r="G419" t="s">
        <v>74</v>
      </c>
      <c r="H419" t="s">
        <v>74</v>
      </c>
      <c r="I419" t="s">
        <v>8105</v>
      </c>
      <c r="J419" t="s">
        <v>1278</v>
      </c>
      <c r="K419" t="s">
        <v>74</v>
      </c>
      <c r="L419" t="s">
        <v>74</v>
      </c>
      <c r="M419" t="s">
        <v>78</v>
      </c>
      <c r="N419" t="s">
        <v>108</v>
      </c>
      <c r="O419" t="s">
        <v>74</v>
      </c>
      <c r="P419" t="s">
        <v>74</v>
      </c>
      <c r="Q419" t="s">
        <v>74</v>
      </c>
      <c r="R419" t="s">
        <v>74</v>
      </c>
      <c r="S419" t="s">
        <v>74</v>
      </c>
      <c r="T419" t="s">
        <v>8106</v>
      </c>
      <c r="U419" t="s">
        <v>8107</v>
      </c>
      <c r="V419" t="s">
        <v>8108</v>
      </c>
      <c r="W419" t="s">
        <v>8109</v>
      </c>
      <c r="X419" t="s">
        <v>8110</v>
      </c>
      <c r="Y419" t="s">
        <v>8111</v>
      </c>
      <c r="Z419" t="s">
        <v>8112</v>
      </c>
      <c r="AA419" t="s">
        <v>74</v>
      </c>
      <c r="AB419" t="s">
        <v>8113</v>
      </c>
      <c r="AC419" t="s">
        <v>74</v>
      </c>
      <c r="AD419" t="s">
        <v>74</v>
      </c>
      <c r="AE419" t="s">
        <v>74</v>
      </c>
      <c r="AF419" t="s">
        <v>74</v>
      </c>
      <c r="AG419">
        <v>43</v>
      </c>
      <c r="AH419">
        <v>0</v>
      </c>
      <c r="AI419">
        <v>0</v>
      </c>
      <c r="AJ419">
        <v>3</v>
      </c>
      <c r="AK419">
        <v>3</v>
      </c>
      <c r="AL419" t="s">
        <v>116</v>
      </c>
      <c r="AM419" t="s">
        <v>117</v>
      </c>
      <c r="AN419" t="s">
        <v>118</v>
      </c>
      <c r="AO419" t="s">
        <v>74</v>
      </c>
      <c r="AP419" t="s">
        <v>1288</v>
      </c>
      <c r="AQ419" t="s">
        <v>74</v>
      </c>
      <c r="AR419" t="s">
        <v>1278</v>
      </c>
      <c r="AS419" t="s">
        <v>1289</v>
      </c>
      <c r="AT419" t="s">
        <v>800</v>
      </c>
      <c r="AU419">
        <v>2023</v>
      </c>
      <c r="AV419">
        <v>11</v>
      </c>
      <c r="AW419">
        <v>4</v>
      </c>
      <c r="AX419" t="s">
        <v>74</v>
      </c>
      <c r="AY419" t="s">
        <v>74</v>
      </c>
      <c r="AZ419" t="s">
        <v>74</v>
      </c>
      <c r="BA419" t="s">
        <v>74</v>
      </c>
      <c r="BB419" t="s">
        <v>74</v>
      </c>
      <c r="BC419" t="s">
        <v>74</v>
      </c>
      <c r="BD419">
        <v>1046</v>
      </c>
      <c r="BE419" t="s">
        <v>8114</v>
      </c>
      <c r="BF419" t="str">
        <f>HYPERLINK("http://dx.doi.org/10.3390/pr11041046","http://dx.doi.org/10.3390/pr11041046")</f>
        <v>http://dx.doi.org/10.3390/pr11041046</v>
      </c>
      <c r="BG419" t="s">
        <v>74</v>
      </c>
      <c r="BH419" t="s">
        <v>74</v>
      </c>
      <c r="BI419">
        <v>27</v>
      </c>
      <c r="BJ419" t="s">
        <v>1291</v>
      </c>
      <c r="BK419" t="s">
        <v>98</v>
      </c>
      <c r="BL419" t="s">
        <v>1292</v>
      </c>
      <c r="BM419" t="s">
        <v>8115</v>
      </c>
      <c r="BN419" t="s">
        <v>74</v>
      </c>
      <c r="BO419" t="s">
        <v>126</v>
      </c>
      <c r="BP419" t="s">
        <v>74</v>
      </c>
      <c r="BQ419" t="s">
        <v>74</v>
      </c>
      <c r="BR419" t="s">
        <v>102</v>
      </c>
      <c r="BS419" t="s">
        <v>8116</v>
      </c>
      <c r="BT419" t="str">
        <f>HYPERLINK("https%3A%2F%2Fwww.webofscience.com%2Fwos%2Fwoscc%2Ffull-record%2FWOS:000982795800001","View Full Record in Web of Science")</f>
        <v>View Full Record in Web of Science</v>
      </c>
    </row>
    <row r="420" spans="1:72" x14ac:dyDescent="0.2">
      <c r="A420" t="s">
        <v>72</v>
      </c>
      <c r="B420" t="s">
        <v>8117</v>
      </c>
      <c r="C420" t="s">
        <v>74</v>
      </c>
      <c r="D420" t="s">
        <v>74</v>
      </c>
      <c r="E420" t="s">
        <v>74</v>
      </c>
      <c r="F420" t="s">
        <v>8118</v>
      </c>
      <c r="G420" t="s">
        <v>74</v>
      </c>
      <c r="H420" t="s">
        <v>74</v>
      </c>
      <c r="I420" t="s">
        <v>8119</v>
      </c>
      <c r="J420" t="s">
        <v>8120</v>
      </c>
      <c r="K420" t="s">
        <v>74</v>
      </c>
      <c r="L420" t="s">
        <v>74</v>
      </c>
      <c r="M420" t="s">
        <v>78</v>
      </c>
      <c r="N420" t="s">
        <v>108</v>
      </c>
      <c r="O420" t="s">
        <v>74</v>
      </c>
      <c r="P420" t="s">
        <v>74</v>
      </c>
      <c r="Q420" t="s">
        <v>74</v>
      </c>
      <c r="R420" t="s">
        <v>74</v>
      </c>
      <c r="S420" t="s">
        <v>74</v>
      </c>
      <c r="T420" t="s">
        <v>74</v>
      </c>
      <c r="U420" t="s">
        <v>8121</v>
      </c>
      <c r="V420" t="s">
        <v>8122</v>
      </c>
      <c r="W420" t="s">
        <v>8123</v>
      </c>
      <c r="X420" t="s">
        <v>8124</v>
      </c>
      <c r="Y420" t="s">
        <v>8125</v>
      </c>
      <c r="Z420" t="s">
        <v>8126</v>
      </c>
      <c r="AA420" t="s">
        <v>8127</v>
      </c>
      <c r="AB420" t="s">
        <v>8128</v>
      </c>
      <c r="AC420" t="s">
        <v>8129</v>
      </c>
      <c r="AD420" t="s">
        <v>8130</v>
      </c>
      <c r="AE420" t="s">
        <v>8131</v>
      </c>
      <c r="AF420" t="s">
        <v>74</v>
      </c>
      <c r="AG420">
        <v>46</v>
      </c>
      <c r="AH420">
        <v>58</v>
      </c>
      <c r="AI420">
        <v>58</v>
      </c>
      <c r="AJ420">
        <v>15</v>
      </c>
      <c r="AK420">
        <v>81</v>
      </c>
      <c r="AL420" t="s">
        <v>3963</v>
      </c>
      <c r="AM420" t="s">
        <v>90</v>
      </c>
      <c r="AN420" t="s">
        <v>3964</v>
      </c>
      <c r="AO420" t="s">
        <v>8132</v>
      </c>
      <c r="AP420" t="s">
        <v>8133</v>
      </c>
      <c r="AQ420" t="s">
        <v>74</v>
      </c>
      <c r="AR420" t="s">
        <v>8134</v>
      </c>
      <c r="AS420" t="s">
        <v>8135</v>
      </c>
      <c r="AT420" t="s">
        <v>8136</v>
      </c>
      <c r="AU420">
        <v>2021</v>
      </c>
      <c r="AV420">
        <v>2021</v>
      </c>
      <c r="AW420" t="s">
        <v>74</v>
      </c>
      <c r="AX420" t="s">
        <v>74</v>
      </c>
      <c r="AY420" t="s">
        <v>74</v>
      </c>
      <c r="AZ420" t="s">
        <v>74</v>
      </c>
      <c r="BA420" t="s">
        <v>74</v>
      </c>
      <c r="BB420" t="s">
        <v>74</v>
      </c>
      <c r="BC420" t="s">
        <v>74</v>
      </c>
      <c r="BD420">
        <v>1194565</v>
      </c>
      <c r="BE420" t="s">
        <v>8137</v>
      </c>
      <c r="BF420" t="str">
        <f>HYPERLINK("http://dx.doi.org/10.1155/2021/1194565","http://dx.doi.org/10.1155/2021/1194565")</f>
        <v>http://dx.doi.org/10.1155/2021/1194565</v>
      </c>
      <c r="BG420" t="s">
        <v>74</v>
      </c>
      <c r="BH420" t="s">
        <v>74</v>
      </c>
      <c r="BI420">
        <v>16</v>
      </c>
      <c r="BJ420" t="s">
        <v>8138</v>
      </c>
      <c r="BK420" t="s">
        <v>98</v>
      </c>
      <c r="BL420" t="s">
        <v>8139</v>
      </c>
      <c r="BM420" t="s">
        <v>8140</v>
      </c>
      <c r="BN420">
        <v>34804137</v>
      </c>
      <c r="BO420" t="s">
        <v>623</v>
      </c>
      <c r="BP420" t="s">
        <v>2105</v>
      </c>
      <c r="BQ420" t="s">
        <v>2106</v>
      </c>
      <c r="BR420" t="s">
        <v>102</v>
      </c>
      <c r="BS420" t="s">
        <v>8141</v>
      </c>
      <c r="BT420" t="str">
        <f>HYPERLINK("https%3A%2F%2Fwww.webofscience.com%2Fwos%2Fwoscc%2Ffull-record%2FWOS:000722744500001","View Full Record in Web of Science")</f>
        <v>View Full Record in Web of Science</v>
      </c>
    </row>
    <row r="421" spans="1:72" x14ac:dyDescent="0.2">
      <c r="A421" t="s">
        <v>72</v>
      </c>
      <c r="B421" t="s">
        <v>8142</v>
      </c>
      <c r="C421" t="s">
        <v>74</v>
      </c>
      <c r="D421" t="s">
        <v>74</v>
      </c>
      <c r="E421" t="s">
        <v>74</v>
      </c>
      <c r="F421" t="s">
        <v>8143</v>
      </c>
      <c r="G421" t="s">
        <v>74</v>
      </c>
      <c r="H421" t="s">
        <v>74</v>
      </c>
      <c r="I421" t="s">
        <v>8144</v>
      </c>
      <c r="J421" t="s">
        <v>8145</v>
      </c>
      <c r="K421" t="s">
        <v>74</v>
      </c>
      <c r="L421" t="s">
        <v>74</v>
      </c>
      <c r="M421" t="s">
        <v>78</v>
      </c>
      <c r="N421" t="s">
        <v>108</v>
      </c>
      <c r="O421" t="s">
        <v>74</v>
      </c>
      <c r="P421" t="s">
        <v>74</v>
      </c>
      <c r="Q421" t="s">
        <v>74</v>
      </c>
      <c r="R421" t="s">
        <v>74</v>
      </c>
      <c r="S421" t="s">
        <v>74</v>
      </c>
      <c r="T421" t="s">
        <v>8146</v>
      </c>
      <c r="U421" t="s">
        <v>8147</v>
      </c>
      <c r="V421" t="s">
        <v>8148</v>
      </c>
      <c r="W421" t="s">
        <v>8149</v>
      </c>
      <c r="X421" t="s">
        <v>8150</v>
      </c>
      <c r="Y421" t="s">
        <v>8151</v>
      </c>
      <c r="Z421" t="s">
        <v>8152</v>
      </c>
      <c r="AA421" t="s">
        <v>8153</v>
      </c>
      <c r="AB421" t="s">
        <v>8154</v>
      </c>
      <c r="AC421" t="s">
        <v>74</v>
      </c>
      <c r="AD421" t="s">
        <v>74</v>
      </c>
      <c r="AE421" t="s">
        <v>74</v>
      </c>
      <c r="AF421" t="s">
        <v>74</v>
      </c>
      <c r="AG421">
        <v>166</v>
      </c>
      <c r="AH421">
        <v>8</v>
      </c>
      <c r="AI421">
        <v>8</v>
      </c>
      <c r="AJ421">
        <v>12</v>
      </c>
      <c r="AK421">
        <v>35</v>
      </c>
      <c r="AL421" t="s">
        <v>321</v>
      </c>
      <c r="AM421" t="s">
        <v>322</v>
      </c>
      <c r="AN421" t="s">
        <v>323</v>
      </c>
      <c r="AO421" t="s">
        <v>8155</v>
      </c>
      <c r="AP421" t="s">
        <v>8156</v>
      </c>
      <c r="AQ421" t="s">
        <v>74</v>
      </c>
      <c r="AR421" t="s">
        <v>8157</v>
      </c>
      <c r="AS421" t="s">
        <v>8158</v>
      </c>
      <c r="AT421" t="s">
        <v>416</v>
      </c>
      <c r="AU421">
        <v>2023</v>
      </c>
      <c r="AV421">
        <v>82</v>
      </c>
      <c r="AW421">
        <v>14</v>
      </c>
      <c r="AX421" t="s">
        <v>74</v>
      </c>
      <c r="AY421" t="s">
        <v>74</v>
      </c>
      <c r="AZ421" t="s">
        <v>74</v>
      </c>
      <c r="BA421" t="s">
        <v>74</v>
      </c>
      <c r="BB421">
        <v>21243</v>
      </c>
      <c r="BC421">
        <v>21277</v>
      </c>
      <c r="BD421" t="s">
        <v>74</v>
      </c>
      <c r="BE421" t="s">
        <v>8159</v>
      </c>
      <c r="BF421" t="str">
        <f>HYPERLINK("http://dx.doi.org/10.1007/s11042-022-14006-4","http://dx.doi.org/10.1007/s11042-022-14006-4")</f>
        <v>http://dx.doi.org/10.1007/s11042-022-14006-4</v>
      </c>
      <c r="BG421" t="s">
        <v>74</v>
      </c>
      <c r="BH421" t="s">
        <v>590</v>
      </c>
      <c r="BI421">
        <v>35</v>
      </c>
      <c r="BJ421" t="s">
        <v>8160</v>
      </c>
      <c r="BK421" t="s">
        <v>98</v>
      </c>
      <c r="BL421" t="s">
        <v>269</v>
      </c>
      <c r="BM421" t="s">
        <v>8161</v>
      </c>
      <c r="BN421">
        <v>36276604</v>
      </c>
      <c r="BO421" t="s">
        <v>332</v>
      </c>
      <c r="BP421" t="s">
        <v>74</v>
      </c>
      <c r="BQ421" t="s">
        <v>74</v>
      </c>
      <c r="BR421" t="s">
        <v>102</v>
      </c>
      <c r="BS421" t="s">
        <v>8162</v>
      </c>
      <c r="BT421" t="str">
        <f>HYPERLINK("https%3A%2F%2Fwww.webofscience.com%2Fwos%2Fwoscc%2Ffull-record%2FWOS:000869339100001","View Full Record in Web of Science")</f>
        <v>View Full Record in Web of Science</v>
      </c>
    </row>
    <row r="422" spans="1:72" x14ac:dyDescent="0.2">
      <c r="A422" t="s">
        <v>72</v>
      </c>
      <c r="B422" t="s">
        <v>8163</v>
      </c>
      <c r="C422" t="s">
        <v>74</v>
      </c>
      <c r="D422" t="s">
        <v>74</v>
      </c>
      <c r="E422" t="s">
        <v>74</v>
      </c>
      <c r="F422" t="s">
        <v>8164</v>
      </c>
      <c r="G422" t="s">
        <v>74</v>
      </c>
      <c r="H422" t="s">
        <v>74</v>
      </c>
      <c r="I422" t="s">
        <v>8165</v>
      </c>
      <c r="J422" t="s">
        <v>2042</v>
      </c>
      <c r="K422" t="s">
        <v>74</v>
      </c>
      <c r="L422" t="s">
        <v>74</v>
      </c>
      <c r="M422" t="s">
        <v>78</v>
      </c>
      <c r="N422" t="s">
        <v>108</v>
      </c>
      <c r="O422" t="s">
        <v>74</v>
      </c>
      <c r="P422" t="s">
        <v>74</v>
      </c>
      <c r="Q422" t="s">
        <v>74</v>
      </c>
      <c r="R422" t="s">
        <v>74</v>
      </c>
      <c r="S422" t="s">
        <v>74</v>
      </c>
      <c r="T422" t="s">
        <v>8166</v>
      </c>
      <c r="U422" t="s">
        <v>8167</v>
      </c>
      <c r="V422" t="s">
        <v>8168</v>
      </c>
      <c r="W422" t="s">
        <v>8169</v>
      </c>
      <c r="X422" t="s">
        <v>3834</v>
      </c>
      <c r="Y422" t="s">
        <v>8170</v>
      </c>
      <c r="Z422" t="s">
        <v>8171</v>
      </c>
      <c r="AA422" t="s">
        <v>8172</v>
      </c>
      <c r="AB422" t="s">
        <v>8173</v>
      </c>
      <c r="AC422" t="s">
        <v>74</v>
      </c>
      <c r="AD422" t="s">
        <v>74</v>
      </c>
      <c r="AE422" t="s">
        <v>74</v>
      </c>
      <c r="AF422" t="s">
        <v>74</v>
      </c>
      <c r="AG422">
        <v>25</v>
      </c>
      <c r="AH422">
        <v>9</v>
      </c>
      <c r="AI422">
        <v>9</v>
      </c>
      <c r="AJ422">
        <v>3</v>
      </c>
      <c r="AK422">
        <v>18</v>
      </c>
      <c r="AL422" t="s">
        <v>543</v>
      </c>
      <c r="AM422" t="s">
        <v>260</v>
      </c>
      <c r="AN422" t="s">
        <v>544</v>
      </c>
      <c r="AO422" t="s">
        <v>2054</v>
      </c>
      <c r="AP422" t="s">
        <v>2055</v>
      </c>
      <c r="AQ422" t="s">
        <v>74</v>
      </c>
      <c r="AR422" t="s">
        <v>2056</v>
      </c>
      <c r="AS422" t="s">
        <v>2057</v>
      </c>
      <c r="AT422" t="s">
        <v>5968</v>
      </c>
      <c r="AU422">
        <v>2021</v>
      </c>
      <c r="AV422">
        <v>185</v>
      </c>
      <c r="AW422" t="s">
        <v>74</v>
      </c>
      <c r="AX422" t="s">
        <v>74</v>
      </c>
      <c r="AY422" t="s">
        <v>74</v>
      </c>
      <c r="AZ422" t="s">
        <v>74</v>
      </c>
      <c r="BA422" t="s">
        <v>74</v>
      </c>
      <c r="BB422" t="s">
        <v>74</v>
      </c>
      <c r="BC422" t="s">
        <v>74</v>
      </c>
      <c r="BD422">
        <v>115622</v>
      </c>
      <c r="BE422" t="s">
        <v>8174</v>
      </c>
      <c r="BF422" t="str">
        <f>HYPERLINK("http://dx.doi.org/10.1016/j.eswa.2021.115622","http://dx.doi.org/10.1016/j.eswa.2021.115622")</f>
        <v>http://dx.doi.org/10.1016/j.eswa.2021.115622</v>
      </c>
      <c r="BG422" t="s">
        <v>74</v>
      </c>
      <c r="BH422" t="s">
        <v>1056</v>
      </c>
      <c r="BI422">
        <v>11</v>
      </c>
      <c r="BJ422" t="s">
        <v>2059</v>
      </c>
      <c r="BK422" t="s">
        <v>98</v>
      </c>
      <c r="BL422" t="s">
        <v>2060</v>
      </c>
      <c r="BM422" t="s">
        <v>8175</v>
      </c>
      <c r="BN422" t="s">
        <v>74</v>
      </c>
      <c r="BO422" t="s">
        <v>74</v>
      </c>
      <c r="BP422" t="s">
        <v>74</v>
      </c>
      <c r="BQ422" t="s">
        <v>74</v>
      </c>
      <c r="BR422" t="s">
        <v>102</v>
      </c>
      <c r="BS422" t="s">
        <v>8176</v>
      </c>
      <c r="BT422" t="str">
        <f>HYPERLINK("https%3A%2F%2Fwww.webofscience.com%2Fwos%2Fwoscc%2Ffull-record%2FWOS:000707414500005","View Full Record in Web of Science")</f>
        <v>View Full Record in Web of Science</v>
      </c>
    </row>
    <row r="423" spans="1:72" x14ac:dyDescent="0.2">
      <c r="A423" t="s">
        <v>72</v>
      </c>
      <c r="B423" t="s">
        <v>8177</v>
      </c>
      <c r="C423" t="s">
        <v>74</v>
      </c>
      <c r="D423" t="s">
        <v>74</v>
      </c>
      <c r="E423" t="s">
        <v>74</v>
      </c>
      <c r="F423" t="s">
        <v>8178</v>
      </c>
      <c r="G423" t="s">
        <v>74</v>
      </c>
      <c r="H423" t="s">
        <v>74</v>
      </c>
      <c r="I423" t="s">
        <v>8179</v>
      </c>
      <c r="J423" t="s">
        <v>8180</v>
      </c>
      <c r="K423" t="s">
        <v>74</v>
      </c>
      <c r="L423" t="s">
        <v>74</v>
      </c>
      <c r="M423" t="s">
        <v>78</v>
      </c>
      <c r="N423" t="s">
        <v>917</v>
      </c>
      <c r="O423" t="s">
        <v>74</v>
      </c>
      <c r="P423" t="s">
        <v>74</v>
      </c>
      <c r="Q423" t="s">
        <v>74</v>
      </c>
      <c r="R423" t="s">
        <v>74</v>
      </c>
      <c r="S423" t="s">
        <v>74</v>
      </c>
      <c r="T423" t="s">
        <v>8181</v>
      </c>
      <c r="U423" t="s">
        <v>8182</v>
      </c>
      <c r="V423" t="s">
        <v>8183</v>
      </c>
      <c r="W423" t="s">
        <v>8184</v>
      </c>
      <c r="X423" t="s">
        <v>8185</v>
      </c>
      <c r="Y423" t="s">
        <v>8186</v>
      </c>
      <c r="Z423" t="s">
        <v>8187</v>
      </c>
      <c r="AA423" t="s">
        <v>74</v>
      </c>
      <c r="AB423" t="s">
        <v>74</v>
      </c>
      <c r="AC423" t="s">
        <v>8188</v>
      </c>
      <c r="AD423" t="s">
        <v>8189</v>
      </c>
      <c r="AE423" t="s">
        <v>8190</v>
      </c>
      <c r="AF423" t="s">
        <v>74</v>
      </c>
      <c r="AG423">
        <v>35</v>
      </c>
      <c r="AH423">
        <v>8</v>
      </c>
      <c r="AI423">
        <v>8</v>
      </c>
      <c r="AJ423">
        <v>1</v>
      </c>
      <c r="AK423">
        <v>40</v>
      </c>
      <c r="AL423" t="s">
        <v>4005</v>
      </c>
      <c r="AM423" t="s">
        <v>4006</v>
      </c>
      <c r="AN423" t="s">
        <v>4007</v>
      </c>
      <c r="AO423" t="s">
        <v>8191</v>
      </c>
      <c r="AP423" t="s">
        <v>8192</v>
      </c>
      <c r="AQ423" t="s">
        <v>74</v>
      </c>
      <c r="AR423" t="s">
        <v>8193</v>
      </c>
      <c r="AS423" t="s">
        <v>8194</v>
      </c>
      <c r="AT423" t="s">
        <v>8195</v>
      </c>
      <c r="AU423">
        <v>2020</v>
      </c>
      <c r="AV423" t="s">
        <v>74</v>
      </c>
      <c r="AW423" t="s">
        <v>74</v>
      </c>
      <c r="AX423" t="s">
        <v>74</v>
      </c>
      <c r="AY423" t="s">
        <v>74</v>
      </c>
      <c r="AZ423" t="s">
        <v>74</v>
      </c>
      <c r="BA423" t="s">
        <v>74</v>
      </c>
      <c r="BB423" t="s">
        <v>74</v>
      </c>
      <c r="BC423" t="s">
        <v>74</v>
      </c>
      <c r="BD423" t="s">
        <v>74</v>
      </c>
      <c r="BE423" t="s">
        <v>8196</v>
      </c>
      <c r="BF423" t="str">
        <f>HYPERLINK("http://dx.doi.org/10.1007/s12652-020-01750-4","http://dx.doi.org/10.1007/s12652-020-01750-4")</f>
        <v>http://dx.doi.org/10.1007/s12652-020-01750-4</v>
      </c>
      <c r="BG423" t="s">
        <v>74</v>
      </c>
      <c r="BH423" t="s">
        <v>1254</v>
      </c>
      <c r="BI423">
        <v>15</v>
      </c>
      <c r="BJ423" t="s">
        <v>8197</v>
      </c>
      <c r="BK423" t="s">
        <v>98</v>
      </c>
      <c r="BL423" t="s">
        <v>505</v>
      </c>
      <c r="BM423" t="s">
        <v>8198</v>
      </c>
      <c r="BN423" t="s">
        <v>74</v>
      </c>
      <c r="BO423" t="s">
        <v>74</v>
      </c>
      <c r="BP423" t="s">
        <v>74</v>
      </c>
      <c r="BQ423" t="s">
        <v>74</v>
      </c>
      <c r="BR423" t="s">
        <v>102</v>
      </c>
      <c r="BS423" t="s">
        <v>8199</v>
      </c>
      <c r="BT423" t="str">
        <f>HYPERLINK("https%3A%2F%2Fwww.webofscience.com%2Fwos%2Fwoscc%2Ffull-record%2FWOS:000511053400001","View Full Record in Web of Science")</f>
        <v>View Full Record in Web of Science</v>
      </c>
    </row>
    <row r="424" spans="1:72" x14ac:dyDescent="0.2">
      <c r="A424" t="s">
        <v>72</v>
      </c>
      <c r="B424" t="s">
        <v>8200</v>
      </c>
      <c r="C424" t="s">
        <v>74</v>
      </c>
      <c r="D424" t="s">
        <v>74</v>
      </c>
      <c r="E424" t="s">
        <v>74</v>
      </c>
      <c r="F424" t="s">
        <v>8201</v>
      </c>
      <c r="G424" t="s">
        <v>74</v>
      </c>
      <c r="H424" t="s">
        <v>74</v>
      </c>
      <c r="I424" t="s">
        <v>8202</v>
      </c>
      <c r="J424" t="s">
        <v>6887</v>
      </c>
      <c r="K424" t="s">
        <v>74</v>
      </c>
      <c r="L424" t="s">
        <v>74</v>
      </c>
      <c r="M424" t="s">
        <v>78</v>
      </c>
      <c r="N424" t="s">
        <v>108</v>
      </c>
      <c r="O424" t="s">
        <v>74</v>
      </c>
      <c r="P424" t="s">
        <v>74</v>
      </c>
      <c r="Q424" t="s">
        <v>74</v>
      </c>
      <c r="R424" t="s">
        <v>74</v>
      </c>
      <c r="S424" t="s">
        <v>74</v>
      </c>
      <c r="T424" t="s">
        <v>8203</v>
      </c>
      <c r="U424" t="s">
        <v>8204</v>
      </c>
      <c r="V424" t="s">
        <v>8205</v>
      </c>
      <c r="W424" t="s">
        <v>8206</v>
      </c>
      <c r="X424" t="s">
        <v>8207</v>
      </c>
      <c r="Y424" t="s">
        <v>8208</v>
      </c>
      <c r="Z424" t="s">
        <v>8209</v>
      </c>
      <c r="AA424" t="s">
        <v>74</v>
      </c>
      <c r="AB424" t="s">
        <v>74</v>
      </c>
      <c r="AC424" t="s">
        <v>8210</v>
      </c>
      <c r="AD424" t="s">
        <v>8211</v>
      </c>
      <c r="AE424" t="s">
        <v>8212</v>
      </c>
      <c r="AF424" t="s">
        <v>74</v>
      </c>
      <c r="AG424">
        <v>79</v>
      </c>
      <c r="AH424">
        <v>6</v>
      </c>
      <c r="AI424">
        <v>6</v>
      </c>
      <c r="AJ424">
        <v>4</v>
      </c>
      <c r="AK424">
        <v>20</v>
      </c>
      <c r="AL424" t="s">
        <v>4901</v>
      </c>
      <c r="AM424" t="s">
        <v>4902</v>
      </c>
      <c r="AN424" t="s">
        <v>4903</v>
      </c>
      <c r="AO424" t="s">
        <v>6898</v>
      </c>
      <c r="AP424" t="s">
        <v>6899</v>
      </c>
      <c r="AQ424" t="s">
        <v>74</v>
      </c>
      <c r="AR424" t="s">
        <v>6900</v>
      </c>
      <c r="AS424" t="s">
        <v>6901</v>
      </c>
      <c r="AT424" t="s">
        <v>74</v>
      </c>
      <c r="AU424">
        <v>2020</v>
      </c>
      <c r="AV424">
        <v>26</v>
      </c>
      <c r="AW424">
        <v>1</v>
      </c>
      <c r="AX424" t="s">
        <v>74</v>
      </c>
      <c r="AY424" t="s">
        <v>74</v>
      </c>
      <c r="AZ424" t="s">
        <v>74</v>
      </c>
      <c r="BA424" t="s">
        <v>74</v>
      </c>
      <c r="BB424">
        <v>48</v>
      </c>
      <c r="BC424">
        <v>70</v>
      </c>
      <c r="BD424" t="s">
        <v>74</v>
      </c>
      <c r="BE424" t="s">
        <v>8213</v>
      </c>
      <c r="BF424" t="str">
        <f>HYPERLINK("http://dx.doi.org/10.3846/tede.2019.11328","http://dx.doi.org/10.3846/tede.2019.11328")</f>
        <v>http://dx.doi.org/10.3846/tede.2019.11328</v>
      </c>
      <c r="BG424" t="s">
        <v>74</v>
      </c>
      <c r="BH424" t="s">
        <v>74</v>
      </c>
      <c r="BI424">
        <v>23</v>
      </c>
      <c r="BJ424" t="s">
        <v>1661</v>
      </c>
      <c r="BK424" t="s">
        <v>242</v>
      </c>
      <c r="BL424" t="s">
        <v>419</v>
      </c>
      <c r="BM424" t="s">
        <v>8214</v>
      </c>
      <c r="BN424" t="s">
        <v>74</v>
      </c>
      <c r="BO424" t="s">
        <v>126</v>
      </c>
      <c r="BP424" t="s">
        <v>74</v>
      </c>
      <c r="BQ424" t="s">
        <v>74</v>
      </c>
      <c r="BR424" t="s">
        <v>102</v>
      </c>
      <c r="BS424" t="s">
        <v>8215</v>
      </c>
      <c r="BT424" t="str">
        <f>HYPERLINK("https%3A%2F%2Fwww.webofscience.com%2Fwos%2Fwoscc%2Ffull-record%2FWOS:000509493500003","View Full Record in Web of Science")</f>
        <v>View Full Record in Web of Science</v>
      </c>
    </row>
    <row r="425" spans="1:72" x14ac:dyDescent="0.2">
      <c r="A425" t="s">
        <v>72</v>
      </c>
      <c r="B425" t="s">
        <v>7324</v>
      </c>
      <c r="C425" t="s">
        <v>74</v>
      </c>
      <c r="D425" t="s">
        <v>74</v>
      </c>
      <c r="E425" t="s">
        <v>74</v>
      </c>
      <c r="F425" t="s">
        <v>7325</v>
      </c>
      <c r="G425" t="s">
        <v>74</v>
      </c>
      <c r="H425" t="s">
        <v>74</v>
      </c>
      <c r="I425" t="s">
        <v>8216</v>
      </c>
      <c r="J425" t="s">
        <v>4593</v>
      </c>
      <c r="K425" t="s">
        <v>74</v>
      </c>
      <c r="L425" t="s">
        <v>74</v>
      </c>
      <c r="M425" t="s">
        <v>78</v>
      </c>
      <c r="N425" t="s">
        <v>108</v>
      </c>
      <c r="O425" t="s">
        <v>74</v>
      </c>
      <c r="P425" t="s">
        <v>74</v>
      </c>
      <c r="Q425" t="s">
        <v>74</v>
      </c>
      <c r="R425" t="s">
        <v>74</v>
      </c>
      <c r="S425" t="s">
        <v>74</v>
      </c>
      <c r="T425" t="s">
        <v>8217</v>
      </c>
      <c r="U425" t="s">
        <v>8218</v>
      </c>
      <c r="V425" t="s">
        <v>8219</v>
      </c>
      <c r="W425" t="s">
        <v>8220</v>
      </c>
      <c r="X425" t="s">
        <v>7332</v>
      </c>
      <c r="Y425" t="s">
        <v>7333</v>
      </c>
      <c r="Z425" t="s">
        <v>8221</v>
      </c>
      <c r="AA425" t="s">
        <v>74</v>
      </c>
      <c r="AB425" t="s">
        <v>8222</v>
      </c>
      <c r="AC425" t="s">
        <v>74</v>
      </c>
      <c r="AD425" t="s">
        <v>74</v>
      </c>
      <c r="AE425" t="s">
        <v>74</v>
      </c>
      <c r="AF425" t="s">
        <v>74</v>
      </c>
      <c r="AG425">
        <v>85</v>
      </c>
      <c r="AH425">
        <v>0</v>
      </c>
      <c r="AI425">
        <v>0</v>
      </c>
      <c r="AJ425">
        <v>0</v>
      </c>
      <c r="AK425">
        <v>6</v>
      </c>
      <c r="AL425" t="s">
        <v>1047</v>
      </c>
      <c r="AM425" t="s">
        <v>1048</v>
      </c>
      <c r="AN425" t="s">
        <v>1049</v>
      </c>
      <c r="AO425" t="s">
        <v>4603</v>
      </c>
      <c r="AP425" t="s">
        <v>4604</v>
      </c>
      <c r="AQ425" t="s">
        <v>74</v>
      </c>
      <c r="AR425" t="s">
        <v>4605</v>
      </c>
      <c r="AS425" t="s">
        <v>4606</v>
      </c>
      <c r="AT425" t="s">
        <v>8223</v>
      </c>
      <c r="AU425">
        <v>2022</v>
      </c>
      <c r="AV425">
        <v>62</v>
      </c>
      <c r="AW425">
        <v>5</v>
      </c>
      <c r="AX425" t="s">
        <v>74</v>
      </c>
      <c r="AY425" t="s">
        <v>74</v>
      </c>
      <c r="AZ425" t="s">
        <v>74</v>
      </c>
      <c r="BA425" t="s">
        <v>74</v>
      </c>
      <c r="BB425">
        <v>1048</v>
      </c>
      <c r="BC425">
        <v>1060</v>
      </c>
      <c r="BD425" t="s">
        <v>74</v>
      </c>
      <c r="BE425" t="s">
        <v>8224</v>
      </c>
      <c r="BF425" t="str">
        <f>HYPERLINK("http://dx.doi.org/10.1080/08874417.2021.1967815","http://dx.doi.org/10.1080/08874417.2021.1967815")</f>
        <v>http://dx.doi.org/10.1080/08874417.2021.1967815</v>
      </c>
      <c r="BG425" t="s">
        <v>74</v>
      </c>
      <c r="BH425" t="s">
        <v>722</v>
      </c>
      <c r="BI425">
        <v>13</v>
      </c>
      <c r="BJ425" t="s">
        <v>123</v>
      </c>
      <c r="BK425" t="s">
        <v>98</v>
      </c>
      <c r="BL425" t="s">
        <v>99</v>
      </c>
      <c r="BM425" t="s">
        <v>8225</v>
      </c>
      <c r="BN425" t="s">
        <v>74</v>
      </c>
      <c r="BO425" t="s">
        <v>74</v>
      </c>
      <c r="BP425" t="s">
        <v>74</v>
      </c>
      <c r="BQ425" t="s">
        <v>74</v>
      </c>
      <c r="BR425" t="s">
        <v>102</v>
      </c>
      <c r="BS425" t="s">
        <v>8226</v>
      </c>
      <c r="BT425" t="str">
        <f>HYPERLINK("https%3A%2F%2Fwww.webofscience.com%2Fwos%2Fwoscc%2Ffull-record%2FWOS:000696299700001","View Full Record in Web of Science")</f>
        <v>View Full Record in Web of Science</v>
      </c>
    </row>
    <row r="426" spans="1:72" x14ac:dyDescent="0.2">
      <c r="A426" t="s">
        <v>72</v>
      </c>
      <c r="B426" t="s">
        <v>8227</v>
      </c>
      <c r="C426" t="s">
        <v>74</v>
      </c>
      <c r="D426" t="s">
        <v>74</v>
      </c>
      <c r="E426" t="s">
        <v>74</v>
      </c>
      <c r="F426" t="s">
        <v>8228</v>
      </c>
      <c r="G426" t="s">
        <v>74</v>
      </c>
      <c r="H426" t="s">
        <v>74</v>
      </c>
      <c r="I426" t="s">
        <v>8229</v>
      </c>
      <c r="J426" t="s">
        <v>8230</v>
      </c>
      <c r="K426" t="s">
        <v>74</v>
      </c>
      <c r="L426" t="s">
        <v>74</v>
      </c>
      <c r="M426" t="s">
        <v>78</v>
      </c>
      <c r="N426" t="s">
        <v>108</v>
      </c>
      <c r="O426" t="s">
        <v>74</v>
      </c>
      <c r="P426" t="s">
        <v>74</v>
      </c>
      <c r="Q426" t="s">
        <v>74</v>
      </c>
      <c r="R426" t="s">
        <v>74</v>
      </c>
      <c r="S426" t="s">
        <v>74</v>
      </c>
      <c r="T426" t="s">
        <v>8231</v>
      </c>
      <c r="U426" t="s">
        <v>8232</v>
      </c>
      <c r="V426" t="s">
        <v>8233</v>
      </c>
      <c r="W426" t="s">
        <v>8234</v>
      </c>
      <c r="X426" t="s">
        <v>8235</v>
      </c>
      <c r="Y426" t="s">
        <v>8236</v>
      </c>
      <c r="Z426" t="s">
        <v>8237</v>
      </c>
      <c r="AA426" t="s">
        <v>74</v>
      </c>
      <c r="AB426" t="s">
        <v>74</v>
      </c>
      <c r="AC426" t="s">
        <v>74</v>
      </c>
      <c r="AD426" t="s">
        <v>74</v>
      </c>
      <c r="AE426" t="s">
        <v>74</v>
      </c>
      <c r="AF426" t="s">
        <v>74</v>
      </c>
      <c r="AG426">
        <v>144</v>
      </c>
      <c r="AH426">
        <v>21</v>
      </c>
      <c r="AI426">
        <v>21</v>
      </c>
      <c r="AJ426">
        <v>3</v>
      </c>
      <c r="AK426">
        <v>67</v>
      </c>
      <c r="AL426" t="s">
        <v>347</v>
      </c>
      <c r="AM426" t="s">
        <v>348</v>
      </c>
      <c r="AN426" t="s">
        <v>349</v>
      </c>
      <c r="AO426" t="s">
        <v>8238</v>
      </c>
      <c r="AP426" t="s">
        <v>8239</v>
      </c>
      <c r="AQ426" t="s">
        <v>74</v>
      </c>
      <c r="AR426" t="s">
        <v>8240</v>
      </c>
      <c r="AS426" t="s">
        <v>8241</v>
      </c>
      <c r="AT426" t="s">
        <v>416</v>
      </c>
      <c r="AU426">
        <v>2019</v>
      </c>
      <c r="AV426">
        <v>99</v>
      </c>
      <c r="AW426" t="s">
        <v>74</v>
      </c>
      <c r="AX426" t="s">
        <v>74</v>
      </c>
      <c r="AY426" t="s">
        <v>74</v>
      </c>
      <c r="AZ426" t="s">
        <v>74</v>
      </c>
      <c r="BA426" t="s">
        <v>74</v>
      </c>
      <c r="BB426">
        <v>87</v>
      </c>
      <c r="BC426">
        <v>104</v>
      </c>
      <c r="BD426" t="s">
        <v>74</v>
      </c>
      <c r="BE426" t="s">
        <v>8242</v>
      </c>
      <c r="BF426" t="str">
        <f>HYPERLINK("http://dx.doi.org/10.1016/j.jbusres.2019.01.070","http://dx.doi.org/10.1016/j.jbusres.2019.01.070")</f>
        <v>http://dx.doi.org/10.1016/j.jbusres.2019.01.070</v>
      </c>
      <c r="BG426" t="s">
        <v>74</v>
      </c>
      <c r="BH426" t="s">
        <v>74</v>
      </c>
      <c r="BI426">
        <v>18</v>
      </c>
      <c r="BJ426" t="s">
        <v>931</v>
      </c>
      <c r="BK426" t="s">
        <v>242</v>
      </c>
      <c r="BL426" t="s">
        <v>419</v>
      </c>
      <c r="BM426" t="s">
        <v>8243</v>
      </c>
      <c r="BN426" t="s">
        <v>74</v>
      </c>
      <c r="BO426" t="s">
        <v>74</v>
      </c>
      <c r="BP426" t="s">
        <v>74</v>
      </c>
      <c r="BQ426" t="s">
        <v>74</v>
      </c>
      <c r="BR426" t="s">
        <v>102</v>
      </c>
      <c r="BS426" t="s">
        <v>8244</v>
      </c>
      <c r="BT426" t="str">
        <f>HYPERLINK("https%3A%2F%2Fwww.webofscience.com%2Fwos%2Fwoscc%2Ffull-record%2FWOS:000468253300009","View Full Record in Web of Science")</f>
        <v>View Full Record in Web of Science</v>
      </c>
    </row>
    <row r="427" spans="1:72" x14ac:dyDescent="0.2">
      <c r="A427" t="s">
        <v>72</v>
      </c>
      <c r="B427" t="s">
        <v>8245</v>
      </c>
      <c r="C427" t="s">
        <v>74</v>
      </c>
      <c r="D427" t="s">
        <v>74</v>
      </c>
      <c r="E427" t="s">
        <v>74</v>
      </c>
      <c r="F427" t="s">
        <v>8246</v>
      </c>
      <c r="G427" t="s">
        <v>74</v>
      </c>
      <c r="H427" t="s">
        <v>74</v>
      </c>
      <c r="I427" t="s">
        <v>8247</v>
      </c>
      <c r="J427" t="s">
        <v>8248</v>
      </c>
      <c r="K427" t="s">
        <v>74</v>
      </c>
      <c r="L427" t="s">
        <v>74</v>
      </c>
      <c r="M427" t="s">
        <v>78</v>
      </c>
      <c r="N427" t="s">
        <v>108</v>
      </c>
      <c r="O427" t="s">
        <v>74</v>
      </c>
      <c r="P427" t="s">
        <v>74</v>
      </c>
      <c r="Q427" t="s">
        <v>74</v>
      </c>
      <c r="R427" t="s">
        <v>74</v>
      </c>
      <c r="S427" t="s">
        <v>74</v>
      </c>
      <c r="T427" t="s">
        <v>8249</v>
      </c>
      <c r="U427" t="s">
        <v>74</v>
      </c>
      <c r="V427" t="s">
        <v>8250</v>
      </c>
      <c r="W427" t="s">
        <v>8251</v>
      </c>
      <c r="X427" t="s">
        <v>8252</v>
      </c>
      <c r="Y427" t="s">
        <v>8253</v>
      </c>
      <c r="Z427" t="s">
        <v>8254</v>
      </c>
      <c r="AA427" t="s">
        <v>8255</v>
      </c>
      <c r="AB427" t="s">
        <v>8256</v>
      </c>
      <c r="AC427" t="s">
        <v>8257</v>
      </c>
      <c r="AD427" t="s">
        <v>8258</v>
      </c>
      <c r="AE427" t="s">
        <v>8259</v>
      </c>
      <c r="AF427" t="s">
        <v>74</v>
      </c>
      <c r="AG427">
        <v>40</v>
      </c>
      <c r="AH427">
        <v>1</v>
      </c>
      <c r="AI427">
        <v>1</v>
      </c>
      <c r="AJ427">
        <v>15</v>
      </c>
      <c r="AK427">
        <v>34</v>
      </c>
      <c r="AL427" t="s">
        <v>8260</v>
      </c>
      <c r="AM427" t="s">
        <v>3717</v>
      </c>
      <c r="AN427" t="s">
        <v>8261</v>
      </c>
      <c r="AO427" t="s">
        <v>8262</v>
      </c>
      <c r="AP427" t="s">
        <v>8263</v>
      </c>
      <c r="AQ427" t="s">
        <v>74</v>
      </c>
      <c r="AR427" t="s">
        <v>8264</v>
      </c>
      <c r="AS427" t="s">
        <v>8265</v>
      </c>
      <c r="AT427" t="s">
        <v>372</v>
      </c>
      <c r="AU427">
        <v>2022</v>
      </c>
      <c r="AV427">
        <v>15</v>
      </c>
      <c r="AW427">
        <v>1</v>
      </c>
      <c r="AX427" t="s">
        <v>74</v>
      </c>
      <c r="AY427" t="s">
        <v>74</v>
      </c>
      <c r="AZ427" t="s">
        <v>74</v>
      </c>
      <c r="BA427" t="s">
        <v>74</v>
      </c>
      <c r="BB427">
        <v>208</v>
      </c>
      <c r="BC427">
        <v>215</v>
      </c>
      <c r="BD427" t="s">
        <v>74</v>
      </c>
      <c r="BE427" t="s">
        <v>8266</v>
      </c>
      <c r="BF427" t="str">
        <f>HYPERLINK("http://dx.doi.org/10.25165/j.ijabe.20221501.6353","http://dx.doi.org/10.25165/j.ijabe.20221501.6353")</f>
        <v>http://dx.doi.org/10.25165/j.ijabe.20221501.6353</v>
      </c>
      <c r="BG427" t="s">
        <v>74</v>
      </c>
      <c r="BH427" t="s">
        <v>74</v>
      </c>
      <c r="BI427">
        <v>8</v>
      </c>
      <c r="BJ427" t="s">
        <v>8267</v>
      </c>
      <c r="BK427" t="s">
        <v>98</v>
      </c>
      <c r="BL427" t="s">
        <v>8268</v>
      </c>
      <c r="BM427" t="s">
        <v>8269</v>
      </c>
      <c r="BN427" t="s">
        <v>74</v>
      </c>
      <c r="BO427" t="s">
        <v>126</v>
      </c>
      <c r="BP427" t="s">
        <v>74</v>
      </c>
      <c r="BQ427" t="s">
        <v>74</v>
      </c>
      <c r="BR427" t="s">
        <v>102</v>
      </c>
      <c r="BS427" t="s">
        <v>8270</v>
      </c>
      <c r="BT427" t="str">
        <f>HYPERLINK("https%3A%2F%2Fwww.webofscience.com%2Fwos%2Fwoscc%2Ffull-record%2FWOS:000766605500001","View Full Record in Web of Science")</f>
        <v>View Full Record in Web of Science</v>
      </c>
    </row>
    <row r="428" spans="1:72" x14ac:dyDescent="0.2">
      <c r="A428" t="s">
        <v>72</v>
      </c>
      <c r="B428" t="s">
        <v>8271</v>
      </c>
      <c r="C428" t="s">
        <v>74</v>
      </c>
      <c r="D428" t="s">
        <v>74</v>
      </c>
      <c r="E428" t="s">
        <v>74</v>
      </c>
      <c r="F428" t="s">
        <v>8272</v>
      </c>
      <c r="G428" t="s">
        <v>74</v>
      </c>
      <c r="H428" t="s">
        <v>74</v>
      </c>
      <c r="I428" t="s">
        <v>8273</v>
      </c>
      <c r="J428" t="s">
        <v>8274</v>
      </c>
      <c r="K428" t="s">
        <v>74</v>
      </c>
      <c r="L428" t="s">
        <v>74</v>
      </c>
      <c r="M428" t="s">
        <v>78</v>
      </c>
      <c r="N428" t="s">
        <v>79</v>
      </c>
      <c r="O428" t="s">
        <v>74</v>
      </c>
      <c r="P428" t="s">
        <v>74</v>
      </c>
      <c r="Q428" t="s">
        <v>74</v>
      </c>
      <c r="R428" t="s">
        <v>74</v>
      </c>
      <c r="S428" t="s">
        <v>74</v>
      </c>
      <c r="T428" t="s">
        <v>8275</v>
      </c>
      <c r="U428" t="s">
        <v>8276</v>
      </c>
      <c r="V428" t="s">
        <v>8277</v>
      </c>
      <c r="W428" t="s">
        <v>8278</v>
      </c>
      <c r="X428" t="s">
        <v>8279</v>
      </c>
      <c r="Y428" t="s">
        <v>8280</v>
      </c>
      <c r="Z428" t="s">
        <v>8281</v>
      </c>
      <c r="AA428" t="s">
        <v>8282</v>
      </c>
      <c r="AB428" t="s">
        <v>8283</v>
      </c>
      <c r="AC428" t="s">
        <v>8284</v>
      </c>
      <c r="AD428" t="s">
        <v>8285</v>
      </c>
      <c r="AE428" t="s">
        <v>8286</v>
      </c>
      <c r="AF428" t="s">
        <v>74</v>
      </c>
      <c r="AG428">
        <v>173</v>
      </c>
      <c r="AH428">
        <v>106</v>
      </c>
      <c r="AI428">
        <v>109</v>
      </c>
      <c r="AJ428">
        <v>23</v>
      </c>
      <c r="AK428">
        <v>247</v>
      </c>
      <c r="AL428" t="s">
        <v>279</v>
      </c>
      <c r="AM428" t="s">
        <v>280</v>
      </c>
      <c r="AN428" t="s">
        <v>281</v>
      </c>
      <c r="AO428" t="s">
        <v>8287</v>
      </c>
      <c r="AP428" t="s">
        <v>8288</v>
      </c>
      <c r="AQ428" t="s">
        <v>74</v>
      </c>
      <c r="AR428" t="s">
        <v>8289</v>
      </c>
      <c r="AS428" t="s">
        <v>8290</v>
      </c>
      <c r="AT428" t="s">
        <v>74</v>
      </c>
      <c r="AU428">
        <v>2019</v>
      </c>
      <c r="AV428">
        <v>49</v>
      </c>
      <c r="AW428">
        <v>2</v>
      </c>
      <c r="AX428" t="s">
        <v>74</v>
      </c>
      <c r="AY428" t="s">
        <v>74</v>
      </c>
      <c r="AZ428" t="s">
        <v>570</v>
      </c>
      <c r="BA428" t="s">
        <v>74</v>
      </c>
      <c r="BB428">
        <v>205</v>
      </c>
      <c r="BC428">
        <v>228</v>
      </c>
      <c r="BD428" t="s">
        <v>74</v>
      </c>
      <c r="BE428" t="s">
        <v>8291</v>
      </c>
      <c r="BF428" t="str">
        <f>HYPERLINK("http://dx.doi.org/10.1080/03036758.2019.1609052","http://dx.doi.org/10.1080/03036758.2019.1609052")</f>
        <v>http://dx.doi.org/10.1080/03036758.2019.1609052</v>
      </c>
      <c r="BG428" t="s">
        <v>74</v>
      </c>
      <c r="BH428" t="s">
        <v>74</v>
      </c>
      <c r="BI428">
        <v>24</v>
      </c>
      <c r="BJ428" t="s">
        <v>620</v>
      </c>
      <c r="BK428" t="s">
        <v>147</v>
      </c>
      <c r="BL428" t="s">
        <v>621</v>
      </c>
      <c r="BM428" t="s">
        <v>8292</v>
      </c>
      <c r="BN428" t="s">
        <v>74</v>
      </c>
      <c r="BO428" t="s">
        <v>594</v>
      </c>
      <c r="BP428" t="s">
        <v>74</v>
      </c>
      <c r="BQ428" t="s">
        <v>74</v>
      </c>
      <c r="BR428" t="s">
        <v>102</v>
      </c>
      <c r="BS428" t="s">
        <v>8293</v>
      </c>
      <c r="BT428" t="str">
        <f>HYPERLINK("https%3A%2F%2Fwww.webofscience.com%2Fwos%2Fwoscc%2Ffull-record%2FWOS:000472453300009","View Full Record in Web of Science")</f>
        <v>View Full Record in Web of Science</v>
      </c>
    </row>
    <row r="429" spans="1:72" x14ac:dyDescent="0.2">
      <c r="A429" t="s">
        <v>72</v>
      </c>
      <c r="B429" t="s">
        <v>8294</v>
      </c>
      <c r="C429" t="s">
        <v>74</v>
      </c>
      <c r="D429" t="s">
        <v>74</v>
      </c>
      <c r="E429" t="s">
        <v>74</v>
      </c>
      <c r="F429" t="s">
        <v>8295</v>
      </c>
      <c r="G429" t="s">
        <v>74</v>
      </c>
      <c r="H429" t="s">
        <v>74</v>
      </c>
      <c r="I429" t="s">
        <v>8296</v>
      </c>
      <c r="J429" t="s">
        <v>311</v>
      </c>
      <c r="K429" t="s">
        <v>74</v>
      </c>
      <c r="L429" t="s">
        <v>74</v>
      </c>
      <c r="M429" t="s">
        <v>78</v>
      </c>
      <c r="N429" t="s">
        <v>108</v>
      </c>
      <c r="O429" t="s">
        <v>74</v>
      </c>
      <c r="P429" t="s">
        <v>74</v>
      </c>
      <c r="Q429" t="s">
        <v>74</v>
      </c>
      <c r="R429" t="s">
        <v>74</v>
      </c>
      <c r="S429" t="s">
        <v>74</v>
      </c>
      <c r="T429" t="s">
        <v>8297</v>
      </c>
      <c r="U429" t="s">
        <v>8298</v>
      </c>
      <c r="V429" t="s">
        <v>8299</v>
      </c>
      <c r="W429" t="s">
        <v>8300</v>
      </c>
      <c r="X429" t="s">
        <v>8301</v>
      </c>
      <c r="Y429" t="s">
        <v>8302</v>
      </c>
      <c r="Z429" t="s">
        <v>8303</v>
      </c>
      <c r="AA429" t="s">
        <v>74</v>
      </c>
      <c r="AB429" t="s">
        <v>74</v>
      </c>
      <c r="AC429" t="s">
        <v>74</v>
      </c>
      <c r="AD429" t="s">
        <v>74</v>
      </c>
      <c r="AE429" t="s">
        <v>74</v>
      </c>
      <c r="AF429" t="s">
        <v>74</v>
      </c>
      <c r="AG429">
        <v>171</v>
      </c>
      <c r="AH429">
        <v>11</v>
      </c>
      <c r="AI429">
        <v>11</v>
      </c>
      <c r="AJ429">
        <v>8</v>
      </c>
      <c r="AK429">
        <v>29</v>
      </c>
      <c r="AL429" t="s">
        <v>321</v>
      </c>
      <c r="AM429" t="s">
        <v>322</v>
      </c>
      <c r="AN429" t="s">
        <v>323</v>
      </c>
      <c r="AO429" t="s">
        <v>324</v>
      </c>
      <c r="AP429" t="s">
        <v>325</v>
      </c>
      <c r="AQ429" t="s">
        <v>74</v>
      </c>
      <c r="AR429" t="s">
        <v>326</v>
      </c>
      <c r="AS429" t="s">
        <v>327</v>
      </c>
      <c r="AT429" t="s">
        <v>239</v>
      </c>
      <c r="AU429">
        <v>2021</v>
      </c>
      <c r="AV429">
        <v>303</v>
      </c>
      <c r="AW429" t="s">
        <v>1459</v>
      </c>
      <c r="AX429" t="s">
        <v>74</v>
      </c>
      <c r="AY429" t="s">
        <v>74</v>
      </c>
      <c r="AZ429" t="s">
        <v>570</v>
      </c>
      <c r="BA429" t="s">
        <v>74</v>
      </c>
      <c r="BB429">
        <v>125</v>
      </c>
      <c r="BC429">
        <v>158</v>
      </c>
      <c r="BD429" t="s">
        <v>74</v>
      </c>
      <c r="BE429" t="s">
        <v>8304</v>
      </c>
      <c r="BF429" t="str">
        <f>HYPERLINK("http://dx.doi.org/10.1007/s10479-019-03504-8","http://dx.doi.org/10.1007/s10479-019-03504-8")</f>
        <v>http://dx.doi.org/10.1007/s10479-019-03504-8</v>
      </c>
      <c r="BG429" t="s">
        <v>74</v>
      </c>
      <c r="BH429" t="s">
        <v>8305</v>
      </c>
      <c r="BI429">
        <v>34</v>
      </c>
      <c r="BJ429" t="s">
        <v>330</v>
      </c>
      <c r="BK429" t="s">
        <v>147</v>
      </c>
      <c r="BL429" t="s">
        <v>330</v>
      </c>
      <c r="BM429" t="s">
        <v>8306</v>
      </c>
      <c r="BN429" t="s">
        <v>74</v>
      </c>
      <c r="BO429" t="s">
        <v>1833</v>
      </c>
      <c r="BP429" t="s">
        <v>74</v>
      </c>
      <c r="BQ429" t="s">
        <v>74</v>
      </c>
      <c r="BR429" t="s">
        <v>102</v>
      </c>
      <c r="BS429" t="s">
        <v>8307</v>
      </c>
      <c r="BT429" t="str">
        <f>HYPERLINK("https%3A%2F%2Fwww.webofscience.com%2Fwos%2Fwoscc%2Ffull-record%2FWOS:000574636800003","View Full Record in Web of Science")</f>
        <v>View Full Record in Web of Science</v>
      </c>
    </row>
    <row r="430" spans="1:72" x14ac:dyDescent="0.2">
      <c r="A430" t="s">
        <v>72</v>
      </c>
      <c r="B430" t="s">
        <v>8308</v>
      </c>
      <c r="C430" t="s">
        <v>74</v>
      </c>
      <c r="D430" t="s">
        <v>74</v>
      </c>
      <c r="E430" t="s">
        <v>74</v>
      </c>
      <c r="F430" t="s">
        <v>8309</v>
      </c>
      <c r="G430" t="s">
        <v>74</v>
      </c>
      <c r="H430" t="s">
        <v>74</v>
      </c>
      <c r="I430" t="s">
        <v>8310</v>
      </c>
      <c r="J430" t="s">
        <v>2111</v>
      </c>
      <c r="K430" t="s">
        <v>74</v>
      </c>
      <c r="L430" t="s">
        <v>74</v>
      </c>
      <c r="M430" t="s">
        <v>78</v>
      </c>
      <c r="N430" t="s">
        <v>108</v>
      </c>
      <c r="O430" t="s">
        <v>74</v>
      </c>
      <c r="P430" t="s">
        <v>74</v>
      </c>
      <c r="Q430" t="s">
        <v>74</v>
      </c>
      <c r="R430" t="s">
        <v>74</v>
      </c>
      <c r="S430" t="s">
        <v>74</v>
      </c>
      <c r="T430" t="s">
        <v>8311</v>
      </c>
      <c r="U430" t="s">
        <v>74</v>
      </c>
      <c r="V430" t="s">
        <v>8312</v>
      </c>
      <c r="W430" t="s">
        <v>8313</v>
      </c>
      <c r="X430" t="s">
        <v>8314</v>
      </c>
      <c r="Y430" t="s">
        <v>8315</v>
      </c>
      <c r="Z430" t="s">
        <v>8316</v>
      </c>
      <c r="AA430" t="s">
        <v>8317</v>
      </c>
      <c r="AB430" t="s">
        <v>8318</v>
      </c>
      <c r="AC430" t="s">
        <v>8319</v>
      </c>
      <c r="AD430" t="s">
        <v>8320</v>
      </c>
      <c r="AE430" t="s">
        <v>8321</v>
      </c>
      <c r="AF430" t="s">
        <v>74</v>
      </c>
      <c r="AG430">
        <v>28</v>
      </c>
      <c r="AH430">
        <v>32</v>
      </c>
      <c r="AI430">
        <v>34</v>
      </c>
      <c r="AJ430">
        <v>5</v>
      </c>
      <c r="AK430">
        <v>53</v>
      </c>
      <c r="AL430" t="s">
        <v>167</v>
      </c>
      <c r="AM430" t="s">
        <v>168</v>
      </c>
      <c r="AN430" t="s">
        <v>169</v>
      </c>
      <c r="AO430" t="s">
        <v>2124</v>
      </c>
      <c r="AP430" t="s">
        <v>2125</v>
      </c>
      <c r="AQ430" t="s">
        <v>74</v>
      </c>
      <c r="AR430" t="s">
        <v>2126</v>
      </c>
      <c r="AS430" t="s">
        <v>2127</v>
      </c>
      <c r="AT430" t="s">
        <v>8322</v>
      </c>
      <c r="AU430">
        <v>2020</v>
      </c>
      <c r="AV430">
        <v>31</v>
      </c>
      <c r="AW430">
        <v>9</v>
      </c>
      <c r="AX430" t="s">
        <v>74</v>
      </c>
      <c r="AY430" t="s">
        <v>74</v>
      </c>
      <c r="AZ430" t="s">
        <v>74</v>
      </c>
      <c r="BA430" t="s">
        <v>74</v>
      </c>
      <c r="BB430">
        <v>3721</v>
      </c>
      <c r="BC430">
        <v>3731</v>
      </c>
      <c r="BD430" t="s">
        <v>74</v>
      </c>
      <c r="BE430" t="s">
        <v>8323</v>
      </c>
      <c r="BF430" t="str">
        <f>HYPERLINK("http://dx.doi.org/10.1109/TNNLS.2020.3001602","http://dx.doi.org/10.1109/TNNLS.2020.3001602")</f>
        <v>http://dx.doi.org/10.1109/TNNLS.2020.3001602</v>
      </c>
      <c r="BG430" t="s">
        <v>74</v>
      </c>
      <c r="BH430" t="s">
        <v>74</v>
      </c>
      <c r="BI430">
        <v>11</v>
      </c>
      <c r="BJ430" t="s">
        <v>2130</v>
      </c>
      <c r="BK430" t="s">
        <v>98</v>
      </c>
      <c r="BL430" t="s">
        <v>269</v>
      </c>
      <c r="BM430" t="s">
        <v>8324</v>
      </c>
      <c r="BN430">
        <v>32584772</v>
      </c>
      <c r="BO430" t="s">
        <v>74</v>
      </c>
      <c r="BP430" t="s">
        <v>74</v>
      </c>
      <c r="BQ430" t="s">
        <v>74</v>
      </c>
      <c r="BR430" t="s">
        <v>102</v>
      </c>
      <c r="BS430" t="s">
        <v>8325</v>
      </c>
      <c r="BT430" t="str">
        <f>HYPERLINK("https%3A%2F%2Fwww.webofscience.com%2Fwos%2Fwoscc%2Ffull-record%2FWOS:000566342500045","View Full Record in Web of Science")</f>
        <v>View Full Record in Web of Science</v>
      </c>
    </row>
    <row r="431" spans="1:72" x14ac:dyDescent="0.2">
      <c r="A431" t="s">
        <v>72</v>
      </c>
      <c r="B431" t="s">
        <v>8326</v>
      </c>
      <c r="C431" t="s">
        <v>74</v>
      </c>
      <c r="D431" t="s">
        <v>74</v>
      </c>
      <c r="E431" t="s">
        <v>74</v>
      </c>
      <c r="F431" t="s">
        <v>8327</v>
      </c>
      <c r="G431" t="s">
        <v>74</v>
      </c>
      <c r="H431" t="s">
        <v>74</v>
      </c>
      <c r="I431" t="s">
        <v>8328</v>
      </c>
      <c r="J431" t="s">
        <v>8329</v>
      </c>
      <c r="K431" t="s">
        <v>74</v>
      </c>
      <c r="L431" t="s">
        <v>74</v>
      </c>
      <c r="M431" t="s">
        <v>78</v>
      </c>
      <c r="N431" t="s">
        <v>108</v>
      </c>
      <c r="O431" t="s">
        <v>74</v>
      </c>
      <c r="P431" t="s">
        <v>74</v>
      </c>
      <c r="Q431" t="s">
        <v>74</v>
      </c>
      <c r="R431" t="s">
        <v>74</v>
      </c>
      <c r="S431" t="s">
        <v>74</v>
      </c>
      <c r="T431" t="s">
        <v>8330</v>
      </c>
      <c r="U431" t="s">
        <v>74</v>
      </c>
      <c r="V431" t="s">
        <v>8331</v>
      </c>
      <c r="W431" t="s">
        <v>8332</v>
      </c>
      <c r="X431" t="s">
        <v>8333</v>
      </c>
      <c r="Y431" t="s">
        <v>8334</v>
      </c>
      <c r="Z431" t="s">
        <v>8335</v>
      </c>
      <c r="AA431" t="s">
        <v>8336</v>
      </c>
      <c r="AB431" t="s">
        <v>8337</v>
      </c>
      <c r="AC431" t="s">
        <v>8338</v>
      </c>
      <c r="AD431" t="s">
        <v>8339</v>
      </c>
      <c r="AE431" t="s">
        <v>8340</v>
      </c>
      <c r="AF431" t="s">
        <v>74</v>
      </c>
      <c r="AG431">
        <v>18</v>
      </c>
      <c r="AH431">
        <v>7</v>
      </c>
      <c r="AI431">
        <v>8</v>
      </c>
      <c r="AJ431">
        <v>1</v>
      </c>
      <c r="AK431">
        <v>17</v>
      </c>
      <c r="AL431" t="s">
        <v>8341</v>
      </c>
      <c r="AM431" t="s">
        <v>8342</v>
      </c>
      <c r="AN431" t="s">
        <v>8343</v>
      </c>
      <c r="AO431" t="s">
        <v>8344</v>
      </c>
      <c r="AP431" t="s">
        <v>8345</v>
      </c>
      <c r="AQ431" t="s">
        <v>74</v>
      </c>
      <c r="AR431" t="s">
        <v>8346</v>
      </c>
      <c r="AS431" t="s">
        <v>8347</v>
      </c>
      <c r="AT431" t="s">
        <v>216</v>
      </c>
      <c r="AU431">
        <v>2019</v>
      </c>
      <c r="AV431">
        <v>30</v>
      </c>
      <c r="AW431">
        <v>12</v>
      </c>
      <c r="AX431" t="s">
        <v>74</v>
      </c>
      <c r="AY431" t="s">
        <v>74</v>
      </c>
      <c r="AZ431" t="s">
        <v>74</v>
      </c>
      <c r="BA431" t="s">
        <v>74</v>
      </c>
      <c r="BB431" t="s">
        <v>74</v>
      </c>
      <c r="BC431" t="s">
        <v>74</v>
      </c>
      <c r="BD431">
        <v>125109</v>
      </c>
      <c r="BE431" t="s">
        <v>8348</v>
      </c>
      <c r="BF431" t="str">
        <f>HYPERLINK("http://dx.doi.org/10.1088/1361-6501/ab3b48","http://dx.doi.org/10.1088/1361-6501/ab3b48")</f>
        <v>http://dx.doi.org/10.1088/1361-6501/ab3b48</v>
      </c>
      <c r="BG431" t="s">
        <v>74</v>
      </c>
      <c r="BH431" t="s">
        <v>74</v>
      </c>
      <c r="BI431">
        <v>11</v>
      </c>
      <c r="BJ431" t="s">
        <v>2156</v>
      </c>
      <c r="BK431" t="s">
        <v>98</v>
      </c>
      <c r="BL431" t="s">
        <v>2157</v>
      </c>
      <c r="BM431" t="s">
        <v>8349</v>
      </c>
      <c r="BN431" t="s">
        <v>74</v>
      </c>
      <c r="BO431" t="s">
        <v>74</v>
      </c>
      <c r="BP431" t="s">
        <v>74</v>
      </c>
      <c r="BQ431" t="s">
        <v>74</v>
      </c>
      <c r="BR431" t="s">
        <v>102</v>
      </c>
      <c r="BS431" t="s">
        <v>8350</v>
      </c>
      <c r="BT431" t="str">
        <f>HYPERLINK("https%3A%2F%2Fwww.webofscience.com%2Fwos%2Fwoscc%2Ffull-record%2FWOS:000502364700001","View Full Record in Web of Science")</f>
        <v>View Full Record in Web of Science</v>
      </c>
    </row>
    <row r="432" spans="1:72" x14ac:dyDescent="0.2">
      <c r="A432" t="s">
        <v>72</v>
      </c>
      <c r="B432" t="s">
        <v>8351</v>
      </c>
      <c r="C432" t="s">
        <v>74</v>
      </c>
      <c r="D432" t="s">
        <v>74</v>
      </c>
      <c r="E432" t="s">
        <v>74</v>
      </c>
      <c r="F432" t="s">
        <v>8352</v>
      </c>
      <c r="G432" t="s">
        <v>74</v>
      </c>
      <c r="H432" t="s">
        <v>74</v>
      </c>
      <c r="I432" t="s">
        <v>8353</v>
      </c>
      <c r="J432" t="s">
        <v>531</v>
      </c>
      <c r="K432" t="s">
        <v>74</v>
      </c>
      <c r="L432" t="s">
        <v>74</v>
      </c>
      <c r="M432" t="s">
        <v>78</v>
      </c>
      <c r="N432" t="s">
        <v>108</v>
      </c>
      <c r="O432" t="s">
        <v>74</v>
      </c>
      <c r="P432" t="s">
        <v>74</v>
      </c>
      <c r="Q432" t="s">
        <v>74</v>
      </c>
      <c r="R432" t="s">
        <v>74</v>
      </c>
      <c r="S432" t="s">
        <v>74</v>
      </c>
      <c r="T432" t="s">
        <v>8354</v>
      </c>
      <c r="U432" t="s">
        <v>8355</v>
      </c>
      <c r="V432" t="s">
        <v>8356</v>
      </c>
      <c r="W432" t="s">
        <v>8357</v>
      </c>
      <c r="X432" t="s">
        <v>8358</v>
      </c>
      <c r="Y432" t="s">
        <v>8359</v>
      </c>
      <c r="Z432" t="s">
        <v>8360</v>
      </c>
      <c r="AA432" t="s">
        <v>74</v>
      </c>
      <c r="AB432" t="s">
        <v>74</v>
      </c>
      <c r="AC432" t="s">
        <v>8361</v>
      </c>
      <c r="AD432" t="s">
        <v>987</v>
      </c>
      <c r="AE432" t="s">
        <v>8362</v>
      </c>
      <c r="AF432" t="s">
        <v>74</v>
      </c>
      <c r="AG432">
        <v>71</v>
      </c>
      <c r="AH432">
        <v>8</v>
      </c>
      <c r="AI432">
        <v>8</v>
      </c>
      <c r="AJ432">
        <v>15</v>
      </c>
      <c r="AK432">
        <v>47</v>
      </c>
      <c r="AL432" t="s">
        <v>543</v>
      </c>
      <c r="AM432" t="s">
        <v>260</v>
      </c>
      <c r="AN432" t="s">
        <v>544</v>
      </c>
      <c r="AO432" t="s">
        <v>545</v>
      </c>
      <c r="AP432" t="s">
        <v>546</v>
      </c>
      <c r="AQ432" t="s">
        <v>74</v>
      </c>
      <c r="AR432" t="s">
        <v>547</v>
      </c>
      <c r="AS432" t="s">
        <v>548</v>
      </c>
      <c r="AT432" t="s">
        <v>121</v>
      </c>
      <c r="AU432">
        <v>2022</v>
      </c>
      <c r="AV432">
        <v>169</v>
      </c>
      <c r="AW432" t="s">
        <v>74</v>
      </c>
      <c r="AX432" t="s">
        <v>74</v>
      </c>
      <c r="AY432" t="s">
        <v>74</v>
      </c>
      <c r="AZ432" t="s">
        <v>74</v>
      </c>
      <c r="BA432" t="s">
        <v>74</v>
      </c>
      <c r="BB432" t="s">
        <v>74</v>
      </c>
      <c r="BC432" t="s">
        <v>74</v>
      </c>
      <c r="BD432">
        <v>108224</v>
      </c>
      <c r="BE432" t="s">
        <v>8363</v>
      </c>
      <c r="BF432" t="str">
        <f>HYPERLINK("http://dx.doi.org/10.1016/j.cie.2022.108224","http://dx.doi.org/10.1016/j.cie.2022.108224")</f>
        <v>http://dx.doi.org/10.1016/j.cie.2022.108224</v>
      </c>
      <c r="BG432" t="s">
        <v>74</v>
      </c>
      <c r="BH432" t="s">
        <v>2921</v>
      </c>
      <c r="BI432">
        <v>23</v>
      </c>
      <c r="BJ432" t="s">
        <v>550</v>
      </c>
      <c r="BK432" t="s">
        <v>98</v>
      </c>
      <c r="BL432" t="s">
        <v>269</v>
      </c>
      <c r="BM432" t="s">
        <v>8364</v>
      </c>
      <c r="BN432" t="s">
        <v>74</v>
      </c>
      <c r="BO432" t="s">
        <v>74</v>
      </c>
      <c r="BP432" t="s">
        <v>74</v>
      </c>
      <c r="BQ432" t="s">
        <v>74</v>
      </c>
      <c r="BR432" t="s">
        <v>102</v>
      </c>
      <c r="BS432" t="s">
        <v>8365</v>
      </c>
      <c r="BT432" t="str">
        <f>HYPERLINK("https%3A%2F%2Fwww.webofscience.com%2Fwos%2Fwoscc%2Ffull-record%2FWOS:000802958800007","View Full Record in Web of Science")</f>
        <v>View Full Record in Web of Science</v>
      </c>
    </row>
    <row r="433" spans="1:72" x14ac:dyDescent="0.2">
      <c r="A433" t="s">
        <v>72</v>
      </c>
      <c r="B433" t="s">
        <v>8366</v>
      </c>
      <c r="C433" t="s">
        <v>74</v>
      </c>
      <c r="D433" t="s">
        <v>74</v>
      </c>
      <c r="E433" t="s">
        <v>74</v>
      </c>
      <c r="F433" t="s">
        <v>8367</v>
      </c>
      <c r="G433" t="s">
        <v>74</v>
      </c>
      <c r="H433" t="s">
        <v>74</v>
      </c>
      <c r="I433" t="s">
        <v>8368</v>
      </c>
      <c r="J433" t="s">
        <v>8369</v>
      </c>
      <c r="K433" t="s">
        <v>74</v>
      </c>
      <c r="L433" t="s">
        <v>74</v>
      </c>
      <c r="M433" t="s">
        <v>78</v>
      </c>
      <c r="N433" t="s">
        <v>108</v>
      </c>
      <c r="O433" t="s">
        <v>74</v>
      </c>
      <c r="P433" t="s">
        <v>74</v>
      </c>
      <c r="Q433" t="s">
        <v>74</v>
      </c>
      <c r="R433" t="s">
        <v>74</v>
      </c>
      <c r="S433" t="s">
        <v>74</v>
      </c>
      <c r="T433" t="s">
        <v>8370</v>
      </c>
      <c r="U433" t="s">
        <v>74</v>
      </c>
      <c r="V433" t="s">
        <v>8371</v>
      </c>
      <c r="W433" t="s">
        <v>8372</v>
      </c>
      <c r="X433" t="s">
        <v>8373</v>
      </c>
      <c r="Y433" t="s">
        <v>8374</v>
      </c>
      <c r="Z433" t="s">
        <v>8375</v>
      </c>
      <c r="AA433" t="s">
        <v>74</v>
      </c>
      <c r="AB433" t="s">
        <v>8376</v>
      </c>
      <c r="AC433" t="s">
        <v>8377</v>
      </c>
      <c r="AD433" t="s">
        <v>8378</v>
      </c>
      <c r="AE433" t="s">
        <v>8379</v>
      </c>
      <c r="AF433" t="s">
        <v>74</v>
      </c>
      <c r="AG433">
        <v>27</v>
      </c>
      <c r="AH433">
        <v>1</v>
      </c>
      <c r="AI433">
        <v>1</v>
      </c>
      <c r="AJ433">
        <v>14</v>
      </c>
      <c r="AK433">
        <v>41</v>
      </c>
      <c r="AL433" t="s">
        <v>116</v>
      </c>
      <c r="AM433" t="s">
        <v>117</v>
      </c>
      <c r="AN433" t="s">
        <v>118</v>
      </c>
      <c r="AO433" t="s">
        <v>74</v>
      </c>
      <c r="AP433" t="s">
        <v>8380</v>
      </c>
      <c r="AQ433" t="s">
        <v>74</v>
      </c>
      <c r="AR433" t="s">
        <v>8381</v>
      </c>
      <c r="AS433" t="s">
        <v>8382</v>
      </c>
      <c r="AT433" t="s">
        <v>372</v>
      </c>
      <c r="AU433">
        <v>2022</v>
      </c>
      <c r="AV433">
        <v>14</v>
      </c>
      <c r="AW433">
        <v>2</v>
      </c>
      <c r="AX433" t="s">
        <v>74</v>
      </c>
      <c r="AY433" t="s">
        <v>74</v>
      </c>
      <c r="AZ433" t="s">
        <v>74</v>
      </c>
      <c r="BA433" t="s">
        <v>74</v>
      </c>
      <c r="BB433" t="s">
        <v>74</v>
      </c>
      <c r="BC433" t="s">
        <v>74</v>
      </c>
      <c r="BD433">
        <v>150</v>
      </c>
      <c r="BE433" t="s">
        <v>8383</v>
      </c>
      <c r="BF433" t="str">
        <f>HYPERLINK("http://dx.doi.org/10.3390/w14020150","http://dx.doi.org/10.3390/w14020150")</f>
        <v>http://dx.doi.org/10.3390/w14020150</v>
      </c>
      <c r="BG433" t="s">
        <v>74</v>
      </c>
      <c r="BH433" t="s">
        <v>74</v>
      </c>
      <c r="BI433">
        <v>18</v>
      </c>
      <c r="BJ433" t="s">
        <v>8384</v>
      </c>
      <c r="BK433" t="s">
        <v>98</v>
      </c>
      <c r="BL433" t="s">
        <v>8385</v>
      </c>
      <c r="BM433" t="s">
        <v>8386</v>
      </c>
      <c r="BN433" t="s">
        <v>74</v>
      </c>
      <c r="BO433" t="s">
        <v>126</v>
      </c>
      <c r="BP433" t="s">
        <v>74</v>
      </c>
      <c r="BQ433" t="s">
        <v>74</v>
      </c>
      <c r="BR433" t="s">
        <v>102</v>
      </c>
      <c r="BS433" t="s">
        <v>8387</v>
      </c>
      <c r="BT433" t="str">
        <f>HYPERLINK("https%3A%2F%2Fwww.webofscience.com%2Fwos%2Fwoscc%2Ffull-record%2FWOS:000746365600001","View Full Record in Web of Science")</f>
        <v>View Full Record in Web of Science</v>
      </c>
    </row>
    <row r="434" spans="1:72" x14ac:dyDescent="0.2">
      <c r="A434" t="s">
        <v>72</v>
      </c>
      <c r="B434" t="s">
        <v>8388</v>
      </c>
      <c r="C434" t="s">
        <v>74</v>
      </c>
      <c r="D434" t="s">
        <v>74</v>
      </c>
      <c r="E434" t="s">
        <v>74</v>
      </c>
      <c r="F434" t="s">
        <v>8389</v>
      </c>
      <c r="G434" t="s">
        <v>74</v>
      </c>
      <c r="H434" t="s">
        <v>74</v>
      </c>
      <c r="I434" t="s">
        <v>8390</v>
      </c>
      <c r="J434" t="s">
        <v>5545</v>
      </c>
      <c r="K434" t="s">
        <v>74</v>
      </c>
      <c r="L434" t="s">
        <v>74</v>
      </c>
      <c r="M434" t="s">
        <v>78</v>
      </c>
      <c r="N434" t="s">
        <v>108</v>
      </c>
      <c r="O434" t="s">
        <v>74</v>
      </c>
      <c r="P434" t="s">
        <v>74</v>
      </c>
      <c r="Q434" t="s">
        <v>74</v>
      </c>
      <c r="R434" t="s">
        <v>74</v>
      </c>
      <c r="S434" t="s">
        <v>74</v>
      </c>
      <c r="T434" t="s">
        <v>8391</v>
      </c>
      <c r="U434" t="s">
        <v>74</v>
      </c>
      <c r="V434" t="s">
        <v>8392</v>
      </c>
      <c r="W434" t="s">
        <v>8393</v>
      </c>
      <c r="X434" t="s">
        <v>8394</v>
      </c>
      <c r="Y434" t="s">
        <v>8395</v>
      </c>
      <c r="Z434" t="s">
        <v>8396</v>
      </c>
      <c r="AA434" t="s">
        <v>8397</v>
      </c>
      <c r="AB434" t="s">
        <v>8398</v>
      </c>
      <c r="AC434" t="s">
        <v>8399</v>
      </c>
      <c r="AD434" t="s">
        <v>8400</v>
      </c>
      <c r="AE434" t="s">
        <v>8401</v>
      </c>
      <c r="AF434" t="s">
        <v>74</v>
      </c>
      <c r="AG434">
        <v>56</v>
      </c>
      <c r="AH434">
        <v>8</v>
      </c>
      <c r="AI434">
        <v>8</v>
      </c>
      <c r="AJ434">
        <v>14</v>
      </c>
      <c r="AK434">
        <v>118</v>
      </c>
      <c r="AL434" t="s">
        <v>437</v>
      </c>
      <c r="AM434" t="s">
        <v>438</v>
      </c>
      <c r="AN434" t="s">
        <v>439</v>
      </c>
      <c r="AO434" t="s">
        <v>5556</v>
      </c>
      <c r="AP434" t="s">
        <v>5557</v>
      </c>
      <c r="AQ434" t="s">
        <v>74</v>
      </c>
      <c r="AR434" t="s">
        <v>5558</v>
      </c>
      <c r="AS434" t="s">
        <v>5559</v>
      </c>
      <c r="AT434" t="s">
        <v>1857</v>
      </c>
      <c r="AU434">
        <v>2021</v>
      </c>
      <c r="AV434">
        <v>41</v>
      </c>
      <c r="AW434">
        <v>4</v>
      </c>
      <c r="AX434" t="s">
        <v>74</v>
      </c>
      <c r="AY434" t="s">
        <v>74</v>
      </c>
      <c r="AZ434" t="s">
        <v>570</v>
      </c>
      <c r="BA434" t="s">
        <v>74</v>
      </c>
      <c r="BB434">
        <v>336</v>
      </c>
      <c r="BC434">
        <v>358</v>
      </c>
      <c r="BD434" t="s">
        <v>74</v>
      </c>
      <c r="BE434" t="s">
        <v>8402</v>
      </c>
      <c r="BF434" t="str">
        <f>HYPERLINK("http://dx.doi.org/10.1108/IJOPM-07-2020-0484","http://dx.doi.org/10.1108/IJOPM-07-2020-0484")</f>
        <v>http://dx.doi.org/10.1108/IJOPM-07-2020-0484</v>
      </c>
      <c r="BG434" t="s">
        <v>74</v>
      </c>
      <c r="BH434" t="s">
        <v>645</v>
      </c>
      <c r="BI434">
        <v>23</v>
      </c>
      <c r="BJ434" t="s">
        <v>418</v>
      </c>
      <c r="BK434" t="s">
        <v>242</v>
      </c>
      <c r="BL434" t="s">
        <v>419</v>
      </c>
      <c r="BM434" t="s">
        <v>5561</v>
      </c>
      <c r="BN434" t="s">
        <v>74</v>
      </c>
      <c r="BO434" t="s">
        <v>594</v>
      </c>
      <c r="BP434" t="s">
        <v>74</v>
      </c>
      <c r="BQ434" t="s">
        <v>74</v>
      </c>
      <c r="BR434" t="s">
        <v>102</v>
      </c>
      <c r="BS434" t="s">
        <v>8403</v>
      </c>
      <c r="BT434" t="str">
        <f>HYPERLINK("https%3A%2F%2Fwww.webofscience.com%2Fwos%2Fwoscc%2Ffull-record%2FWOS:000628787900001","View Full Record in Web of Science")</f>
        <v>View Full Record in Web of Science</v>
      </c>
    </row>
    <row r="435" spans="1:72" x14ac:dyDescent="0.2">
      <c r="A435" t="s">
        <v>72</v>
      </c>
      <c r="B435" t="s">
        <v>8404</v>
      </c>
      <c r="C435" t="s">
        <v>74</v>
      </c>
      <c r="D435" t="s">
        <v>74</v>
      </c>
      <c r="E435" t="s">
        <v>74</v>
      </c>
      <c r="F435" t="s">
        <v>8405</v>
      </c>
      <c r="G435" t="s">
        <v>74</v>
      </c>
      <c r="H435" t="s">
        <v>74</v>
      </c>
      <c r="I435" t="s">
        <v>8406</v>
      </c>
      <c r="J435" t="s">
        <v>8407</v>
      </c>
      <c r="K435" t="s">
        <v>74</v>
      </c>
      <c r="L435" t="s">
        <v>74</v>
      </c>
      <c r="M435" t="s">
        <v>78</v>
      </c>
      <c r="N435" t="s">
        <v>108</v>
      </c>
      <c r="O435" t="s">
        <v>74</v>
      </c>
      <c r="P435" t="s">
        <v>74</v>
      </c>
      <c r="Q435" t="s">
        <v>74</v>
      </c>
      <c r="R435" t="s">
        <v>74</v>
      </c>
      <c r="S435" t="s">
        <v>74</v>
      </c>
      <c r="T435" t="s">
        <v>8408</v>
      </c>
      <c r="U435" t="s">
        <v>8409</v>
      </c>
      <c r="V435" t="s">
        <v>8410</v>
      </c>
      <c r="W435" t="s">
        <v>8411</v>
      </c>
      <c r="X435" t="s">
        <v>8412</v>
      </c>
      <c r="Y435" t="s">
        <v>8413</v>
      </c>
      <c r="Z435" t="s">
        <v>8414</v>
      </c>
      <c r="AA435" t="s">
        <v>8415</v>
      </c>
      <c r="AB435" t="s">
        <v>8416</v>
      </c>
      <c r="AC435" t="s">
        <v>74</v>
      </c>
      <c r="AD435" t="s">
        <v>74</v>
      </c>
      <c r="AE435" t="s">
        <v>74</v>
      </c>
      <c r="AF435" t="s">
        <v>74</v>
      </c>
      <c r="AG435">
        <v>41</v>
      </c>
      <c r="AH435">
        <v>39</v>
      </c>
      <c r="AI435">
        <v>39</v>
      </c>
      <c r="AJ435">
        <v>10</v>
      </c>
      <c r="AK435">
        <v>56</v>
      </c>
      <c r="AL435" t="s">
        <v>209</v>
      </c>
      <c r="AM435" t="s">
        <v>210</v>
      </c>
      <c r="AN435" t="s">
        <v>211</v>
      </c>
      <c r="AO435" t="s">
        <v>8417</v>
      </c>
      <c r="AP435" t="s">
        <v>8418</v>
      </c>
      <c r="AQ435" t="s">
        <v>74</v>
      </c>
      <c r="AR435" t="s">
        <v>8419</v>
      </c>
      <c r="AS435" t="s">
        <v>8420</v>
      </c>
      <c r="AT435" t="s">
        <v>394</v>
      </c>
      <c r="AU435">
        <v>2021</v>
      </c>
      <c r="AV435">
        <v>109</v>
      </c>
      <c r="AW435" t="s">
        <v>74</v>
      </c>
      <c r="AX435" t="s">
        <v>74</v>
      </c>
      <c r="AY435" t="s">
        <v>74</v>
      </c>
      <c r="AZ435" t="s">
        <v>74</v>
      </c>
      <c r="BA435" t="s">
        <v>74</v>
      </c>
      <c r="BB435" t="s">
        <v>74</v>
      </c>
      <c r="BC435" t="s">
        <v>74</v>
      </c>
      <c r="BD435">
        <v>107534</v>
      </c>
      <c r="BE435" t="s">
        <v>8421</v>
      </c>
      <c r="BF435" t="str">
        <f>HYPERLINK("http://dx.doi.org/10.1016/j.asoc.2021.107534","http://dx.doi.org/10.1016/j.asoc.2021.107534")</f>
        <v>http://dx.doi.org/10.1016/j.asoc.2021.107534</v>
      </c>
      <c r="BG435" t="s">
        <v>74</v>
      </c>
      <c r="BH435" t="s">
        <v>4013</v>
      </c>
      <c r="BI435">
        <v>13</v>
      </c>
      <c r="BJ435" t="s">
        <v>4166</v>
      </c>
      <c r="BK435" t="s">
        <v>98</v>
      </c>
      <c r="BL435" t="s">
        <v>99</v>
      </c>
      <c r="BM435" t="s">
        <v>8422</v>
      </c>
      <c r="BN435" t="s">
        <v>74</v>
      </c>
      <c r="BO435" t="s">
        <v>74</v>
      </c>
      <c r="BP435" t="s">
        <v>74</v>
      </c>
      <c r="BQ435" t="s">
        <v>74</v>
      </c>
      <c r="BR435" t="s">
        <v>102</v>
      </c>
      <c r="BS435" t="s">
        <v>8423</v>
      </c>
      <c r="BT435" t="str">
        <f>HYPERLINK("https%3A%2F%2Fwww.webofscience.com%2Fwos%2Fwoscc%2Ffull-record%2FWOS:000685648200004","View Full Record in Web of Science")</f>
        <v>View Full Record in Web of Science</v>
      </c>
    </row>
    <row r="436" spans="1:72" x14ac:dyDescent="0.2">
      <c r="A436" t="s">
        <v>72</v>
      </c>
      <c r="B436" t="s">
        <v>8424</v>
      </c>
      <c r="C436" t="s">
        <v>74</v>
      </c>
      <c r="D436" t="s">
        <v>74</v>
      </c>
      <c r="E436" t="s">
        <v>74</v>
      </c>
      <c r="F436" t="s">
        <v>8425</v>
      </c>
      <c r="G436" t="s">
        <v>74</v>
      </c>
      <c r="H436" t="s">
        <v>74</v>
      </c>
      <c r="I436" t="s">
        <v>8426</v>
      </c>
      <c r="J436" t="s">
        <v>8427</v>
      </c>
      <c r="K436" t="s">
        <v>74</v>
      </c>
      <c r="L436" t="s">
        <v>74</v>
      </c>
      <c r="M436" t="s">
        <v>78</v>
      </c>
      <c r="N436" t="s">
        <v>108</v>
      </c>
      <c r="O436" t="s">
        <v>74</v>
      </c>
      <c r="P436" t="s">
        <v>74</v>
      </c>
      <c r="Q436" t="s">
        <v>74</v>
      </c>
      <c r="R436" t="s">
        <v>74</v>
      </c>
      <c r="S436" t="s">
        <v>74</v>
      </c>
      <c r="T436" t="s">
        <v>8428</v>
      </c>
      <c r="U436" t="s">
        <v>8429</v>
      </c>
      <c r="V436" t="s">
        <v>8430</v>
      </c>
      <c r="W436" t="s">
        <v>8431</v>
      </c>
      <c r="X436" t="s">
        <v>8432</v>
      </c>
      <c r="Y436" t="s">
        <v>8433</v>
      </c>
      <c r="Z436" t="s">
        <v>8434</v>
      </c>
      <c r="AA436" t="s">
        <v>74</v>
      </c>
      <c r="AB436" t="s">
        <v>8435</v>
      </c>
      <c r="AC436" t="s">
        <v>74</v>
      </c>
      <c r="AD436" t="s">
        <v>74</v>
      </c>
      <c r="AE436" t="s">
        <v>74</v>
      </c>
      <c r="AF436" t="s">
        <v>74</v>
      </c>
      <c r="AG436">
        <v>56</v>
      </c>
      <c r="AH436">
        <v>1</v>
      </c>
      <c r="AI436">
        <v>1</v>
      </c>
      <c r="AJ436">
        <v>5</v>
      </c>
      <c r="AK436">
        <v>28</v>
      </c>
      <c r="AL436" t="s">
        <v>462</v>
      </c>
      <c r="AM436" t="s">
        <v>280</v>
      </c>
      <c r="AN436" t="s">
        <v>463</v>
      </c>
      <c r="AO436" t="s">
        <v>8436</v>
      </c>
      <c r="AP436" t="s">
        <v>8437</v>
      </c>
      <c r="AQ436" t="s">
        <v>74</v>
      </c>
      <c r="AR436" t="s">
        <v>8438</v>
      </c>
      <c r="AS436" t="s">
        <v>8439</v>
      </c>
      <c r="AT436" t="s">
        <v>8440</v>
      </c>
      <c r="AU436">
        <v>2021</v>
      </c>
      <c r="AV436">
        <v>31</v>
      </c>
      <c r="AW436">
        <v>4</v>
      </c>
      <c r="AX436" t="s">
        <v>74</v>
      </c>
      <c r="AY436" t="s">
        <v>74</v>
      </c>
      <c r="AZ436" t="s">
        <v>74</v>
      </c>
      <c r="BA436" t="s">
        <v>74</v>
      </c>
      <c r="BB436">
        <v>457</v>
      </c>
      <c r="BC436">
        <v>480</v>
      </c>
      <c r="BD436" t="s">
        <v>74</v>
      </c>
      <c r="BE436" t="s">
        <v>8441</v>
      </c>
      <c r="BF436" t="str">
        <f>HYPERLINK("http://dx.doi.org/10.1080/09593969.2021.1915847","http://dx.doi.org/10.1080/09593969.2021.1915847")</f>
        <v>http://dx.doi.org/10.1080/09593969.2021.1915847</v>
      </c>
      <c r="BG436" t="s">
        <v>74</v>
      </c>
      <c r="BH436" t="s">
        <v>848</v>
      </c>
      <c r="BI436">
        <v>24</v>
      </c>
      <c r="BJ436" t="s">
        <v>931</v>
      </c>
      <c r="BK436" t="s">
        <v>124</v>
      </c>
      <c r="BL436" t="s">
        <v>419</v>
      </c>
      <c r="BM436" t="s">
        <v>8442</v>
      </c>
      <c r="BN436" t="s">
        <v>74</v>
      </c>
      <c r="BO436" t="s">
        <v>1833</v>
      </c>
      <c r="BP436" t="s">
        <v>74</v>
      </c>
      <c r="BQ436" t="s">
        <v>74</v>
      </c>
      <c r="BR436" t="s">
        <v>102</v>
      </c>
      <c r="BS436" t="s">
        <v>8443</v>
      </c>
      <c r="BT436" t="str">
        <f>HYPERLINK("https%3A%2F%2Fwww.webofscience.com%2Fwos%2Fwoscc%2Ffull-record%2FWOS:000646842100001","View Full Record in Web of Science")</f>
        <v>View Full Record in Web of Science</v>
      </c>
    </row>
    <row r="437" spans="1:72" x14ac:dyDescent="0.2">
      <c r="A437" t="s">
        <v>72</v>
      </c>
      <c r="B437" t="s">
        <v>8444</v>
      </c>
      <c r="C437" t="s">
        <v>74</v>
      </c>
      <c r="D437" t="s">
        <v>74</v>
      </c>
      <c r="E437" t="s">
        <v>74</v>
      </c>
      <c r="F437" t="s">
        <v>8445</v>
      </c>
      <c r="G437" t="s">
        <v>74</v>
      </c>
      <c r="H437" t="s">
        <v>74</v>
      </c>
      <c r="I437" t="s">
        <v>8446</v>
      </c>
      <c r="J437" t="s">
        <v>8447</v>
      </c>
      <c r="K437" t="s">
        <v>74</v>
      </c>
      <c r="L437" t="s">
        <v>74</v>
      </c>
      <c r="M437" t="s">
        <v>78</v>
      </c>
      <c r="N437" t="s">
        <v>108</v>
      </c>
      <c r="O437" t="s">
        <v>74</v>
      </c>
      <c r="P437" t="s">
        <v>74</v>
      </c>
      <c r="Q437" t="s">
        <v>74</v>
      </c>
      <c r="R437" t="s">
        <v>74</v>
      </c>
      <c r="S437" t="s">
        <v>74</v>
      </c>
      <c r="T437" t="s">
        <v>74</v>
      </c>
      <c r="U437" t="s">
        <v>8448</v>
      </c>
      <c r="V437" t="s">
        <v>8449</v>
      </c>
      <c r="W437" t="s">
        <v>8450</v>
      </c>
      <c r="X437" t="s">
        <v>74</v>
      </c>
      <c r="Y437" t="s">
        <v>8451</v>
      </c>
      <c r="Z437" t="s">
        <v>8452</v>
      </c>
      <c r="AA437" t="s">
        <v>74</v>
      </c>
      <c r="AB437" t="s">
        <v>8453</v>
      </c>
      <c r="AC437" t="s">
        <v>74</v>
      </c>
      <c r="AD437" t="s">
        <v>74</v>
      </c>
      <c r="AE437" t="s">
        <v>74</v>
      </c>
      <c r="AF437" t="s">
        <v>74</v>
      </c>
      <c r="AG437">
        <v>20</v>
      </c>
      <c r="AH437">
        <v>0</v>
      </c>
      <c r="AI437">
        <v>0</v>
      </c>
      <c r="AJ437">
        <v>2</v>
      </c>
      <c r="AK437">
        <v>5</v>
      </c>
      <c r="AL437" t="s">
        <v>3963</v>
      </c>
      <c r="AM437" t="s">
        <v>90</v>
      </c>
      <c r="AN437" t="s">
        <v>3964</v>
      </c>
      <c r="AO437" t="s">
        <v>8454</v>
      </c>
      <c r="AP437" t="s">
        <v>8455</v>
      </c>
      <c r="AQ437" t="s">
        <v>74</v>
      </c>
      <c r="AR437" t="s">
        <v>8456</v>
      </c>
      <c r="AS437" t="s">
        <v>8457</v>
      </c>
      <c r="AT437" t="s">
        <v>8458</v>
      </c>
      <c r="AU437">
        <v>2022</v>
      </c>
      <c r="AV437">
        <v>2022</v>
      </c>
      <c r="AW437" t="s">
        <v>74</v>
      </c>
      <c r="AX437" t="s">
        <v>74</v>
      </c>
      <c r="AY437" t="s">
        <v>74</v>
      </c>
      <c r="AZ437" t="s">
        <v>74</v>
      </c>
      <c r="BA437" t="s">
        <v>74</v>
      </c>
      <c r="BB437" t="s">
        <v>74</v>
      </c>
      <c r="BC437" t="s">
        <v>74</v>
      </c>
      <c r="BD437">
        <v>8229484</v>
      </c>
      <c r="BE437" t="s">
        <v>8459</v>
      </c>
      <c r="BF437" t="str">
        <f>HYPERLINK("http://dx.doi.org/10.1155/2022/8229484","http://dx.doi.org/10.1155/2022/8229484")</f>
        <v>http://dx.doi.org/10.1155/2022/8229484</v>
      </c>
      <c r="BG437" t="s">
        <v>74</v>
      </c>
      <c r="BH437" t="s">
        <v>74</v>
      </c>
      <c r="BI437">
        <v>12</v>
      </c>
      <c r="BJ437" t="s">
        <v>8460</v>
      </c>
      <c r="BK437" t="s">
        <v>124</v>
      </c>
      <c r="BL437" t="s">
        <v>1292</v>
      </c>
      <c r="BM437" t="s">
        <v>8461</v>
      </c>
      <c r="BN437" t="s">
        <v>74</v>
      </c>
      <c r="BO437" t="s">
        <v>126</v>
      </c>
      <c r="BP437" t="s">
        <v>74</v>
      </c>
      <c r="BQ437" t="s">
        <v>74</v>
      </c>
      <c r="BR437" t="s">
        <v>102</v>
      </c>
      <c r="BS437" t="s">
        <v>8462</v>
      </c>
      <c r="BT437" t="str">
        <f>HYPERLINK("https%3A%2F%2Fwww.webofscience.com%2Fwos%2Fwoscc%2Ffull-record%2FWOS:000772167200001","View Full Record in Web of Science")</f>
        <v>View Full Record in Web of Science</v>
      </c>
    </row>
    <row r="438" spans="1:72" x14ac:dyDescent="0.2">
      <c r="A438" t="s">
        <v>72</v>
      </c>
      <c r="B438" t="s">
        <v>8463</v>
      </c>
      <c r="C438" t="s">
        <v>74</v>
      </c>
      <c r="D438" t="s">
        <v>74</v>
      </c>
      <c r="E438" t="s">
        <v>74</v>
      </c>
      <c r="F438" t="s">
        <v>8464</v>
      </c>
      <c r="G438" t="s">
        <v>74</v>
      </c>
      <c r="H438" t="s">
        <v>74</v>
      </c>
      <c r="I438" t="s">
        <v>8465</v>
      </c>
      <c r="J438" t="s">
        <v>8466</v>
      </c>
      <c r="K438" t="s">
        <v>74</v>
      </c>
      <c r="L438" t="s">
        <v>74</v>
      </c>
      <c r="M438" t="s">
        <v>78</v>
      </c>
      <c r="N438" t="s">
        <v>79</v>
      </c>
      <c r="O438" t="s">
        <v>74</v>
      </c>
      <c r="P438" t="s">
        <v>74</v>
      </c>
      <c r="Q438" t="s">
        <v>74</v>
      </c>
      <c r="R438" t="s">
        <v>74</v>
      </c>
      <c r="S438" t="s">
        <v>74</v>
      </c>
      <c r="T438" t="s">
        <v>8467</v>
      </c>
      <c r="U438" t="s">
        <v>8468</v>
      </c>
      <c r="V438" t="s">
        <v>8469</v>
      </c>
      <c r="W438" t="s">
        <v>8470</v>
      </c>
      <c r="X438" t="s">
        <v>8471</v>
      </c>
      <c r="Y438" t="s">
        <v>8472</v>
      </c>
      <c r="Z438" t="s">
        <v>8473</v>
      </c>
      <c r="AA438" t="s">
        <v>8474</v>
      </c>
      <c r="AB438" t="s">
        <v>8475</v>
      </c>
      <c r="AC438" t="s">
        <v>74</v>
      </c>
      <c r="AD438" t="s">
        <v>74</v>
      </c>
      <c r="AE438" t="s">
        <v>74</v>
      </c>
      <c r="AF438" t="s">
        <v>74</v>
      </c>
      <c r="AG438">
        <v>102</v>
      </c>
      <c r="AH438">
        <v>8</v>
      </c>
      <c r="AI438">
        <v>9</v>
      </c>
      <c r="AJ438">
        <v>0</v>
      </c>
      <c r="AK438">
        <v>39</v>
      </c>
      <c r="AL438" t="s">
        <v>167</v>
      </c>
      <c r="AM438" t="s">
        <v>168</v>
      </c>
      <c r="AN438" t="s">
        <v>169</v>
      </c>
      <c r="AO438" t="s">
        <v>8476</v>
      </c>
      <c r="AP438" t="s">
        <v>74</v>
      </c>
      <c r="AQ438" t="s">
        <v>74</v>
      </c>
      <c r="AR438" t="s">
        <v>8477</v>
      </c>
      <c r="AS438" t="s">
        <v>8478</v>
      </c>
      <c r="AT438" t="s">
        <v>616</v>
      </c>
      <c r="AU438">
        <v>2019</v>
      </c>
      <c r="AV438">
        <v>17</v>
      </c>
      <c r="AW438">
        <v>3</v>
      </c>
      <c r="AX438" t="s">
        <v>74</v>
      </c>
      <c r="AY438" t="s">
        <v>74</v>
      </c>
      <c r="AZ438" t="s">
        <v>74</v>
      </c>
      <c r="BA438" t="s">
        <v>74</v>
      </c>
      <c r="BB438">
        <v>372</v>
      </c>
      <c r="BC438">
        <v>382</v>
      </c>
      <c r="BD438" t="s">
        <v>74</v>
      </c>
      <c r="BE438" t="s">
        <v>8479</v>
      </c>
      <c r="BF438" t="str">
        <f>HYPERLINK("http://dx.doi.org/10.1109/TLA.2019.8863307","http://dx.doi.org/10.1109/TLA.2019.8863307")</f>
        <v>http://dx.doi.org/10.1109/TLA.2019.8863307</v>
      </c>
      <c r="BG438" t="s">
        <v>74</v>
      </c>
      <c r="BH438" t="s">
        <v>74</v>
      </c>
      <c r="BI438">
        <v>11</v>
      </c>
      <c r="BJ438" t="s">
        <v>8480</v>
      </c>
      <c r="BK438" t="s">
        <v>98</v>
      </c>
      <c r="BL438" t="s">
        <v>269</v>
      </c>
      <c r="BM438" t="s">
        <v>8481</v>
      </c>
      <c r="BN438" t="s">
        <v>74</v>
      </c>
      <c r="BO438" t="s">
        <v>74</v>
      </c>
      <c r="BP438" t="s">
        <v>74</v>
      </c>
      <c r="BQ438" t="s">
        <v>74</v>
      </c>
      <c r="BR438" t="s">
        <v>102</v>
      </c>
      <c r="BS438" t="s">
        <v>8482</v>
      </c>
      <c r="BT438" t="str">
        <f>HYPERLINK("https%3A%2F%2Fwww.webofscience.com%2Fwos%2Fwoscc%2Ffull-record%2FWOS:000492297900004","View Full Record in Web of Science")</f>
        <v>View Full Record in Web of Science</v>
      </c>
    </row>
    <row r="439" spans="1:72" x14ac:dyDescent="0.2">
      <c r="A439" t="s">
        <v>72</v>
      </c>
      <c r="B439" t="s">
        <v>8483</v>
      </c>
      <c r="C439" t="s">
        <v>74</v>
      </c>
      <c r="D439" t="s">
        <v>74</v>
      </c>
      <c r="E439" t="s">
        <v>74</v>
      </c>
      <c r="F439" t="s">
        <v>8484</v>
      </c>
      <c r="G439" t="s">
        <v>74</v>
      </c>
      <c r="H439" t="s">
        <v>74</v>
      </c>
      <c r="I439" t="s">
        <v>8485</v>
      </c>
      <c r="J439" t="s">
        <v>7548</v>
      </c>
      <c r="K439" t="s">
        <v>74</v>
      </c>
      <c r="L439" t="s">
        <v>74</v>
      </c>
      <c r="M439" t="s">
        <v>78</v>
      </c>
      <c r="N439" t="s">
        <v>108</v>
      </c>
      <c r="O439" t="s">
        <v>74</v>
      </c>
      <c r="P439" t="s">
        <v>74</v>
      </c>
      <c r="Q439" t="s">
        <v>74</v>
      </c>
      <c r="R439" t="s">
        <v>74</v>
      </c>
      <c r="S439" t="s">
        <v>74</v>
      </c>
      <c r="T439" t="s">
        <v>8486</v>
      </c>
      <c r="U439" t="s">
        <v>8487</v>
      </c>
      <c r="V439" t="s">
        <v>8488</v>
      </c>
      <c r="W439" t="s">
        <v>8489</v>
      </c>
      <c r="X439" t="s">
        <v>8490</v>
      </c>
      <c r="Y439" t="s">
        <v>8491</v>
      </c>
      <c r="Z439" t="s">
        <v>8492</v>
      </c>
      <c r="AA439" t="s">
        <v>74</v>
      </c>
      <c r="AB439" t="s">
        <v>74</v>
      </c>
      <c r="AC439" t="s">
        <v>8493</v>
      </c>
      <c r="AD439" t="s">
        <v>8494</v>
      </c>
      <c r="AE439" t="s">
        <v>8495</v>
      </c>
      <c r="AF439" t="s">
        <v>74</v>
      </c>
      <c r="AG439">
        <v>40</v>
      </c>
      <c r="AH439">
        <v>12</v>
      </c>
      <c r="AI439">
        <v>12</v>
      </c>
      <c r="AJ439">
        <v>1</v>
      </c>
      <c r="AK439">
        <v>21</v>
      </c>
      <c r="AL439" t="s">
        <v>543</v>
      </c>
      <c r="AM439" t="s">
        <v>260</v>
      </c>
      <c r="AN439" t="s">
        <v>544</v>
      </c>
      <c r="AO439" t="s">
        <v>7557</v>
      </c>
      <c r="AP439" t="s">
        <v>7558</v>
      </c>
      <c r="AQ439" t="s">
        <v>74</v>
      </c>
      <c r="AR439" t="s">
        <v>7559</v>
      </c>
      <c r="AS439" t="s">
        <v>7560</v>
      </c>
      <c r="AT439" t="s">
        <v>7202</v>
      </c>
      <c r="AU439">
        <v>2020</v>
      </c>
      <c r="AV439">
        <v>140</v>
      </c>
      <c r="AW439" t="s">
        <v>74</v>
      </c>
      <c r="AX439" t="s">
        <v>74</v>
      </c>
      <c r="AY439" t="s">
        <v>74</v>
      </c>
      <c r="AZ439" t="s">
        <v>74</v>
      </c>
      <c r="BA439" t="s">
        <v>74</v>
      </c>
      <c r="BB439" t="s">
        <v>74</v>
      </c>
      <c r="BC439" t="s">
        <v>74</v>
      </c>
      <c r="BD439">
        <v>106966</v>
      </c>
      <c r="BE439" t="s">
        <v>8496</v>
      </c>
      <c r="BF439" t="str">
        <f>HYPERLINK("http://dx.doi.org/10.1016/j.compchemeng.2020.106966","http://dx.doi.org/10.1016/j.compchemeng.2020.106966")</f>
        <v>http://dx.doi.org/10.1016/j.compchemeng.2020.106966</v>
      </c>
      <c r="BG439" t="s">
        <v>74</v>
      </c>
      <c r="BH439" t="s">
        <v>74</v>
      </c>
      <c r="BI439">
        <v>22</v>
      </c>
      <c r="BJ439" t="s">
        <v>7563</v>
      </c>
      <c r="BK439" t="s">
        <v>98</v>
      </c>
      <c r="BL439" t="s">
        <v>269</v>
      </c>
      <c r="BM439" t="s">
        <v>8497</v>
      </c>
      <c r="BN439" t="s">
        <v>74</v>
      </c>
      <c r="BO439" t="s">
        <v>74</v>
      </c>
      <c r="BP439" t="s">
        <v>74</v>
      </c>
      <c r="BQ439" t="s">
        <v>74</v>
      </c>
      <c r="BR439" t="s">
        <v>102</v>
      </c>
      <c r="BS439" t="s">
        <v>8498</v>
      </c>
      <c r="BT439" t="str">
        <f>HYPERLINK("https%3A%2F%2Fwww.webofscience.com%2Fwos%2Fwoscc%2Ffull-record%2FWOS:000555541200009","View Full Record in Web of Science")</f>
        <v>View Full Record in Web of Science</v>
      </c>
    </row>
    <row r="440" spans="1:72" x14ac:dyDescent="0.2">
      <c r="A440" t="s">
        <v>72</v>
      </c>
      <c r="B440" t="s">
        <v>8499</v>
      </c>
      <c r="C440" t="s">
        <v>74</v>
      </c>
      <c r="D440" t="s">
        <v>74</v>
      </c>
      <c r="E440" t="s">
        <v>74</v>
      </c>
      <c r="F440" t="s">
        <v>8500</v>
      </c>
      <c r="G440" t="s">
        <v>74</v>
      </c>
      <c r="H440" t="s">
        <v>74</v>
      </c>
      <c r="I440" t="s">
        <v>8501</v>
      </c>
      <c r="J440" t="s">
        <v>8502</v>
      </c>
      <c r="K440" t="s">
        <v>74</v>
      </c>
      <c r="L440" t="s">
        <v>74</v>
      </c>
      <c r="M440" t="s">
        <v>78</v>
      </c>
      <c r="N440" t="s">
        <v>108</v>
      </c>
      <c r="O440" t="s">
        <v>74</v>
      </c>
      <c r="P440" t="s">
        <v>74</v>
      </c>
      <c r="Q440" t="s">
        <v>74</v>
      </c>
      <c r="R440" t="s">
        <v>74</v>
      </c>
      <c r="S440" t="s">
        <v>74</v>
      </c>
      <c r="T440" t="s">
        <v>8503</v>
      </c>
      <c r="U440" t="s">
        <v>8504</v>
      </c>
      <c r="V440" t="s">
        <v>8505</v>
      </c>
      <c r="W440" t="s">
        <v>8506</v>
      </c>
      <c r="X440" t="s">
        <v>8507</v>
      </c>
      <c r="Y440" t="s">
        <v>8508</v>
      </c>
      <c r="Z440" t="s">
        <v>8509</v>
      </c>
      <c r="AA440" t="s">
        <v>8510</v>
      </c>
      <c r="AB440" t="s">
        <v>8511</v>
      </c>
      <c r="AC440" t="s">
        <v>8512</v>
      </c>
      <c r="AD440" t="s">
        <v>8513</v>
      </c>
      <c r="AE440" t="s">
        <v>8514</v>
      </c>
      <c r="AF440" t="s">
        <v>74</v>
      </c>
      <c r="AG440">
        <v>29</v>
      </c>
      <c r="AH440">
        <v>7</v>
      </c>
      <c r="AI440">
        <v>7</v>
      </c>
      <c r="AJ440">
        <v>2</v>
      </c>
      <c r="AK440">
        <v>25</v>
      </c>
      <c r="AL440" t="s">
        <v>409</v>
      </c>
      <c r="AM440" t="s">
        <v>410</v>
      </c>
      <c r="AN440" t="s">
        <v>411</v>
      </c>
      <c r="AO440" t="s">
        <v>8515</v>
      </c>
      <c r="AP440" t="s">
        <v>8516</v>
      </c>
      <c r="AQ440" t="s">
        <v>74</v>
      </c>
      <c r="AR440" t="s">
        <v>8517</v>
      </c>
      <c r="AS440" t="s">
        <v>8518</v>
      </c>
      <c r="AT440" t="s">
        <v>394</v>
      </c>
      <c r="AU440">
        <v>2022</v>
      </c>
      <c r="AV440">
        <v>29</v>
      </c>
      <c r="AW440">
        <v>5</v>
      </c>
      <c r="AX440" t="s">
        <v>74</v>
      </c>
      <c r="AY440" t="s">
        <v>74</v>
      </c>
      <c r="AZ440" t="s">
        <v>74</v>
      </c>
      <c r="BA440" t="s">
        <v>74</v>
      </c>
      <c r="BB440">
        <v>3161</v>
      </c>
      <c r="BC440">
        <v>3189</v>
      </c>
      <c r="BD440" t="s">
        <v>74</v>
      </c>
      <c r="BE440" t="s">
        <v>8519</v>
      </c>
      <c r="BF440" t="str">
        <f>HYPERLINK("http://dx.doi.org/10.1111/itor.12865","http://dx.doi.org/10.1111/itor.12865")</f>
        <v>http://dx.doi.org/10.1111/itor.12865</v>
      </c>
      <c r="BG440" t="s">
        <v>74</v>
      </c>
      <c r="BH440" t="s">
        <v>826</v>
      </c>
      <c r="BI440">
        <v>29</v>
      </c>
      <c r="BJ440" t="s">
        <v>524</v>
      </c>
      <c r="BK440" t="s">
        <v>147</v>
      </c>
      <c r="BL440" t="s">
        <v>525</v>
      </c>
      <c r="BM440" t="s">
        <v>8520</v>
      </c>
      <c r="BN440" t="s">
        <v>74</v>
      </c>
      <c r="BO440" t="s">
        <v>74</v>
      </c>
      <c r="BP440" t="s">
        <v>74</v>
      </c>
      <c r="BQ440" t="s">
        <v>74</v>
      </c>
      <c r="BR440" t="s">
        <v>102</v>
      </c>
      <c r="BS440" t="s">
        <v>8521</v>
      </c>
      <c r="BT440" t="str">
        <f>HYPERLINK("https%3A%2F%2Fwww.webofscience.com%2Fwos%2Fwoscc%2Ffull-record%2FWOS:000567111700001","View Full Record in Web of Science")</f>
        <v>View Full Record in Web of Science</v>
      </c>
    </row>
    <row r="441" spans="1:72" x14ac:dyDescent="0.2">
      <c r="A441" t="s">
        <v>72</v>
      </c>
      <c r="B441" t="s">
        <v>5002</v>
      </c>
      <c r="C441" t="s">
        <v>74</v>
      </c>
      <c r="D441" t="s">
        <v>74</v>
      </c>
      <c r="E441" t="s">
        <v>74</v>
      </c>
      <c r="F441" t="s">
        <v>5003</v>
      </c>
      <c r="G441" t="s">
        <v>74</v>
      </c>
      <c r="H441" t="s">
        <v>74</v>
      </c>
      <c r="I441" t="s">
        <v>8522</v>
      </c>
      <c r="J441" t="s">
        <v>8523</v>
      </c>
      <c r="K441" t="s">
        <v>74</v>
      </c>
      <c r="L441" t="s">
        <v>74</v>
      </c>
      <c r="M441" t="s">
        <v>78</v>
      </c>
      <c r="N441" t="s">
        <v>108</v>
      </c>
      <c r="O441" t="s">
        <v>74</v>
      </c>
      <c r="P441" t="s">
        <v>74</v>
      </c>
      <c r="Q441" t="s">
        <v>74</v>
      </c>
      <c r="R441" t="s">
        <v>74</v>
      </c>
      <c r="S441" t="s">
        <v>74</v>
      </c>
      <c r="T441" t="s">
        <v>8524</v>
      </c>
      <c r="U441" t="s">
        <v>8525</v>
      </c>
      <c r="V441" t="s">
        <v>8526</v>
      </c>
      <c r="W441" t="s">
        <v>8527</v>
      </c>
      <c r="X441" t="s">
        <v>5009</v>
      </c>
      <c r="Y441" t="s">
        <v>8528</v>
      </c>
      <c r="Z441" t="s">
        <v>5011</v>
      </c>
      <c r="AA441" t="s">
        <v>8529</v>
      </c>
      <c r="AB441" t="s">
        <v>8530</v>
      </c>
      <c r="AC441" t="s">
        <v>8531</v>
      </c>
      <c r="AD441" t="s">
        <v>8532</v>
      </c>
      <c r="AE441" t="s">
        <v>8533</v>
      </c>
      <c r="AF441" t="s">
        <v>74</v>
      </c>
      <c r="AG441">
        <v>21</v>
      </c>
      <c r="AH441">
        <v>1</v>
      </c>
      <c r="AI441">
        <v>1</v>
      </c>
      <c r="AJ441">
        <v>3</v>
      </c>
      <c r="AK441">
        <v>9</v>
      </c>
      <c r="AL441" t="s">
        <v>1630</v>
      </c>
      <c r="AM441" t="s">
        <v>1631</v>
      </c>
      <c r="AN441" t="s">
        <v>1632</v>
      </c>
      <c r="AO441" t="s">
        <v>8534</v>
      </c>
      <c r="AP441" t="s">
        <v>74</v>
      </c>
      <c r="AQ441" t="s">
        <v>74</v>
      </c>
      <c r="AR441" t="s">
        <v>8535</v>
      </c>
      <c r="AS441" t="s">
        <v>8536</v>
      </c>
      <c r="AT441" t="s">
        <v>6063</v>
      </c>
      <c r="AU441">
        <v>2022</v>
      </c>
      <c r="AV441">
        <v>10</v>
      </c>
      <c r="AW441">
        <v>34</v>
      </c>
      <c r="AX441" t="s">
        <v>74</v>
      </c>
      <c r="AY441" t="s">
        <v>74</v>
      </c>
      <c r="AZ441" t="s">
        <v>74</v>
      </c>
      <c r="BA441" t="s">
        <v>74</v>
      </c>
      <c r="BB441">
        <v>11098</v>
      </c>
      <c r="BC441">
        <v>11105</v>
      </c>
      <c r="BD441" t="s">
        <v>74</v>
      </c>
      <c r="BE441" t="s">
        <v>8537</v>
      </c>
      <c r="BF441" t="str">
        <f>HYPERLINK("http://dx.doi.org/10.1021/acssuschemeng.2c01270","http://dx.doi.org/10.1021/acssuschemeng.2c01270")</f>
        <v>http://dx.doi.org/10.1021/acssuschemeng.2c01270</v>
      </c>
      <c r="BG441" t="s">
        <v>74</v>
      </c>
      <c r="BH441" t="s">
        <v>74</v>
      </c>
      <c r="BI441">
        <v>8</v>
      </c>
      <c r="BJ441" t="s">
        <v>8538</v>
      </c>
      <c r="BK441" t="s">
        <v>98</v>
      </c>
      <c r="BL441" t="s">
        <v>8539</v>
      </c>
      <c r="BM441" t="s">
        <v>8540</v>
      </c>
      <c r="BN441" t="s">
        <v>74</v>
      </c>
      <c r="BO441" t="s">
        <v>726</v>
      </c>
      <c r="BP441" t="s">
        <v>74</v>
      </c>
      <c r="BQ441" t="s">
        <v>74</v>
      </c>
      <c r="BR441" t="s">
        <v>102</v>
      </c>
      <c r="BS441" t="s">
        <v>8541</v>
      </c>
      <c r="BT441" t="str">
        <f>HYPERLINK("https%3A%2F%2Fwww.webofscience.com%2Fwos%2Fwoscc%2Ffull-record%2FWOS:000849720400001","View Full Record in Web of Science")</f>
        <v>View Full Record in Web of Science</v>
      </c>
    </row>
    <row r="442" spans="1:72" x14ac:dyDescent="0.2">
      <c r="A442" t="s">
        <v>72</v>
      </c>
      <c r="B442" t="s">
        <v>8542</v>
      </c>
      <c r="C442" t="s">
        <v>74</v>
      </c>
      <c r="D442" t="s">
        <v>74</v>
      </c>
      <c r="E442" t="s">
        <v>74</v>
      </c>
      <c r="F442" t="s">
        <v>8543</v>
      </c>
      <c r="G442" t="s">
        <v>74</v>
      </c>
      <c r="H442" t="s">
        <v>74</v>
      </c>
      <c r="I442" t="s">
        <v>8544</v>
      </c>
      <c r="J442" t="s">
        <v>8545</v>
      </c>
      <c r="K442" t="s">
        <v>74</v>
      </c>
      <c r="L442" t="s">
        <v>74</v>
      </c>
      <c r="M442" t="s">
        <v>78</v>
      </c>
      <c r="N442" t="s">
        <v>108</v>
      </c>
      <c r="O442" t="s">
        <v>74</v>
      </c>
      <c r="P442" t="s">
        <v>74</v>
      </c>
      <c r="Q442" t="s">
        <v>74</v>
      </c>
      <c r="R442" t="s">
        <v>74</v>
      </c>
      <c r="S442" t="s">
        <v>74</v>
      </c>
      <c r="T442" t="s">
        <v>8546</v>
      </c>
      <c r="U442" t="s">
        <v>8547</v>
      </c>
      <c r="V442" t="s">
        <v>8548</v>
      </c>
      <c r="W442" t="s">
        <v>8549</v>
      </c>
      <c r="X442" t="s">
        <v>8550</v>
      </c>
      <c r="Y442" t="s">
        <v>8551</v>
      </c>
      <c r="Z442" t="s">
        <v>8552</v>
      </c>
      <c r="AA442" t="s">
        <v>74</v>
      </c>
      <c r="AB442" t="s">
        <v>8553</v>
      </c>
      <c r="AC442" t="s">
        <v>74</v>
      </c>
      <c r="AD442" t="s">
        <v>74</v>
      </c>
      <c r="AE442" t="s">
        <v>74</v>
      </c>
      <c r="AF442" t="s">
        <v>74</v>
      </c>
      <c r="AG442">
        <v>33</v>
      </c>
      <c r="AH442">
        <v>0</v>
      </c>
      <c r="AI442">
        <v>0</v>
      </c>
      <c r="AJ442">
        <v>0</v>
      </c>
      <c r="AK442">
        <v>5</v>
      </c>
      <c r="AL442" t="s">
        <v>3552</v>
      </c>
      <c r="AM442" t="s">
        <v>210</v>
      </c>
      <c r="AN442" t="s">
        <v>3553</v>
      </c>
      <c r="AO442" t="s">
        <v>8554</v>
      </c>
      <c r="AP442" t="s">
        <v>74</v>
      </c>
      <c r="AQ442" t="s">
        <v>74</v>
      </c>
      <c r="AR442" t="s">
        <v>8555</v>
      </c>
      <c r="AS442" t="s">
        <v>8556</v>
      </c>
      <c r="AT442" t="s">
        <v>74</v>
      </c>
      <c r="AU442">
        <v>2013</v>
      </c>
      <c r="AV442">
        <v>20</v>
      </c>
      <c r="AW442">
        <v>3</v>
      </c>
      <c r="AX442" t="s">
        <v>74</v>
      </c>
      <c r="AY442" t="s">
        <v>74</v>
      </c>
      <c r="AZ442" t="s">
        <v>74</v>
      </c>
      <c r="BA442" t="s">
        <v>74</v>
      </c>
      <c r="BB442">
        <v>235</v>
      </c>
      <c r="BC442">
        <v>258</v>
      </c>
      <c r="BD442" t="s">
        <v>74</v>
      </c>
      <c r="BE442" t="s">
        <v>8557</v>
      </c>
      <c r="BF442" t="str">
        <f>HYPERLINK("http://dx.doi.org/10.3233/ICA-130432","http://dx.doi.org/10.3233/ICA-130432")</f>
        <v>http://dx.doi.org/10.3233/ICA-130432</v>
      </c>
      <c r="BG442" t="s">
        <v>74</v>
      </c>
      <c r="BH442" t="s">
        <v>74</v>
      </c>
      <c r="BI442">
        <v>24</v>
      </c>
      <c r="BJ442" t="s">
        <v>8558</v>
      </c>
      <c r="BK442" t="s">
        <v>147</v>
      </c>
      <c r="BL442" t="s">
        <v>269</v>
      </c>
      <c r="BM442" t="s">
        <v>8559</v>
      </c>
      <c r="BN442" t="s">
        <v>74</v>
      </c>
      <c r="BO442" t="s">
        <v>74</v>
      </c>
      <c r="BP442" t="s">
        <v>74</v>
      </c>
      <c r="BQ442" t="s">
        <v>74</v>
      </c>
      <c r="BR442" t="s">
        <v>102</v>
      </c>
      <c r="BS442" t="s">
        <v>8560</v>
      </c>
      <c r="BT442" t="str">
        <f>HYPERLINK("https%3A%2F%2Fwww.webofscience.com%2Fwos%2Fwoscc%2Ffull-record%2FWOS:000319876900004","View Full Record in Web of Science")</f>
        <v>View Full Record in Web of Science</v>
      </c>
    </row>
    <row r="443" spans="1:72" x14ac:dyDescent="0.2">
      <c r="A443" t="s">
        <v>72</v>
      </c>
      <c r="B443" t="s">
        <v>8561</v>
      </c>
      <c r="C443" t="s">
        <v>74</v>
      </c>
      <c r="D443" t="s">
        <v>74</v>
      </c>
      <c r="E443" t="s">
        <v>74</v>
      </c>
      <c r="F443" t="s">
        <v>8562</v>
      </c>
      <c r="G443" t="s">
        <v>74</v>
      </c>
      <c r="H443" t="s">
        <v>74</v>
      </c>
      <c r="I443" t="s">
        <v>8563</v>
      </c>
      <c r="J443" t="s">
        <v>8564</v>
      </c>
      <c r="K443" t="s">
        <v>74</v>
      </c>
      <c r="L443" t="s">
        <v>74</v>
      </c>
      <c r="M443" t="s">
        <v>78</v>
      </c>
      <c r="N443" t="s">
        <v>108</v>
      </c>
      <c r="O443" t="s">
        <v>74</v>
      </c>
      <c r="P443" t="s">
        <v>74</v>
      </c>
      <c r="Q443" t="s">
        <v>74</v>
      </c>
      <c r="R443" t="s">
        <v>74</v>
      </c>
      <c r="S443" t="s">
        <v>74</v>
      </c>
      <c r="T443" t="s">
        <v>8565</v>
      </c>
      <c r="U443" t="s">
        <v>74</v>
      </c>
      <c r="V443" t="s">
        <v>8566</v>
      </c>
      <c r="W443" t="s">
        <v>8567</v>
      </c>
      <c r="X443" t="s">
        <v>8568</v>
      </c>
      <c r="Y443" t="s">
        <v>8569</v>
      </c>
      <c r="Z443" t="s">
        <v>8570</v>
      </c>
      <c r="AA443" t="s">
        <v>8571</v>
      </c>
      <c r="AB443" t="s">
        <v>8572</v>
      </c>
      <c r="AC443" t="s">
        <v>74</v>
      </c>
      <c r="AD443" t="s">
        <v>74</v>
      </c>
      <c r="AE443" t="s">
        <v>74</v>
      </c>
      <c r="AF443" t="s">
        <v>74</v>
      </c>
      <c r="AG443">
        <v>40</v>
      </c>
      <c r="AH443">
        <v>7</v>
      </c>
      <c r="AI443">
        <v>7</v>
      </c>
      <c r="AJ443">
        <v>1</v>
      </c>
      <c r="AK443">
        <v>3</v>
      </c>
      <c r="AL443" t="s">
        <v>321</v>
      </c>
      <c r="AM443" t="s">
        <v>348</v>
      </c>
      <c r="AN443" t="s">
        <v>1454</v>
      </c>
      <c r="AO443" t="s">
        <v>8573</v>
      </c>
      <c r="AP443" t="s">
        <v>8574</v>
      </c>
      <c r="AQ443" t="s">
        <v>74</v>
      </c>
      <c r="AR443" t="s">
        <v>8575</v>
      </c>
      <c r="AS443" t="s">
        <v>8576</v>
      </c>
      <c r="AT443" t="s">
        <v>416</v>
      </c>
      <c r="AU443">
        <v>2020</v>
      </c>
      <c r="AV443">
        <v>35</v>
      </c>
      <c r="AW443">
        <v>2</v>
      </c>
      <c r="AX443" t="s">
        <v>74</v>
      </c>
      <c r="AY443" t="s">
        <v>74</v>
      </c>
      <c r="AZ443" t="s">
        <v>74</v>
      </c>
      <c r="BA443" t="s">
        <v>74</v>
      </c>
      <c r="BB443">
        <v>469</v>
      </c>
      <c r="BC443">
        <v>483</v>
      </c>
      <c r="BD443" t="s">
        <v>74</v>
      </c>
      <c r="BE443" t="s">
        <v>8577</v>
      </c>
      <c r="BF443" t="str">
        <f>HYPERLINK("http://dx.doi.org/10.1007/s00146-019-00893-z","http://dx.doi.org/10.1007/s00146-019-00893-z")</f>
        <v>http://dx.doi.org/10.1007/s00146-019-00893-z</v>
      </c>
      <c r="BG443" t="s">
        <v>74</v>
      </c>
      <c r="BH443" t="s">
        <v>74</v>
      </c>
      <c r="BI443">
        <v>15</v>
      </c>
      <c r="BJ443" t="s">
        <v>2017</v>
      </c>
      <c r="BK443" t="s">
        <v>124</v>
      </c>
      <c r="BL443" t="s">
        <v>99</v>
      </c>
      <c r="BM443" t="s">
        <v>8578</v>
      </c>
      <c r="BN443" t="s">
        <v>74</v>
      </c>
      <c r="BO443" t="s">
        <v>74</v>
      </c>
      <c r="BP443" t="s">
        <v>74</v>
      </c>
      <c r="BQ443" t="s">
        <v>74</v>
      </c>
      <c r="BR443" t="s">
        <v>102</v>
      </c>
      <c r="BS443" t="s">
        <v>8579</v>
      </c>
      <c r="BT443" t="str">
        <f>HYPERLINK("https%3A%2F%2Fwww.webofscience.com%2Fwos%2Fwoscc%2Ffull-record%2FWOS:000539242900018","View Full Record in Web of Science")</f>
        <v>View Full Record in Web of Science</v>
      </c>
    </row>
    <row r="444" spans="1:72" x14ac:dyDescent="0.2">
      <c r="A444" t="s">
        <v>72</v>
      </c>
      <c r="B444" t="s">
        <v>8580</v>
      </c>
      <c r="C444" t="s">
        <v>74</v>
      </c>
      <c r="D444" t="s">
        <v>74</v>
      </c>
      <c r="E444" t="s">
        <v>74</v>
      </c>
      <c r="F444" t="s">
        <v>8581</v>
      </c>
      <c r="G444" t="s">
        <v>74</v>
      </c>
      <c r="H444" t="s">
        <v>74</v>
      </c>
      <c r="I444" t="s">
        <v>8582</v>
      </c>
      <c r="J444" t="s">
        <v>4448</v>
      </c>
      <c r="K444" t="s">
        <v>74</v>
      </c>
      <c r="L444" t="s">
        <v>74</v>
      </c>
      <c r="M444" t="s">
        <v>78</v>
      </c>
      <c r="N444" t="s">
        <v>108</v>
      </c>
      <c r="O444" t="s">
        <v>74</v>
      </c>
      <c r="P444" t="s">
        <v>74</v>
      </c>
      <c r="Q444" t="s">
        <v>74</v>
      </c>
      <c r="R444" t="s">
        <v>74</v>
      </c>
      <c r="S444" t="s">
        <v>74</v>
      </c>
      <c r="T444" t="s">
        <v>8583</v>
      </c>
      <c r="U444" t="s">
        <v>8584</v>
      </c>
      <c r="V444" t="s">
        <v>8585</v>
      </c>
      <c r="W444" t="s">
        <v>8586</v>
      </c>
      <c r="X444" t="s">
        <v>8587</v>
      </c>
      <c r="Y444" t="s">
        <v>8588</v>
      </c>
      <c r="Z444" t="s">
        <v>8589</v>
      </c>
      <c r="AA444" t="s">
        <v>74</v>
      </c>
      <c r="AB444" t="s">
        <v>74</v>
      </c>
      <c r="AC444" t="s">
        <v>8590</v>
      </c>
      <c r="AD444" t="s">
        <v>8591</v>
      </c>
      <c r="AE444" t="s">
        <v>8592</v>
      </c>
      <c r="AF444" t="s">
        <v>74</v>
      </c>
      <c r="AG444">
        <v>206</v>
      </c>
      <c r="AH444">
        <v>28</v>
      </c>
      <c r="AI444">
        <v>29</v>
      </c>
      <c r="AJ444">
        <v>1</v>
      </c>
      <c r="AK444">
        <v>74</v>
      </c>
      <c r="AL444" t="s">
        <v>409</v>
      </c>
      <c r="AM444" t="s">
        <v>410</v>
      </c>
      <c r="AN444" t="s">
        <v>411</v>
      </c>
      <c r="AO444" t="s">
        <v>4458</v>
      </c>
      <c r="AP444" t="s">
        <v>4459</v>
      </c>
      <c r="AQ444" t="s">
        <v>74</v>
      </c>
      <c r="AR444" t="s">
        <v>4460</v>
      </c>
      <c r="AS444" t="s">
        <v>4461</v>
      </c>
      <c r="AT444" t="s">
        <v>394</v>
      </c>
      <c r="AU444">
        <v>2012</v>
      </c>
      <c r="AV444">
        <v>30</v>
      </c>
      <c r="AW444">
        <v>6</v>
      </c>
      <c r="AX444" t="s">
        <v>74</v>
      </c>
      <c r="AY444" t="s">
        <v>74</v>
      </c>
      <c r="AZ444" t="s">
        <v>74</v>
      </c>
      <c r="BA444" t="s">
        <v>74</v>
      </c>
      <c r="BB444">
        <v>454</v>
      </c>
      <c r="BC444">
        <v>466</v>
      </c>
      <c r="BD444" t="s">
        <v>74</v>
      </c>
      <c r="BE444" t="s">
        <v>8593</v>
      </c>
      <c r="BF444" t="str">
        <f>HYPERLINK("http://dx.doi.org/10.1016/j.jom.2012.06.001","http://dx.doi.org/10.1016/j.jom.2012.06.001")</f>
        <v>http://dx.doi.org/10.1016/j.jom.2012.06.001</v>
      </c>
      <c r="BG444" t="s">
        <v>74</v>
      </c>
      <c r="BH444" t="s">
        <v>74</v>
      </c>
      <c r="BI444">
        <v>13</v>
      </c>
      <c r="BJ444" t="s">
        <v>524</v>
      </c>
      <c r="BK444" t="s">
        <v>147</v>
      </c>
      <c r="BL444" t="s">
        <v>525</v>
      </c>
      <c r="BM444" t="s">
        <v>8594</v>
      </c>
      <c r="BN444" t="s">
        <v>74</v>
      </c>
      <c r="BO444" t="s">
        <v>74</v>
      </c>
      <c r="BP444" t="s">
        <v>74</v>
      </c>
      <c r="BQ444" t="s">
        <v>74</v>
      </c>
      <c r="BR444" t="s">
        <v>102</v>
      </c>
      <c r="BS444" t="s">
        <v>8595</v>
      </c>
      <c r="BT444" t="str">
        <f>HYPERLINK("https%3A%2F%2Fwww.webofscience.com%2Fwos%2Fwoscc%2Ffull-record%2FWOS:000308730500002","View Full Record in Web of Science")</f>
        <v>View Full Record in Web of Science</v>
      </c>
    </row>
    <row r="445" spans="1:72" x14ac:dyDescent="0.2">
      <c r="A445" t="s">
        <v>72</v>
      </c>
      <c r="B445" t="s">
        <v>8596</v>
      </c>
      <c r="C445" t="s">
        <v>74</v>
      </c>
      <c r="D445" t="s">
        <v>74</v>
      </c>
      <c r="E445" t="s">
        <v>74</v>
      </c>
      <c r="F445" t="s">
        <v>8597</v>
      </c>
      <c r="G445" t="s">
        <v>74</v>
      </c>
      <c r="H445" t="s">
        <v>74</v>
      </c>
      <c r="I445" t="s">
        <v>8598</v>
      </c>
      <c r="J445" t="s">
        <v>337</v>
      </c>
      <c r="K445" t="s">
        <v>74</v>
      </c>
      <c r="L445" t="s">
        <v>74</v>
      </c>
      <c r="M445" t="s">
        <v>78</v>
      </c>
      <c r="N445" t="s">
        <v>108</v>
      </c>
      <c r="O445" t="s">
        <v>74</v>
      </c>
      <c r="P445" t="s">
        <v>74</v>
      </c>
      <c r="Q445" t="s">
        <v>74</v>
      </c>
      <c r="R445" t="s">
        <v>74</v>
      </c>
      <c r="S445" t="s">
        <v>74</v>
      </c>
      <c r="T445" t="s">
        <v>8599</v>
      </c>
      <c r="U445" t="s">
        <v>8600</v>
      </c>
      <c r="V445" t="s">
        <v>8601</v>
      </c>
      <c r="W445" t="s">
        <v>8602</v>
      </c>
      <c r="X445" t="s">
        <v>74</v>
      </c>
      <c r="Y445" t="s">
        <v>8603</v>
      </c>
      <c r="Z445" t="s">
        <v>8604</v>
      </c>
      <c r="AA445" t="s">
        <v>8605</v>
      </c>
      <c r="AB445" t="s">
        <v>8606</v>
      </c>
      <c r="AC445" t="s">
        <v>74</v>
      </c>
      <c r="AD445" t="s">
        <v>74</v>
      </c>
      <c r="AE445" t="s">
        <v>74</v>
      </c>
      <c r="AF445" t="s">
        <v>74</v>
      </c>
      <c r="AG445">
        <v>162</v>
      </c>
      <c r="AH445">
        <v>141</v>
      </c>
      <c r="AI445">
        <v>145</v>
      </c>
      <c r="AJ445">
        <v>14</v>
      </c>
      <c r="AK445">
        <v>253</v>
      </c>
      <c r="AL445" t="s">
        <v>347</v>
      </c>
      <c r="AM445" t="s">
        <v>348</v>
      </c>
      <c r="AN445" t="s">
        <v>349</v>
      </c>
      <c r="AO445" t="s">
        <v>350</v>
      </c>
      <c r="AP445" t="s">
        <v>351</v>
      </c>
      <c r="AQ445" t="s">
        <v>74</v>
      </c>
      <c r="AR445" t="s">
        <v>352</v>
      </c>
      <c r="AS445" t="s">
        <v>353</v>
      </c>
      <c r="AT445" t="s">
        <v>846</v>
      </c>
      <c r="AU445">
        <v>2018</v>
      </c>
      <c r="AV445">
        <v>130</v>
      </c>
      <c r="AW445" t="s">
        <v>74</v>
      </c>
      <c r="AX445" t="s">
        <v>74</v>
      </c>
      <c r="AY445" t="s">
        <v>74</v>
      </c>
      <c r="AZ445" t="s">
        <v>74</v>
      </c>
      <c r="BA445" t="s">
        <v>74</v>
      </c>
      <c r="BB445">
        <v>135</v>
      </c>
      <c r="BC445">
        <v>149</v>
      </c>
      <c r="BD445" t="s">
        <v>74</v>
      </c>
      <c r="BE445" t="s">
        <v>8607</v>
      </c>
      <c r="BF445" t="str">
        <f>HYPERLINK("http://dx.doi.org/10.1016/j.techfore.2017.10.005","http://dx.doi.org/10.1016/j.techfore.2017.10.005")</f>
        <v>http://dx.doi.org/10.1016/j.techfore.2017.10.005</v>
      </c>
      <c r="BG445" t="s">
        <v>74</v>
      </c>
      <c r="BH445" t="s">
        <v>74</v>
      </c>
      <c r="BI445">
        <v>15</v>
      </c>
      <c r="BJ445" t="s">
        <v>356</v>
      </c>
      <c r="BK445" t="s">
        <v>242</v>
      </c>
      <c r="BL445" t="s">
        <v>357</v>
      </c>
      <c r="BM445" t="s">
        <v>8608</v>
      </c>
      <c r="BN445" t="s">
        <v>74</v>
      </c>
      <c r="BO445" t="s">
        <v>74</v>
      </c>
      <c r="BP445" t="s">
        <v>2105</v>
      </c>
      <c r="BQ445" t="s">
        <v>2106</v>
      </c>
      <c r="BR445" t="s">
        <v>102</v>
      </c>
      <c r="BS445" t="s">
        <v>8609</v>
      </c>
      <c r="BT445" t="str">
        <f>HYPERLINK("https%3A%2F%2Fwww.webofscience.com%2Fwos%2Fwoscc%2Ffull-record%2FWOS:000429891100014","View Full Record in Web of Science")</f>
        <v>View Full Record in Web of Science</v>
      </c>
    </row>
    <row r="446" spans="1:72" x14ac:dyDescent="0.2">
      <c r="A446" t="s">
        <v>72</v>
      </c>
      <c r="B446" t="s">
        <v>8610</v>
      </c>
      <c r="C446" t="s">
        <v>74</v>
      </c>
      <c r="D446" t="s">
        <v>74</v>
      </c>
      <c r="E446" t="s">
        <v>74</v>
      </c>
      <c r="F446" t="s">
        <v>8611</v>
      </c>
      <c r="G446" t="s">
        <v>74</v>
      </c>
      <c r="H446" t="s">
        <v>74</v>
      </c>
      <c r="I446" t="s">
        <v>8612</v>
      </c>
      <c r="J446" t="s">
        <v>762</v>
      </c>
      <c r="K446" t="s">
        <v>74</v>
      </c>
      <c r="L446" t="s">
        <v>74</v>
      </c>
      <c r="M446" t="s">
        <v>78</v>
      </c>
      <c r="N446" t="s">
        <v>79</v>
      </c>
      <c r="O446" t="s">
        <v>74</v>
      </c>
      <c r="P446" t="s">
        <v>74</v>
      </c>
      <c r="Q446" t="s">
        <v>74</v>
      </c>
      <c r="R446" t="s">
        <v>74</v>
      </c>
      <c r="S446" t="s">
        <v>74</v>
      </c>
      <c r="T446" t="s">
        <v>8613</v>
      </c>
      <c r="U446" t="s">
        <v>8614</v>
      </c>
      <c r="V446" t="s">
        <v>8615</v>
      </c>
      <c r="W446" t="s">
        <v>8616</v>
      </c>
      <c r="X446" t="s">
        <v>8617</v>
      </c>
      <c r="Y446" t="s">
        <v>8618</v>
      </c>
      <c r="Z446" t="s">
        <v>8619</v>
      </c>
      <c r="AA446" t="s">
        <v>8620</v>
      </c>
      <c r="AB446" t="s">
        <v>74</v>
      </c>
      <c r="AC446" t="s">
        <v>74</v>
      </c>
      <c r="AD446" t="s">
        <v>74</v>
      </c>
      <c r="AE446" t="s">
        <v>74</v>
      </c>
      <c r="AF446" t="s">
        <v>74</v>
      </c>
      <c r="AG446">
        <v>97</v>
      </c>
      <c r="AH446">
        <v>39</v>
      </c>
      <c r="AI446">
        <v>40</v>
      </c>
      <c r="AJ446">
        <v>5</v>
      </c>
      <c r="AK446">
        <v>50</v>
      </c>
      <c r="AL446" t="s">
        <v>279</v>
      </c>
      <c r="AM446" t="s">
        <v>280</v>
      </c>
      <c r="AN446" t="s">
        <v>281</v>
      </c>
      <c r="AO446" t="s">
        <v>773</v>
      </c>
      <c r="AP446" t="s">
        <v>774</v>
      </c>
      <c r="AQ446" t="s">
        <v>74</v>
      </c>
      <c r="AR446" t="s">
        <v>775</v>
      </c>
      <c r="AS446" t="s">
        <v>776</v>
      </c>
      <c r="AT446" t="s">
        <v>6063</v>
      </c>
      <c r="AU446">
        <v>2019</v>
      </c>
      <c r="AV446">
        <v>57</v>
      </c>
      <c r="AW446" t="s">
        <v>6064</v>
      </c>
      <c r="AX446" t="s">
        <v>74</v>
      </c>
      <c r="AY446" t="s">
        <v>74</v>
      </c>
      <c r="AZ446" t="s">
        <v>570</v>
      </c>
      <c r="BA446" t="s">
        <v>74</v>
      </c>
      <c r="BB446">
        <v>5318</v>
      </c>
      <c r="BC446">
        <v>5339</v>
      </c>
      <c r="BD446" t="s">
        <v>74</v>
      </c>
      <c r="BE446" t="s">
        <v>8621</v>
      </c>
      <c r="BF446" t="str">
        <f>HYPERLINK("http://dx.doi.org/10.1080/00207543.2019.1570376","http://dx.doi.org/10.1080/00207543.2019.1570376")</f>
        <v>http://dx.doi.org/10.1080/00207543.2019.1570376</v>
      </c>
      <c r="BG446" t="s">
        <v>74</v>
      </c>
      <c r="BH446" t="s">
        <v>74</v>
      </c>
      <c r="BI446">
        <v>22</v>
      </c>
      <c r="BJ446" t="s">
        <v>780</v>
      </c>
      <c r="BK446" t="s">
        <v>147</v>
      </c>
      <c r="BL446" t="s">
        <v>781</v>
      </c>
      <c r="BM446" t="s">
        <v>6066</v>
      </c>
      <c r="BN446" t="s">
        <v>74</v>
      </c>
      <c r="BO446" t="s">
        <v>804</v>
      </c>
      <c r="BP446" t="s">
        <v>74</v>
      </c>
      <c r="BQ446" t="s">
        <v>74</v>
      </c>
      <c r="BR446" t="s">
        <v>102</v>
      </c>
      <c r="BS446" t="s">
        <v>8622</v>
      </c>
      <c r="BT446" t="str">
        <f>HYPERLINK("https%3A%2F%2Fwww.webofscience.com%2Fwos%2Fwoscc%2Ffull-record%2FWOS:000479054800031","View Full Record in Web of Science")</f>
        <v>View Full Record in Web of Science</v>
      </c>
    </row>
    <row r="447" spans="1:72" x14ac:dyDescent="0.2">
      <c r="A447" t="s">
        <v>72</v>
      </c>
      <c r="B447" t="s">
        <v>8623</v>
      </c>
      <c r="C447" t="s">
        <v>74</v>
      </c>
      <c r="D447" t="s">
        <v>74</v>
      </c>
      <c r="E447" t="s">
        <v>74</v>
      </c>
      <c r="F447" t="s">
        <v>8624</v>
      </c>
      <c r="G447" t="s">
        <v>74</v>
      </c>
      <c r="H447" t="s">
        <v>74</v>
      </c>
      <c r="I447" t="s">
        <v>8625</v>
      </c>
      <c r="J447" t="s">
        <v>311</v>
      </c>
      <c r="K447" t="s">
        <v>74</v>
      </c>
      <c r="L447" t="s">
        <v>74</v>
      </c>
      <c r="M447" t="s">
        <v>78</v>
      </c>
      <c r="N447" t="s">
        <v>108</v>
      </c>
      <c r="O447" t="s">
        <v>74</v>
      </c>
      <c r="P447" t="s">
        <v>74</v>
      </c>
      <c r="Q447" t="s">
        <v>74</v>
      </c>
      <c r="R447" t="s">
        <v>74</v>
      </c>
      <c r="S447" t="s">
        <v>74</v>
      </c>
      <c r="T447" t="s">
        <v>8626</v>
      </c>
      <c r="U447" t="s">
        <v>8627</v>
      </c>
      <c r="V447" t="s">
        <v>8628</v>
      </c>
      <c r="W447" t="s">
        <v>8629</v>
      </c>
      <c r="X447" t="s">
        <v>8630</v>
      </c>
      <c r="Y447" t="s">
        <v>8631</v>
      </c>
      <c r="Z447" t="s">
        <v>8632</v>
      </c>
      <c r="AA447" t="s">
        <v>8633</v>
      </c>
      <c r="AB447" t="s">
        <v>8634</v>
      </c>
      <c r="AC447" t="s">
        <v>74</v>
      </c>
      <c r="AD447" t="s">
        <v>74</v>
      </c>
      <c r="AE447" t="s">
        <v>74</v>
      </c>
      <c r="AF447" t="s">
        <v>74</v>
      </c>
      <c r="AG447">
        <v>109</v>
      </c>
      <c r="AH447">
        <v>135</v>
      </c>
      <c r="AI447">
        <v>137</v>
      </c>
      <c r="AJ447">
        <v>8</v>
      </c>
      <c r="AK447">
        <v>231</v>
      </c>
      <c r="AL447" t="s">
        <v>321</v>
      </c>
      <c r="AM447" t="s">
        <v>322</v>
      </c>
      <c r="AN447" t="s">
        <v>323</v>
      </c>
      <c r="AO447" t="s">
        <v>324</v>
      </c>
      <c r="AP447" t="s">
        <v>325</v>
      </c>
      <c r="AQ447" t="s">
        <v>74</v>
      </c>
      <c r="AR447" t="s">
        <v>326</v>
      </c>
      <c r="AS447" t="s">
        <v>327</v>
      </c>
      <c r="AT447" t="s">
        <v>416</v>
      </c>
      <c r="AU447">
        <v>2015</v>
      </c>
      <c r="AV447">
        <v>229</v>
      </c>
      <c r="AW447">
        <v>1</v>
      </c>
      <c r="AX447" t="s">
        <v>74</v>
      </c>
      <c r="AY447" t="s">
        <v>74</v>
      </c>
      <c r="AZ447" t="s">
        <v>74</v>
      </c>
      <c r="BA447" t="s">
        <v>74</v>
      </c>
      <c r="BB447">
        <v>213</v>
      </c>
      <c r="BC447">
        <v>252</v>
      </c>
      <c r="BD447" t="s">
        <v>74</v>
      </c>
      <c r="BE447" t="s">
        <v>8635</v>
      </c>
      <c r="BF447" t="str">
        <f>HYPERLINK("http://dx.doi.org/10.1007/s10479-015-1853-1","http://dx.doi.org/10.1007/s10479-015-1853-1")</f>
        <v>http://dx.doi.org/10.1007/s10479-015-1853-1</v>
      </c>
      <c r="BG447" t="s">
        <v>74</v>
      </c>
      <c r="BH447" t="s">
        <v>74</v>
      </c>
      <c r="BI447">
        <v>40</v>
      </c>
      <c r="BJ447" t="s">
        <v>330</v>
      </c>
      <c r="BK447" t="s">
        <v>147</v>
      </c>
      <c r="BL447" t="s">
        <v>330</v>
      </c>
      <c r="BM447" t="s">
        <v>8636</v>
      </c>
      <c r="BN447" t="s">
        <v>74</v>
      </c>
      <c r="BO447" t="s">
        <v>74</v>
      </c>
      <c r="BP447" t="s">
        <v>74</v>
      </c>
      <c r="BQ447" t="s">
        <v>74</v>
      </c>
      <c r="BR447" t="s">
        <v>102</v>
      </c>
      <c r="BS447" t="s">
        <v>8637</v>
      </c>
      <c r="BT447" t="str">
        <f>HYPERLINK("https%3A%2F%2Fwww.webofscience.com%2Fwos%2Fwoscc%2Ffull-record%2FWOS:000354387600009","View Full Record in Web of Science")</f>
        <v>View Full Record in Web of Science</v>
      </c>
    </row>
    <row r="448" spans="1:72" x14ac:dyDescent="0.2">
      <c r="A448" t="s">
        <v>72</v>
      </c>
      <c r="B448" t="s">
        <v>8638</v>
      </c>
      <c r="C448" t="s">
        <v>74</v>
      </c>
      <c r="D448" t="s">
        <v>74</v>
      </c>
      <c r="E448" t="s">
        <v>74</v>
      </c>
      <c r="F448" t="s">
        <v>8639</v>
      </c>
      <c r="G448" t="s">
        <v>74</v>
      </c>
      <c r="H448" t="s">
        <v>74</v>
      </c>
      <c r="I448" t="s">
        <v>8640</v>
      </c>
      <c r="J448" t="s">
        <v>8641</v>
      </c>
      <c r="K448" t="s">
        <v>74</v>
      </c>
      <c r="L448" t="s">
        <v>74</v>
      </c>
      <c r="M448" t="s">
        <v>78</v>
      </c>
      <c r="N448" t="s">
        <v>79</v>
      </c>
      <c r="O448" t="s">
        <v>74</v>
      </c>
      <c r="P448" t="s">
        <v>74</v>
      </c>
      <c r="Q448" t="s">
        <v>74</v>
      </c>
      <c r="R448" t="s">
        <v>74</v>
      </c>
      <c r="S448" t="s">
        <v>74</v>
      </c>
      <c r="T448" t="s">
        <v>8642</v>
      </c>
      <c r="U448" t="s">
        <v>74</v>
      </c>
      <c r="V448" t="s">
        <v>8643</v>
      </c>
      <c r="W448" t="s">
        <v>8644</v>
      </c>
      <c r="X448" t="s">
        <v>8645</v>
      </c>
      <c r="Y448" t="s">
        <v>8646</v>
      </c>
      <c r="Z448" t="s">
        <v>74</v>
      </c>
      <c r="AA448" t="s">
        <v>8647</v>
      </c>
      <c r="AB448" t="s">
        <v>8648</v>
      </c>
      <c r="AC448" t="s">
        <v>74</v>
      </c>
      <c r="AD448" t="s">
        <v>74</v>
      </c>
      <c r="AE448" t="s">
        <v>74</v>
      </c>
      <c r="AF448" t="s">
        <v>74</v>
      </c>
      <c r="AG448">
        <v>35</v>
      </c>
      <c r="AH448">
        <v>7</v>
      </c>
      <c r="AI448">
        <v>7</v>
      </c>
      <c r="AJ448">
        <v>14</v>
      </c>
      <c r="AK448">
        <v>26</v>
      </c>
      <c r="AL448" t="s">
        <v>209</v>
      </c>
      <c r="AM448" t="s">
        <v>210</v>
      </c>
      <c r="AN448" t="s">
        <v>211</v>
      </c>
      <c r="AO448" t="s">
        <v>8649</v>
      </c>
      <c r="AP448" t="s">
        <v>74</v>
      </c>
      <c r="AQ448" t="s">
        <v>74</v>
      </c>
      <c r="AR448" t="s">
        <v>8650</v>
      </c>
      <c r="AS448" t="s">
        <v>8651</v>
      </c>
      <c r="AT448" t="s">
        <v>616</v>
      </c>
      <c r="AU448">
        <v>2022</v>
      </c>
      <c r="AV448">
        <v>30</v>
      </c>
      <c r="AW448" t="s">
        <v>74</v>
      </c>
      <c r="AX448" t="s">
        <v>74</v>
      </c>
      <c r="AY448" t="s">
        <v>74</v>
      </c>
      <c r="AZ448" t="s">
        <v>74</v>
      </c>
      <c r="BA448" t="s">
        <v>74</v>
      </c>
      <c r="BB448">
        <v>331</v>
      </c>
      <c r="BC448">
        <v>340</v>
      </c>
      <c r="BD448" t="s">
        <v>74</v>
      </c>
      <c r="BE448" t="s">
        <v>8652</v>
      </c>
      <c r="BF448" t="str">
        <f>HYPERLINK("http://dx.doi.org/10.1016/j.spc.2021.12.013","http://dx.doi.org/10.1016/j.spc.2021.12.013")</f>
        <v>http://dx.doi.org/10.1016/j.spc.2021.12.013</v>
      </c>
      <c r="BG448" t="s">
        <v>74</v>
      </c>
      <c r="BH448" t="s">
        <v>74</v>
      </c>
      <c r="BI448">
        <v>10</v>
      </c>
      <c r="BJ448" t="s">
        <v>8653</v>
      </c>
      <c r="BK448" t="s">
        <v>147</v>
      </c>
      <c r="BL448" t="s">
        <v>148</v>
      </c>
      <c r="BM448" t="s">
        <v>8654</v>
      </c>
      <c r="BN448" t="s">
        <v>74</v>
      </c>
      <c r="BO448" t="s">
        <v>74</v>
      </c>
      <c r="BP448" t="s">
        <v>74</v>
      </c>
      <c r="BQ448" t="s">
        <v>74</v>
      </c>
      <c r="BR448" t="s">
        <v>102</v>
      </c>
      <c r="BS448" t="s">
        <v>8655</v>
      </c>
      <c r="BT448" t="str">
        <f>HYPERLINK("https%3A%2F%2Fwww.webofscience.com%2Fwos%2Fwoscc%2Ffull-record%2FWOS:000789402300020","View Full Record in Web of Science")</f>
        <v>View Full Record in Web of Science</v>
      </c>
    </row>
    <row r="449" spans="1:72" x14ac:dyDescent="0.2">
      <c r="A449" t="s">
        <v>72</v>
      </c>
      <c r="B449" t="s">
        <v>8656</v>
      </c>
      <c r="C449" t="s">
        <v>74</v>
      </c>
      <c r="D449" t="s">
        <v>74</v>
      </c>
      <c r="E449" t="s">
        <v>74</v>
      </c>
      <c r="F449" t="s">
        <v>8657</v>
      </c>
      <c r="G449" t="s">
        <v>74</v>
      </c>
      <c r="H449" t="s">
        <v>74</v>
      </c>
      <c r="I449" t="s">
        <v>8658</v>
      </c>
      <c r="J449" t="s">
        <v>8659</v>
      </c>
      <c r="K449" t="s">
        <v>74</v>
      </c>
      <c r="L449" t="s">
        <v>74</v>
      </c>
      <c r="M449" t="s">
        <v>78</v>
      </c>
      <c r="N449" t="s">
        <v>108</v>
      </c>
      <c r="O449" t="s">
        <v>74</v>
      </c>
      <c r="P449" t="s">
        <v>74</v>
      </c>
      <c r="Q449" t="s">
        <v>74</v>
      </c>
      <c r="R449" t="s">
        <v>74</v>
      </c>
      <c r="S449" t="s">
        <v>74</v>
      </c>
      <c r="T449" t="s">
        <v>8660</v>
      </c>
      <c r="U449" t="s">
        <v>74</v>
      </c>
      <c r="V449" t="s">
        <v>8661</v>
      </c>
      <c r="W449" t="s">
        <v>8662</v>
      </c>
      <c r="X449" t="s">
        <v>8663</v>
      </c>
      <c r="Y449" t="s">
        <v>8664</v>
      </c>
      <c r="Z449" t="s">
        <v>8665</v>
      </c>
      <c r="AA449" t="s">
        <v>8666</v>
      </c>
      <c r="AB449" t="s">
        <v>8667</v>
      </c>
      <c r="AC449" t="s">
        <v>8668</v>
      </c>
      <c r="AD449" t="s">
        <v>8669</v>
      </c>
      <c r="AE449" t="s">
        <v>8670</v>
      </c>
      <c r="AF449" t="s">
        <v>74</v>
      </c>
      <c r="AG449">
        <v>36</v>
      </c>
      <c r="AH449">
        <v>0</v>
      </c>
      <c r="AI449">
        <v>0</v>
      </c>
      <c r="AJ449">
        <v>1</v>
      </c>
      <c r="AK449">
        <v>6</v>
      </c>
      <c r="AL449" t="s">
        <v>8671</v>
      </c>
      <c r="AM449" t="s">
        <v>1048</v>
      </c>
      <c r="AN449" t="s">
        <v>8672</v>
      </c>
      <c r="AO449" t="s">
        <v>8673</v>
      </c>
      <c r="AP449" t="s">
        <v>8674</v>
      </c>
      <c r="AQ449" t="s">
        <v>74</v>
      </c>
      <c r="AR449" t="s">
        <v>8675</v>
      </c>
      <c r="AS449" t="s">
        <v>8676</v>
      </c>
      <c r="AT449" t="s">
        <v>74</v>
      </c>
      <c r="AU449">
        <v>2018</v>
      </c>
      <c r="AV449">
        <v>31</v>
      </c>
      <c r="AW449">
        <v>4</v>
      </c>
      <c r="AX449" t="s">
        <v>74</v>
      </c>
      <c r="AY449" t="s">
        <v>74</v>
      </c>
      <c r="AZ449" t="s">
        <v>74</v>
      </c>
      <c r="BA449" t="s">
        <v>74</v>
      </c>
      <c r="BB449">
        <v>399</v>
      </c>
      <c r="BC449">
        <v>423</v>
      </c>
      <c r="BD449" t="s">
        <v>74</v>
      </c>
      <c r="BE449" t="s">
        <v>74</v>
      </c>
      <c r="BF449" t="s">
        <v>74</v>
      </c>
      <c r="BG449" t="s">
        <v>74</v>
      </c>
      <c r="BH449" t="s">
        <v>74</v>
      </c>
      <c r="BI449">
        <v>25</v>
      </c>
      <c r="BJ449" t="s">
        <v>8677</v>
      </c>
      <c r="BK449" t="s">
        <v>98</v>
      </c>
      <c r="BL449" t="s">
        <v>8678</v>
      </c>
      <c r="BM449" t="s">
        <v>8679</v>
      </c>
      <c r="BN449" t="s">
        <v>74</v>
      </c>
      <c r="BO449" t="s">
        <v>74</v>
      </c>
      <c r="BP449" t="s">
        <v>74</v>
      </c>
      <c r="BQ449" t="s">
        <v>74</v>
      </c>
      <c r="BR449" t="s">
        <v>102</v>
      </c>
      <c r="BS449" t="s">
        <v>8680</v>
      </c>
      <c r="BT449" t="str">
        <f>HYPERLINK("https%3A%2F%2Fwww.webofscience.com%2Fwos%2Fwoscc%2Ffull-record%2FWOS:000455887000005","View Full Record in Web of Science")</f>
        <v>View Full Record in Web of Science</v>
      </c>
    </row>
    <row r="450" spans="1:72" x14ac:dyDescent="0.2">
      <c r="A450" t="s">
        <v>72</v>
      </c>
      <c r="B450" t="s">
        <v>8681</v>
      </c>
      <c r="C450" t="s">
        <v>74</v>
      </c>
      <c r="D450" t="s">
        <v>74</v>
      </c>
      <c r="E450" t="s">
        <v>74</v>
      </c>
      <c r="F450" t="s">
        <v>8682</v>
      </c>
      <c r="G450" t="s">
        <v>74</v>
      </c>
      <c r="H450" t="s">
        <v>74</v>
      </c>
      <c r="I450" t="s">
        <v>8683</v>
      </c>
      <c r="J450" t="s">
        <v>8684</v>
      </c>
      <c r="K450" t="s">
        <v>74</v>
      </c>
      <c r="L450" t="s">
        <v>74</v>
      </c>
      <c r="M450" t="s">
        <v>78</v>
      </c>
      <c r="N450" t="s">
        <v>108</v>
      </c>
      <c r="O450" t="s">
        <v>74</v>
      </c>
      <c r="P450" t="s">
        <v>74</v>
      </c>
      <c r="Q450" t="s">
        <v>74</v>
      </c>
      <c r="R450" t="s">
        <v>74</v>
      </c>
      <c r="S450" t="s">
        <v>74</v>
      </c>
      <c r="T450" t="s">
        <v>8685</v>
      </c>
      <c r="U450" t="s">
        <v>8686</v>
      </c>
      <c r="V450" t="s">
        <v>8687</v>
      </c>
      <c r="W450" t="s">
        <v>8688</v>
      </c>
      <c r="X450" t="s">
        <v>8689</v>
      </c>
      <c r="Y450" t="s">
        <v>8690</v>
      </c>
      <c r="Z450" t="s">
        <v>8691</v>
      </c>
      <c r="AA450" t="s">
        <v>8692</v>
      </c>
      <c r="AB450" t="s">
        <v>8693</v>
      </c>
      <c r="AC450" t="s">
        <v>74</v>
      </c>
      <c r="AD450" t="s">
        <v>74</v>
      </c>
      <c r="AE450" t="s">
        <v>74</v>
      </c>
      <c r="AF450" t="s">
        <v>74</v>
      </c>
      <c r="AG450">
        <v>55</v>
      </c>
      <c r="AH450">
        <v>64</v>
      </c>
      <c r="AI450">
        <v>64</v>
      </c>
      <c r="AJ450">
        <v>0</v>
      </c>
      <c r="AK450">
        <v>46</v>
      </c>
      <c r="AL450" t="s">
        <v>321</v>
      </c>
      <c r="AM450" t="s">
        <v>322</v>
      </c>
      <c r="AN450" t="s">
        <v>323</v>
      </c>
      <c r="AO450" t="s">
        <v>8694</v>
      </c>
      <c r="AP450" t="s">
        <v>8695</v>
      </c>
      <c r="AQ450" t="s">
        <v>74</v>
      </c>
      <c r="AR450" t="s">
        <v>8696</v>
      </c>
      <c r="AS450" t="s">
        <v>8697</v>
      </c>
      <c r="AT450" t="s">
        <v>738</v>
      </c>
      <c r="AU450">
        <v>2010</v>
      </c>
      <c r="AV450">
        <v>34</v>
      </c>
      <c r="AW450">
        <v>2</v>
      </c>
      <c r="AX450" t="s">
        <v>74</v>
      </c>
      <c r="AY450" t="s">
        <v>74</v>
      </c>
      <c r="AZ450" t="s">
        <v>74</v>
      </c>
      <c r="BA450" t="s">
        <v>74</v>
      </c>
      <c r="BB450">
        <v>127</v>
      </c>
      <c r="BC450">
        <v>146</v>
      </c>
      <c r="BD450" t="s">
        <v>74</v>
      </c>
      <c r="BE450" t="s">
        <v>8698</v>
      </c>
      <c r="BF450" t="str">
        <f>HYPERLINK("http://dx.doi.org/10.1007/s11187-008-9104-3","http://dx.doi.org/10.1007/s11187-008-9104-3")</f>
        <v>http://dx.doi.org/10.1007/s11187-008-9104-3</v>
      </c>
      <c r="BG450" t="s">
        <v>74</v>
      </c>
      <c r="BH450" t="s">
        <v>74</v>
      </c>
      <c r="BI450">
        <v>20</v>
      </c>
      <c r="BJ450" t="s">
        <v>1705</v>
      </c>
      <c r="BK450" t="s">
        <v>242</v>
      </c>
      <c r="BL450" t="s">
        <v>419</v>
      </c>
      <c r="BM450" t="s">
        <v>8699</v>
      </c>
      <c r="BN450" t="s">
        <v>74</v>
      </c>
      <c r="BO450" t="s">
        <v>74</v>
      </c>
      <c r="BP450" t="s">
        <v>74</v>
      </c>
      <c r="BQ450" t="s">
        <v>74</v>
      </c>
      <c r="BR450" t="s">
        <v>102</v>
      </c>
      <c r="BS450" t="s">
        <v>8700</v>
      </c>
      <c r="BT450" t="str">
        <f>HYPERLINK("https%3A%2F%2Fwww.webofscience.com%2Fwos%2Fwoscc%2Ffull-record%2FWOS:000273677300002","View Full Record in Web of Science")</f>
        <v>View Full Record in Web of Science</v>
      </c>
    </row>
    <row r="451" spans="1:72" x14ac:dyDescent="0.2">
      <c r="A451" t="s">
        <v>72</v>
      </c>
      <c r="B451" t="s">
        <v>8701</v>
      </c>
      <c r="C451" t="s">
        <v>74</v>
      </c>
      <c r="D451" t="s">
        <v>74</v>
      </c>
      <c r="E451" t="s">
        <v>74</v>
      </c>
      <c r="F451" t="s">
        <v>8702</v>
      </c>
      <c r="G451" t="s">
        <v>74</v>
      </c>
      <c r="H451" t="s">
        <v>74</v>
      </c>
      <c r="I451" t="s">
        <v>8703</v>
      </c>
      <c r="J451" t="s">
        <v>3099</v>
      </c>
      <c r="K451" t="s">
        <v>74</v>
      </c>
      <c r="L451" t="s">
        <v>74</v>
      </c>
      <c r="M451" t="s">
        <v>78</v>
      </c>
      <c r="N451" t="s">
        <v>108</v>
      </c>
      <c r="O451" t="s">
        <v>74</v>
      </c>
      <c r="P451" t="s">
        <v>74</v>
      </c>
      <c r="Q451" t="s">
        <v>74</v>
      </c>
      <c r="R451" t="s">
        <v>74</v>
      </c>
      <c r="S451" t="s">
        <v>74</v>
      </c>
      <c r="T451" t="s">
        <v>8704</v>
      </c>
      <c r="U451" t="s">
        <v>8705</v>
      </c>
      <c r="V451" t="s">
        <v>8706</v>
      </c>
      <c r="W451" t="s">
        <v>8707</v>
      </c>
      <c r="X451" t="s">
        <v>8708</v>
      </c>
      <c r="Y451" t="s">
        <v>8709</v>
      </c>
      <c r="Z451" t="s">
        <v>8710</v>
      </c>
      <c r="AA451" t="s">
        <v>8711</v>
      </c>
      <c r="AB451" t="s">
        <v>8712</v>
      </c>
      <c r="AC451" t="s">
        <v>74</v>
      </c>
      <c r="AD451" t="s">
        <v>74</v>
      </c>
      <c r="AE451" t="s">
        <v>74</v>
      </c>
      <c r="AF451" t="s">
        <v>74</v>
      </c>
      <c r="AG451">
        <v>127</v>
      </c>
      <c r="AH451">
        <v>10</v>
      </c>
      <c r="AI451">
        <v>10</v>
      </c>
      <c r="AJ451">
        <v>3</v>
      </c>
      <c r="AK451">
        <v>20</v>
      </c>
      <c r="AL451" t="s">
        <v>437</v>
      </c>
      <c r="AM451" t="s">
        <v>438</v>
      </c>
      <c r="AN451" t="s">
        <v>439</v>
      </c>
      <c r="AO451" t="s">
        <v>3107</v>
      </c>
      <c r="AP451" t="s">
        <v>3108</v>
      </c>
      <c r="AQ451" t="s">
        <v>74</v>
      </c>
      <c r="AR451" t="s">
        <v>3109</v>
      </c>
      <c r="AS451" t="s">
        <v>3110</v>
      </c>
      <c r="AT451" t="s">
        <v>6096</v>
      </c>
      <c r="AU451">
        <v>2022</v>
      </c>
      <c r="AV451">
        <v>17</v>
      </c>
      <c r="AW451">
        <v>2</v>
      </c>
      <c r="AX451" t="s">
        <v>74</v>
      </c>
      <c r="AY451" t="s">
        <v>74</v>
      </c>
      <c r="AZ451" t="s">
        <v>74</v>
      </c>
      <c r="BA451" t="s">
        <v>74</v>
      </c>
      <c r="BB451">
        <v>456</v>
      </c>
      <c r="BC451">
        <v>485</v>
      </c>
      <c r="BD451" t="s">
        <v>74</v>
      </c>
      <c r="BE451" t="s">
        <v>8713</v>
      </c>
      <c r="BF451" t="str">
        <f>HYPERLINK("http://dx.doi.org/10.1108/JM2-07-2020-0196","http://dx.doi.org/10.1108/JM2-07-2020-0196")</f>
        <v>http://dx.doi.org/10.1108/JM2-07-2020-0196</v>
      </c>
      <c r="BG451" t="s">
        <v>74</v>
      </c>
      <c r="BH451" t="s">
        <v>1056</v>
      </c>
      <c r="BI451">
        <v>30</v>
      </c>
      <c r="BJ451" t="s">
        <v>418</v>
      </c>
      <c r="BK451" t="s">
        <v>124</v>
      </c>
      <c r="BL451" t="s">
        <v>419</v>
      </c>
      <c r="BM451" t="s">
        <v>6098</v>
      </c>
      <c r="BN451" t="s">
        <v>74</v>
      </c>
      <c r="BO451" t="s">
        <v>74</v>
      </c>
      <c r="BP451" t="s">
        <v>74</v>
      </c>
      <c r="BQ451" t="s">
        <v>74</v>
      </c>
      <c r="BR451" t="s">
        <v>102</v>
      </c>
      <c r="BS451" t="s">
        <v>8714</v>
      </c>
      <c r="BT451" t="str">
        <f>HYPERLINK("https%3A%2F%2Fwww.webofscience.com%2Fwos%2Fwoscc%2Ffull-record%2FWOS:000672672500001","View Full Record in Web of Science")</f>
        <v>View Full Record in Web of Science</v>
      </c>
    </row>
    <row r="452" spans="1:72" x14ac:dyDescent="0.2">
      <c r="A452" t="s">
        <v>72</v>
      </c>
      <c r="B452" t="s">
        <v>8715</v>
      </c>
      <c r="C452" t="s">
        <v>74</v>
      </c>
      <c r="D452" t="s">
        <v>74</v>
      </c>
      <c r="E452" t="s">
        <v>74</v>
      </c>
      <c r="F452" t="s">
        <v>8716</v>
      </c>
      <c r="G452" t="s">
        <v>74</v>
      </c>
      <c r="H452" t="s">
        <v>74</v>
      </c>
      <c r="I452" t="s">
        <v>8717</v>
      </c>
      <c r="J452" t="s">
        <v>8718</v>
      </c>
      <c r="K452" t="s">
        <v>74</v>
      </c>
      <c r="L452" t="s">
        <v>74</v>
      </c>
      <c r="M452" t="s">
        <v>78</v>
      </c>
      <c r="N452" t="s">
        <v>108</v>
      </c>
      <c r="O452" t="s">
        <v>74</v>
      </c>
      <c r="P452" t="s">
        <v>74</v>
      </c>
      <c r="Q452" t="s">
        <v>74</v>
      </c>
      <c r="R452" t="s">
        <v>74</v>
      </c>
      <c r="S452" t="s">
        <v>74</v>
      </c>
      <c r="T452" t="s">
        <v>8719</v>
      </c>
      <c r="U452" t="s">
        <v>8720</v>
      </c>
      <c r="V452" t="s">
        <v>8721</v>
      </c>
      <c r="W452" t="s">
        <v>8722</v>
      </c>
      <c r="X452" t="s">
        <v>8723</v>
      </c>
      <c r="Y452" t="s">
        <v>8724</v>
      </c>
      <c r="Z452" t="s">
        <v>8725</v>
      </c>
      <c r="AA452" t="s">
        <v>8726</v>
      </c>
      <c r="AB452" t="s">
        <v>8727</v>
      </c>
      <c r="AC452" t="s">
        <v>8728</v>
      </c>
      <c r="AD452" t="s">
        <v>8729</v>
      </c>
      <c r="AE452" t="s">
        <v>8730</v>
      </c>
      <c r="AF452" t="s">
        <v>74</v>
      </c>
      <c r="AG452">
        <v>45</v>
      </c>
      <c r="AH452">
        <v>9</v>
      </c>
      <c r="AI452">
        <v>9</v>
      </c>
      <c r="AJ452">
        <v>1</v>
      </c>
      <c r="AK452">
        <v>2</v>
      </c>
      <c r="AL452" t="s">
        <v>167</v>
      </c>
      <c r="AM452" t="s">
        <v>168</v>
      </c>
      <c r="AN452" t="s">
        <v>169</v>
      </c>
      <c r="AO452" t="s">
        <v>8731</v>
      </c>
      <c r="AP452" t="s">
        <v>74</v>
      </c>
      <c r="AQ452" t="s">
        <v>74</v>
      </c>
      <c r="AR452" t="s">
        <v>8732</v>
      </c>
      <c r="AS452" t="s">
        <v>8733</v>
      </c>
      <c r="AT452" t="s">
        <v>8734</v>
      </c>
      <c r="AU452">
        <v>2022</v>
      </c>
      <c r="AV452">
        <v>10</v>
      </c>
      <c r="AW452">
        <v>1</v>
      </c>
      <c r="AX452" t="s">
        <v>74</v>
      </c>
      <c r="AY452" t="s">
        <v>74</v>
      </c>
      <c r="AZ452" t="s">
        <v>74</v>
      </c>
      <c r="BA452" t="s">
        <v>74</v>
      </c>
      <c r="BB452">
        <v>137</v>
      </c>
      <c r="BC452">
        <v>156</v>
      </c>
      <c r="BD452" t="s">
        <v>74</v>
      </c>
      <c r="BE452" t="s">
        <v>8735</v>
      </c>
      <c r="BF452" t="str">
        <f>HYPERLINK("http://dx.doi.org/10.1109/TETC.2020.2991134","http://dx.doi.org/10.1109/TETC.2020.2991134")</f>
        <v>http://dx.doi.org/10.1109/TETC.2020.2991134</v>
      </c>
      <c r="BG452" t="s">
        <v>74</v>
      </c>
      <c r="BH452" t="s">
        <v>74</v>
      </c>
      <c r="BI452">
        <v>20</v>
      </c>
      <c r="BJ452" t="s">
        <v>503</v>
      </c>
      <c r="BK452" t="s">
        <v>98</v>
      </c>
      <c r="BL452" t="s">
        <v>505</v>
      </c>
      <c r="BM452" t="s">
        <v>8736</v>
      </c>
      <c r="BN452" t="s">
        <v>74</v>
      </c>
      <c r="BO452" t="s">
        <v>1833</v>
      </c>
      <c r="BP452" t="s">
        <v>74</v>
      </c>
      <c r="BQ452" t="s">
        <v>74</v>
      </c>
      <c r="BR452" t="s">
        <v>102</v>
      </c>
      <c r="BS452" t="s">
        <v>8737</v>
      </c>
      <c r="BT452" t="str">
        <f>HYPERLINK("https%3A%2F%2Fwww.webofscience.com%2Fwos%2Fwoscc%2Ffull-record%2FWOS:000764828500017","View Full Record in Web of Science")</f>
        <v>View Full Record in Web of Science</v>
      </c>
    </row>
    <row r="453" spans="1:72" x14ac:dyDescent="0.2">
      <c r="A453" t="s">
        <v>72</v>
      </c>
      <c r="B453" t="s">
        <v>8738</v>
      </c>
      <c r="C453" t="s">
        <v>74</v>
      </c>
      <c r="D453" t="s">
        <v>74</v>
      </c>
      <c r="E453" t="s">
        <v>74</v>
      </c>
      <c r="F453" t="s">
        <v>8739</v>
      </c>
      <c r="G453" t="s">
        <v>74</v>
      </c>
      <c r="H453" t="s">
        <v>74</v>
      </c>
      <c r="I453" t="s">
        <v>8740</v>
      </c>
      <c r="J453" t="s">
        <v>131</v>
      </c>
      <c r="K453" t="s">
        <v>74</v>
      </c>
      <c r="L453" t="s">
        <v>74</v>
      </c>
      <c r="M453" t="s">
        <v>78</v>
      </c>
      <c r="N453" t="s">
        <v>108</v>
      </c>
      <c r="O453" t="s">
        <v>74</v>
      </c>
      <c r="P453" t="s">
        <v>74</v>
      </c>
      <c r="Q453" t="s">
        <v>74</v>
      </c>
      <c r="R453" t="s">
        <v>74</v>
      </c>
      <c r="S453" t="s">
        <v>74</v>
      </c>
      <c r="T453" t="s">
        <v>8741</v>
      </c>
      <c r="U453" t="s">
        <v>8742</v>
      </c>
      <c r="V453" t="s">
        <v>8743</v>
      </c>
      <c r="W453" t="s">
        <v>8744</v>
      </c>
      <c r="X453" t="s">
        <v>8745</v>
      </c>
      <c r="Y453" t="s">
        <v>8746</v>
      </c>
      <c r="Z453" t="s">
        <v>8747</v>
      </c>
      <c r="AA453" t="s">
        <v>8748</v>
      </c>
      <c r="AB453" t="s">
        <v>8749</v>
      </c>
      <c r="AC453" t="s">
        <v>74</v>
      </c>
      <c r="AD453" t="s">
        <v>74</v>
      </c>
      <c r="AE453" t="s">
        <v>74</v>
      </c>
      <c r="AF453" t="s">
        <v>74</v>
      </c>
      <c r="AG453">
        <v>63</v>
      </c>
      <c r="AH453">
        <v>28</v>
      </c>
      <c r="AI453">
        <v>28</v>
      </c>
      <c r="AJ453">
        <v>8</v>
      </c>
      <c r="AK453">
        <v>69</v>
      </c>
      <c r="AL453" t="s">
        <v>116</v>
      </c>
      <c r="AM453" t="s">
        <v>117</v>
      </c>
      <c r="AN453" t="s">
        <v>118</v>
      </c>
      <c r="AO453" t="s">
        <v>142</v>
      </c>
      <c r="AP453" t="s">
        <v>74</v>
      </c>
      <c r="AQ453" t="s">
        <v>74</v>
      </c>
      <c r="AR453" t="s">
        <v>143</v>
      </c>
      <c r="AS453" t="s">
        <v>144</v>
      </c>
      <c r="AT453" t="s">
        <v>1310</v>
      </c>
      <c r="AU453">
        <v>2019</v>
      </c>
      <c r="AV453">
        <v>11</v>
      </c>
      <c r="AW453">
        <v>13</v>
      </c>
      <c r="AX453" t="s">
        <v>74</v>
      </c>
      <c r="AY453" t="s">
        <v>74</v>
      </c>
      <c r="AZ453" t="s">
        <v>74</v>
      </c>
      <c r="BA453" t="s">
        <v>74</v>
      </c>
      <c r="BB453" t="s">
        <v>74</v>
      </c>
      <c r="BC453" t="s">
        <v>74</v>
      </c>
      <c r="BD453">
        <v>3748</v>
      </c>
      <c r="BE453" t="s">
        <v>8750</v>
      </c>
      <c r="BF453" t="str">
        <f>HYPERLINK("http://dx.doi.org/10.3390/su11133748","http://dx.doi.org/10.3390/su11133748")</f>
        <v>http://dx.doi.org/10.3390/su11133748</v>
      </c>
      <c r="BG453" t="s">
        <v>74</v>
      </c>
      <c r="BH453" t="s">
        <v>74</v>
      </c>
      <c r="BI453">
        <v>17</v>
      </c>
      <c r="BJ453" t="s">
        <v>146</v>
      </c>
      <c r="BK453" t="s">
        <v>147</v>
      </c>
      <c r="BL453" t="s">
        <v>148</v>
      </c>
      <c r="BM453" t="s">
        <v>8751</v>
      </c>
      <c r="BN453" t="s">
        <v>74</v>
      </c>
      <c r="BO453" t="s">
        <v>8752</v>
      </c>
      <c r="BP453" t="s">
        <v>74</v>
      </c>
      <c r="BQ453" t="s">
        <v>74</v>
      </c>
      <c r="BR453" t="s">
        <v>102</v>
      </c>
      <c r="BS453" t="s">
        <v>8753</v>
      </c>
      <c r="BT453" t="str">
        <f>HYPERLINK("https%3A%2F%2Fwww.webofscience.com%2Fwos%2Fwoscc%2Ffull-record%2FWOS:000477051900238","View Full Record in Web of Science")</f>
        <v>View Full Record in Web of Science</v>
      </c>
    </row>
    <row r="454" spans="1:72" x14ac:dyDescent="0.2">
      <c r="A454" t="s">
        <v>72</v>
      </c>
      <c r="B454" t="s">
        <v>8754</v>
      </c>
      <c r="C454" t="s">
        <v>74</v>
      </c>
      <c r="D454" t="s">
        <v>74</v>
      </c>
      <c r="E454" t="s">
        <v>74</v>
      </c>
      <c r="F454" t="s">
        <v>8755</v>
      </c>
      <c r="G454" t="s">
        <v>74</v>
      </c>
      <c r="H454" t="s">
        <v>74</v>
      </c>
      <c r="I454" t="s">
        <v>8756</v>
      </c>
      <c r="J454" t="s">
        <v>762</v>
      </c>
      <c r="K454" t="s">
        <v>74</v>
      </c>
      <c r="L454" t="s">
        <v>74</v>
      </c>
      <c r="M454" t="s">
        <v>78</v>
      </c>
      <c r="N454" t="s">
        <v>108</v>
      </c>
      <c r="O454" t="s">
        <v>74</v>
      </c>
      <c r="P454" t="s">
        <v>74</v>
      </c>
      <c r="Q454" t="s">
        <v>74</v>
      </c>
      <c r="R454" t="s">
        <v>74</v>
      </c>
      <c r="S454" t="s">
        <v>74</v>
      </c>
      <c r="T454" t="s">
        <v>8757</v>
      </c>
      <c r="U454" t="s">
        <v>74</v>
      </c>
      <c r="V454" t="s">
        <v>8758</v>
      </c>
      <c r="W454" t="s">
        <v>8759</v>
      </c>
      <c r="X454" t="s">
        <v>8760</v>
      </c>
      <c r="Y454" t="s">
        <v>8761</v>
      </c>
      <c r="Z454" t="s">
        <v>8762</v>
      </c>
      <c r="AA454" t="s">
        <v>8763</v>
      </c>
      <c r="AB454" t="s">
        <v>8764</v>
      </c>
      <c r="AC454" t="s">
        <v>8765</v>
      </c>
      <c r="AD454" t="s">
        <v>8766</v>
      </c>
      <c r="AE454" t="s">
        <v>8767</v>
      </c>
      <c r="AF454" t="s">
        <v>74</v>
      </c>
      <c r="AG454">
        <v>36</v>
      </c>
      <c r="AH454">
        <v>5</v>
      </c>
      <c r="AI454">
        <v>5</v>
      </c>
      <c r="AJ454">
        <v>0</v>
      </c>
      <c r="AK454">
        <v>25</v>
      </c>
      <c r="AL454" t="s">
        <v>279</v>
      </c>
      <c r="AM454" t="s">
        <v>280</v>
      </c>
      <c r="AN454" t="s">
        <v>281</v>
      </c>
      <c r="AO454" t="s">
        <v>773</v>
      </c>
      <c r="AP454" t="s">
        <v>774</v>
      </c>
      <c r="AQ454" t="s">
        <v>74</v>
      </c>
      <c r="AR454" t="s">
        <v>775</v>
      </c>
      <c r="AS454" t="s">
        <v>776</v>
      </c>
      <c r="AT454" t="s">
        <v>74</v>
      </c>
      <c r="AU454">
        <v>2009</v>
      </c>
      <c r="AV454">
        <v>47</v>
      </c>
      <c r="AW454">
        <v>4</v>
      </c>
      <c r="AX454" t="s">
        <v>74</v>
      </c>
      <c r="AY454" t="s">
        <v>74</v>
      </c>
      <c r="AZ454" t="s">
        <v>74</v>
      </c>
      <c r="BA454" t="s">
        <v>74</v>
      </c>
      <c r="BB454">
        <v>883</v>
      </c>
      <c r="BC454">
        <v>918</v>
      </c>
      <c r="BD454" t="s">
        <v>8768</v>
      </c>
      <c r="BE454" t="s">
        <v>8769</v>
      </c>
      <c r="BF454" t="str">
        <f>HYPERLINK("http://dx.doi.org/10.1080/00207540701441939","http://dx.doi.org/10.1080/00207540701441939")</f>
        <v>http://dx.doi.org/10.1080/00207540701441939</v>
      </c>
      <c r="BG454" t="s">
        <v>74</v>
      </c>
      <c r="BH454" t="s">
        <v>74</v>
      </c>
      <c r="BI454">
        <v>36</v>
      </c>
      <c r="BJ454" t="s">
        <v>780</v>
      </c>
      <c r="BK454" t="s">
        <v>98</v>
      </c>
      <c r="BL454" t="s">
        <v>781</v>
      </c>
      <c r="BM454" t="s">
        <v>8770</v>
      </c>
      <c r="BN454" t="s">
        <v>74</v>
      </c>
      <c r="BO454" t="s">
        <v>1833</v>
      </c>
      <c r="BP454" t="s">
        <v>74</v>
      </c>
      <c r="BQ454" t="s">
        <v>74</v>
      </c>
      <c r="BR454" t="s">
        <v>102</v>
      </c>
      <c r="BS454" t="s">
        <v>8771</v>
      </c>
      <c r="BT454" t="str">
        <f>HYPERLINK("https%3A%2F%2Fwww.webofscience.com%2Fwos%2Fwoscc%2Ffull-record%2FWOS:000261192100002","View Full Record in Web of Science")</f>
        <v>View Full Record in Web of Science</v>
      </c>
    </row>
    <row r="455" spans="1:72" x14ac:dyDescent="0.2">
      <c r="A455" t="s">
        <v>72</v>
      </c>
      <c r="B455" t="s">
        <v>8772</v>
      </c>
      <c r="C455" t="s">
        <v>74</v>
      </c>
      <c r="D455" t="s">
        <v>74</v>
      </c>
      <c r="E455" t="s">
        <v>74</v>
      </c>
      <c r="F455" t="s">
        <v>8773</v>
      </c>
      <c r="G455" t="s">
        <v>74</v>
      </c>
      <c r="H455" t="s">
        <v>74</v>
      </c>
      <c r="I455" t="s">
        <v>8774</v>
      </c>
      <c r="J455" t="s">
        <v>531</v>
      </c>
      <c r="K455" t="s">
        <v>74</v>
      </c>
      <c r="L455" t="s">
        <v>74</v>
      </c>
      <c r="M455" t="s">
        <v>78</v>
      </c>
      <c r="N455" t="s">
        <v>108</v>
      </c>
      <c r="O455" t="s">
        <v>74</v>
      </c>
      <c r="P455" t="s">
        <v>74</v>
      </c>
      <c r="Q455" t="s">
        <v>74</v>
      </c>
      <c r="R455" t="s">
        <v>74</v>
      </c>
      <c r="S455" t="s">
        <v>74</v>
      </c>
      <c r="T455" t="s">
        <v>8775</v>
      </c>
      <c r="U455" t="s">
        <v>8776</v>
      </c>
      <c r="V455" t="s">
        <v>8777</v>
      </c>
      <c r="W455" t="s">
        <v>8778</v>
      </c>
      <c r="X455" t="s">
        <v>8779</v>
      </c>
      <c r="Y455" t="s">
        <v>8780</v>
      </c>
      <c r="Z455" t="s">
        <v>8781</v>
      </c>
      <c r="AA455" t="s">
        <v>74</v>
      </c>
      <c r="AB455" t="s">
        <v>74</v>
      </c>
      <c r="AC455" t="s">
        <v>74</v>
      </c>
      <c r="AD455" t="s">
        <v>74</v>
      </c>
      <c r="AE455" t="s">
        <v>74</v>
      </c>
      <c r="AF455" t="s">
        <v>74</v>
      </c>
      <c r="AG455">
        <v>28</v>
      </c>
      <c r="AH455">
        <v>7</v>
      </c>
      <c r="AI455">
        <v>7</v>
      </c>
      <c r="AJ455">
        <v>3</v>
      </c>
      <c r="AK455">
        <v>30</v>
      </c>
      <c r="AL455" t="s">
        <v>543</v>
      </c>
      <c r="AM455" t="s">
        <v>260</v>
      </c>
      <c r="AN455" t="s">
        <v>544</v>
      </c>
      <c r="AO455" t="s">
        <v>545</v>
      </c>
      <c r="AP455" t="s">
        <v>546</v>
      </c>
      <c r="AQ455" t="s">
        <v>74</v>
      </c>
      <c r="AR455" t="s">
        <v>547</v>
      </c>
      <c r="AS455" t="s">
        <v>548</v>
      </c>
      <c r="AT455" t="s">
        <v>846</v>
      </c>
      <c r="AU455">
        <v>2008</v>
      </c>
      <c r="AV455">
        <v>54</v>
      </c>
      <c r="AW455">
        <v>4</v>
      </c>
      <c r="AX455" t="s">
        <v>74</v>
      </c>
      <c r="AY455" t="s">
        <v>74</v>
      </c>
      <c r="AZ455" t="s">
        <v>74</v>
      </c>
      <c r="BA455" t="s">
        <v>74</v>
      </c>
      <c r="BB455">
        <v>721</v>
      </c>
      <c r="BC455">
        <v>736</v>
      </c>
      <c r="BD455" t="s">
        <v>74</v>
      </c>
      <c r="BE455" t="s">
        <v>8782</v>
      </c>
      <c r="BF455" t="str">
        <f>HYPERLINK("http://dx.doi.org/10.1016/j.cie.2007.10.009","http://dx.doi.org/10.1016/j.cie.2007.10.009")</f>
        <v>http://dx.doi.org/10.1016/j.cie.2007.10.009</v>
      </c>
      <c r="BG455" t="s">
        <v>74</v>
      </c>
      <c r="BH455" t="s">
        <v>74</v>
      </c>
      <c r="BI455">
        <v>16</v>
      </c>
      <c r="BJ455" t="s">
        <v>550</v>
      </c>
      <c r="BK455" t="s">
        <v>98</v>
      </c>
      <c r="BL455" t="s">
        <v>269</v>
      </c>
      <c r="BM455" t="s">
        <v>8783</v>
      </c>
      <c r="BN455" t="s">
        <v>74</v>
      </c>
      <c r="BO455" t="s">
        <v>74</v>
      </c>
      <c r="BP455" t="s">
        <v>74</v>
      </c>
      <c r="BQ455" t="s">
        <v>74</v>
      </c>
      <c r="BR455" t="s">
        <v>102</v>
      </c>
      <c r="BS455" t="s">
        <v>8784</v>
      </c>
      <c r="BT455" t="str">
        <f>HYPERLINK("https%3A%2F%2Fwww.webofscience.com%2Fwos%2Fwoscc%2Ffull-record%2FWOS:000255538000002","View Full Record in Web of Science")</f>
        <v>View Full Record in Web of Science</v>
      </c>
    </row>
    <row r="456" spans="1:72" x14ac:dyDescent="0.2">
      <c r="A456" t="s">
        <v>72</v>
      </c>
      <c r="B456" t="s">
        <v>8785</v>
      </c>
      <c r="C456" t="s">
        <v>74</v>
      </c>
      <c r="D456" t="s">
        <v>74</v>
      </c>
      <c r="E456" t="s">
        <v>74</v>
      </c>
      <c r="F456" t="s">
        <v>8786</v>
      </c>
      <c r="G456" t="s">
        <v>74</v>
      </c>
      <c r="H456" t="s">
        <v>74</v>
      </c>
      <c r="I456" t="s">
        <v>8787</v>
      </c>
      <c r="J456" t="s">
        <v>8788</v>
      </c>
      <c r="K456" t="s">
        <v>74</v>
      </c>
      <c r="L456" t="s">
        <v>74</v>
      </c>
      <c r="M456" t="s">
        <v>78</v>
      </c>
      <c r="N456" t="s">
        <v>108</v>
      </c>
      <c r="O456" t="s">
        <v>74</v>
      </c>
      <c r="P456" t="s">
        <v>74</v>
      </c>
      <c r="Q456" t="s">
        <v>74</v>
      </c>
      <c r="R456" t="s">
        <v>74</v>
      </c>
      <c r="S456" t="s">
        <v>74</v>
      </c>
      <c r="T456" t="s">
        <v>8789</v>
      </c>
      <c r="U456" t="s">
        <v>8790</v>
      </c>
      <c r="V456" t="s">
        <v>8791</v>
      </c>
      <c r="W456" t="s">
        <v>8792</v>
      </c>
      <c r="X456" t="s">
        <v>8793</v>
      </c>
      <c r="Y456" t="s">
        <v>8794</v>
      </c>
      <c r="Z456" t="s">
        <v>8795</v>
      </c>
      <c r="AA456" t="s">
        <v>74</v>
      </c>
      <c r="AB456" t="s">
        <v>74</v>
      </c>
      <c r="AC456" t="s">
        <v>74</v>
      </c>
      <c r="AD456" t="s">
        <v>74</v>
      </c>
      <c r="AE456" t="s">
        <v>74</v>
      </c>
      <c r="AF456" t="s">
        <v>74</v>
      </c>
      <c r="AG456">
        <v>90</v>
      </c>
      <c r="AH456">
        <v>1</v>
      </c>
      <c r="AI456">
        <v>1</v>
      </c>
      <c r="AJ456">
        <v>3</v>
      </c>
      <c r="AK456">
        <v>8</v>
      </c>
      <c r="AL456" t="s">
        <v>437</v>
      </c>
      <c r="AM456" t="s">
        <v>438</v>
      </c>
      <c r="AN456" t="s">
        <v>439</v>
      </c>
      <c r="AO456" t="s">
        <v>8796</v>
      </c>
      <c r="AP456" t="s">
        <v>8797</v>
      </c>
      <c r="AQ456" t="s">
        <v>74</v>
      </c>
      <c r="AR456" t="s">
        <v>8798</v>
      </c>
      <c r="AS456" t="s">
        <v>8799</v>
      </c>
      <c r="AT456" t="s">
        <v>4633</v>
      </c>
      <c r="AU456">
        <v>2022</v>
      </c>
      <c r="AV456">
        <v>13</v>
      </c>
      <c r="AW456">
        <v>6</v>
      </c>
      <c r="AX456" t="s">
        <v>74</v>
      </c>
      <c r="AY456" t="s">
        <v>74</v>
      </c>
      <c r="AZ456" t="s">
        <v>74</v>
      </c>
      <c r="BA456" t="s">
        <v>74</v>
      </c>
      <c r="BB456">
        <v>1308</v>
      </c>
      <c r="BC456">
        <v>1345</v>
      </c>
      <c r="BD456" t="s">
        <v>74</v>
      </c>
      <c r="BE456" t="s">
        <v>8800</v>
      </c>
      <c r="BF456" t="str">
        <f>HYPERLINK("http://dx.doi.org/10.1108/IJLSS-04-2021-0073","http://dx.doi.org/10.1108/IJLSS-04-2021-0073")</f>
        <v>http://dx.doi.org/10.1108/IJLSS-04-2021-0073</v>
      </c>
      <c r="BG456" t="s">
        <v>74</v>
      </c>
      <c r="BH456" t="s">
        <v>329</v>
      </c>
      <c r="BI456">
        <v>38</v>
      </c>
      <c r="BJ456" t="s">
        <v>1216</v>
      </c>
      <c r="BK456" t="s">
        <v>147</v>
      </c>
      <c r="BL456" t="s">
        <v>1217</v>
      </c>
      <c r="BM456" t="s">
        <v>8801</v>
      </c>
      <c r="BN456" t="s">
        <v>74</v>
      </c>
      <c r="BO456" t="s">
        <v>74</v>
      </c>
      <c r="BP456" t="s">
        <v>74</v>
      </c>
      <c r="BQ456" t="s">
        <v>74</v>
      </c>
      <c r="BR456" t="s">
        <v>102</v>
      </c>
      <c r="BS456" t="s">
        <v>8802</v>
      </c>
      <c r="BT456" t="str">
        <f>HYPERLINK("https%3A%2F%2Fwww.webofscience.com%2Fwos%2Fwoscc%2Ffull-record%2FWOS:000773962700001","View Full Record in Web of Science")</f>
        <v>View Full Record in Web of Science</v>
      </c>
    </row>
    <row r="457" spans="1:72" x14ac:dyDescent="0.2">
      <c r="A457" t="s">
        <v>72</v>
      </c>
      <c r="B457" t="s">
        <v>8803</v>
      </c>
      <c r="C457" t="s">
        <v>74</v>
      </c>
      <c r="D457" t="s">
        <v>74</v>
      </c>
      <c r="E457" t="s">
        <v>74</v>
      </c>
      <c r="F457" t="s">
        <v>8804</v>
      </c>
      <c r="G457" t="s">
        <v>74</v>
      </c>
      <c r="H457" t="s">
        <v>74</v>
      </c>
      <c r="I457" t="s">
        <v>8805</v>
      </c>
      <c r="J457" t="s">
        <v>8806</v>
      </c>
      <c r="K457" t="s">
        <v>74</v>
      </c>
      <c r="L457" t="s">
        <v>74</v>
      </c>
      <c r="M457" t="s">
        <v>78</v>
      </c>
      <c r="N457" t="s">
        <v>108</v>
      </c>
      <c r="O457" t="s">
        <v>74</v>
      </c>
      <c r="P457" t="s">
        <v>74</v>
      </c>
      <c r="Q457" t="s">
        <v>74</v>
      </c>
      <c r="R457" t="s">
        <v>74</v>
      </c>
      <c r="S457" t="s">
        <v>74</v>
      </c>
      <c r="T457" t="s">
        <v>8807</v>
      </c>
      <c r="U457" t="s">
        <v>8808</v>
      </c>
      <c r="V457" t="s">
        <v>8809</v>
      </c>
      <c r="W457" t="s">
        <v>8810</v>
      </c>
      <c r="X457" t="s">
        <v>8811</v>
      </c>
      <c r="Y457" t="s">
        <v>8812</v>
      </c>
      <c r="Z457" t="s">
        <v>8813</v>
      </c>
      <c r="AA457" t="s">
        <v>8814</v>
      </c>
      <c r="AB457" t="s">
        <v>74</v>
      </c>
      <c r="AC457" t="s">
        <v>74</v>
      </c>
      <c r="AD457" t="s">
        <v>74</v>
      </c>
      <c r="AE457" t="s">
        <v>74</v>
      </c>
      <c r="AF457" t="s">
        <v>74</v>
      </c>
      <c r="AG457">
        <v>86</v>
      </c>
      <c r="AH457">
        <v>0</v>
      </c>
      <c r="AI457">
        <v>0</v>
      </c>
      <c r="AJ457">
        <v>4</v>
      </c>
      <c r="AK457">
        <v>12</v>
      </c>
      <c r="AL457" t="s">
        <v>5729</v>
      </c>
      <c r="AM457" t="s">
        <v>5730</v>
      </c>
      <c r="AN457" t="s">
        <v>5731</v>
      </c>
      <c r="AO457" t="s">
        <v>8815</v>
      </c>
      <c r="AP457" t="s">
        <v>8816</v>
      </c>
      <c r="AQ457" t="s">
        <v>74</v>
      </c>
      <c r="AR457" t="s">
        <v>8817</v>
      </c>
      <c r="AS457" t="s">
        <v>8818</v>
      </c>
      <c r="AT457" t="s">
        <v>74</v>
      </c>
      <c r="AU457">
        <v>2022</v>
      </c>
      <c r="AV457">
        <v>19</v>
      </c>
      <c r="AW457">
        <v>8</v>
      </c>
      <c r="AX457" t="s">
        <v>74</v>
      </c>
      <c r="AY457" t="s">
        <v>74</v>
      </c>
      <c r="AZ457" t="s">
        <v>74</v>
      </c>
      <c r="BA457" t="s">
        <v>74</v>
      </c>
      <c r="BB457">
        <v>8621</v>
      </c>
      <c r="BC457">
        <v>8647</v>
      </c>
      <c r="BD457" t="s">
        <v>74</v>
      </c>
      <c r="BE457" t="s">
        <v>8819</v>
      </c>
      <c r="BF457" t="str">
        <f>HYPERLINK("http://dx.doi.org/10.3934/mbe.2022400","http://dx.doi.org/10.3934/mbe.2022400")</f>
        <v>http://dx.doi.org/10.3934/mbe.2022400</v>
      </c>
      <c r="BG457" t="s">
        <v>74</v>
      </c>
      <c r="BH457" t="s">
        <v>74</v>
      </c>
      <c r="BI457">
        <v>27</v>
      </c>
      <c r="BJ457" t="s">
        <v>3805</v>
      </c>
      <c r="BK457" t="s">
        <v>98</v>
      </c>
      <c r="BL457" t="s">
        <v>3805</v>
      </c>
      <c r="BM457" t="s">
        <v>8820</v>
      </c>
      <c r="BN457">
        <v>35801480</v>
      </c>
      <c r="BO457" t="s">
        <v>126</v>
      </c>
      <c r="BP457" t="s">
        <v>74</v>
      </c>
      <c r="BQ457" t="s">
        <v>74</v>
      </c>
      <c r="BR457" t="s">
        <v>102</v>
      </c>
      <c r="BS457" t="s">
        <v>8821</v>
      </c>
      <c r="BT457" t="str">
        <f>HYPERLINK("https%3A%2F%2Fwww.webofscience.com%2Fwos%2Fwoscc%2Ffull-record%2FWOS:000831950600007","View Full Record in Web of Science")</f>
        <v>View Full Record in Web of Science</v>
      </c>
    </row>
    <row r="458" spans="1:72" x14ac:dyDescent="0.2">
      <c r="A458" t="s">
        <v>72</v>
      </c>
      <c r="B458" t="s">
        <v>8822</v>
      </c>
      <c r="C458" t="s">
        <v>74</v>
      </c>
      <c r="D458" t="s">
        <v>74</v>
      </c>
      <c r="E458" t="s">
        <v>74</v>
      </c>
      <c r="F458" t="s">
        <v>8823</v>
      </c>
      <c r="G458" t="s">
        <v>74</v>
      </c>
      <c r="H458" t="s">
        <v>74</v>
      </c>
      <c r="I458" t="s">
        <v>8824</v>
      </c>
      <c r="J458" t="s">
        <v>8825</v>
      </c>
      <c r="K458" t="s">
        <v>74</v>
      </c>
      <c r="L458" t="s">
        <v>74</v>
      </c>
      <c r="M458" t="s">
        <v>78</v>
      </c>
      <c r="N458" t="s">
        <v>108</v>
      </c>
      <c r="O458" t="s">
        <v>74</v>
      </c>
      <c r="P458" t="s">
        <v>74</v>
      </c>
      <c r="Q458" t="s">
        <v>74</v>
      </c>
      <c r="R458" t="s">
        <v>74</v>
      </c>
      <c r="S458" t="s">
        <v>74</v>
      </c>
      <c r="T458" t="s">
        <v>8826</v>
      </c>
      <c r="U458" t="s">
        <v>8827</v>
      </c>
      <c r="V458" t="s">
        <v>8828</v>
      </c>
      <c r="W458" t="s">
        <v>8829</v>
      </c>
      <c r="X458" t="s">
        <v>8830</v>
      </c>
      <c r="Y458" t="s">
        <v>8831</v>
      </c>
      <c r="Z458" t="s">
        <v>8832</v>
      </c>
      <c r="AA458" t="s">
        <v>8833</v>
      </c>
      <c r="AB458" t="s">
        <v>8834</v>
      </c>
      <c r="AC458" t="s">
        <v>8835</v>
      </c>
      <c r="AD458" t="s">
        <v>8835</v>
      </c>
      <c r="AE458" t="s">
        <v>8836</v>
      </c>
      <c r="AF458" t="s">
        <v>74</v>
      </c>
      <c r="AG458">
        <v>41</v>
      </c>
      <c r="AH458">
        <v>0</v>
      </c>
      <c r="AI458">
        <v>0</v>
      </c>
      <c r="AJ458">
        <v>1</v>
      </c>
      <c r="AK458">
        <v>4</v>
      </c>
      <c r="AL458" t="s">
        <v>8837</v>
      </c>
      <c r="AM458" t="s">
        <v>8838</v>
      </c>
      <c r="AN458" t="s">
        <v>8839</v>
      </c>
      <c r="AO458" t="s">
        <v>8840</v>
      </c>
      <c r="AP458" t="s">
        <v>8841</v>
      </c>
      <c r="AQ458" t="s">
        <v>74</v>
      </c>
      <c r="AR458" t="s">
        <v>8842</v>
      </c>
      <c r="AS458" t="s">
        <v>8843</v>
      </c>
      <c r="AT458" t="s">
        <v>74</v>
      </c>
      <c r="AU458">
        <v>2021</v>
      </c>
      <c r="AV458">
        <v>27</v>
      </c>
      <c r="AW458">
        <v>2</v>
      </c>
      <c r="AX458" t="s">
        <v>74</v>
      </c>
      <c r="AY458" t="s">
        <v>74</v>
      </c>
      <c r="AZ458" t="s">
        <v>74</v>
      </c>
      <c r="BA458" t="s">
        <v>74</v>
      </c>
      <c r="BB458">
        <v>162</v>
      </c>
      <c r="BC458">
        <v>172</v>
      </c>
      <c r="BD458" t="s">
        <v>74</v>
      </c>
      <c r="BE458" t="s">
        <v>8844</v>
      </c>
      <c r="BF458" t="str">
        <f>HYPERLINK("http://dx.doi.org/10.5505/pajes.2020.54522","http://dx.doi.org/10.5505/pajes.2020.54522")</f>
        <v>http://dx.doi.org/10.5505/pajes.2020.54522</v>
      </c>
      <c r="BG458" t="s">
        <v>74</v>
      </c>
      <c r="BH458" t="s">
        <v>74</v>
      </c>
      <c r="BI458">
        <v>11</v>
      </c>
      <c r="BJ458" t="s">
        <v>2462</v>
      </c>
      <c r="BK458" t="s">
        <v>124</v>
      </c>
      <c r="BL458" t="s">
        <v>1292</v>
      </c>
      <c r="BM458" t="s">
        <v>8845</v>
      </c>
      <c r="BN458" t="s">
        <v>74</v>
      </c>
      <c r="BO458" t="s">
        <v>306</v>
      </c>
      <c r="BP458" t="s">
        <v>74</v>
      </c>
      <c r="BQ458" t="s">
        <v>74</v>
      </c>
      <c r="BR458" t="s">
        <v>102</v>
      </c>
      <c r="BS458" t="s">
        <v>8846</v>
      </c>
      <c r="BT458" t="str">
        <f>HYPERLINK("https%3A%2F%2Fwww.webofscience.com%2Fwos%2Fwoscc%2Ffull-record%2FWOS:000637198500007","View Full Record in Web of Science")</f>
        <v>View Full Record in Web of Science</v>
      </c>
    </row>
    <row r="459" spans="1:72" x14ac:dyDescent="0.2">
      <c r="A459" t="s">
        <v>72</v>
      </c>
      <c r="B459" t="s">
        <v>8847</v>
      </c>
      <c r="C459" t="s">
        <v>74</v>
      </c>
      <c r="D459" t="s">
        <v>74</v>
      </c>
      <c r="E459" t="s">
        <v>74</v>
      </c>
      <c r="F459" t="s">
        <v>8848</v>
      </c>
      <c r="G459" t="s">
        <v>74</v>
      </c>
      <c r="H459" t="s">
        <v>74</v>
      </c>
      <c r="I459" t="s">
        <v>8849</v>
      </c>
      <c r="J459" t="s">
        <v>8850</v>
      </c>
      <c r="K459" t="s">
        <v>74</v>
      </c>
      <c r="L459" t="s">
        <v>74</v>
      </c>
      <c r="M459" t="s">
        <v>78</v>
      </c>
      <c r="N459" t="s">
        <v>108</v>
      </c>
      <c r="O459" t="s">
        <v>74</v>
      </c>
      <c r="P459" t="s">
        <v>74</v>
      </c>
      <c r="Q459" t="s">
        <v>74</v>
      </c>
      <c r="R459" t="s">
        <v>74</v>
      </c>
      <c r="S459" t="s">
        <v>74</v>
      </c>
      <c r="T459" t="s">
        <v>8851</v>
      </c>
      <c r="U459" t="s">
        <v>8852</v>
      </c>
      <c r="V459" t="s">
        <v>8853</v>
      </c>
      <c r="W459" t="s">
        <v>8854</v>
      </c>
      <c r="X459" t="s">
        <v>8855</v>
      </c>
      <c r="Y459" t="s">
        <v>8856</v>
      </c>
      <c r="Z459" t="s">
        <v>8857</v>
      </c>
      <c r="AA459" t="s">
        <v>74</v>
      </c>
      <c r="AB459" t="s">
        <v>8858</v>
      </c>
      <c r="AC459" t="s">
        <v>8859</v>
      </c>
      <c r="AD459" t="s">
        <v>8860</v>
      </c>
      <c r="AE459" t="s">
        <v>8861</v>
      </c>
      <c r="AF459" t="s">
        <v>74</v>
      </c>
      <c r="AG459">
        <v>34</v>
      </c>
      <c r="AH459">
        <v>27</v>
      </c>
      <c r="AI459">
        <v>35</v>
      </c>
      <c r="AJ459">
        <v>5</v>
      </c>
      <c r="AK459">
        <v>40</v>
      </c>
      <c r="AL459" t="s">
        <v>167</v>
      </c>
      <c r="AM459" t="s">
        <v>168</v>
      </c>
      <c r="AN459" t="s">
        <v>169</v>
      </c>
      <c r="AO459" t="s">
        <v>8862</v>
      </c>
      <c r="AP459" t="s">
        <v>8863</v>
      </c>
      <c r="AQ459" t="s">
        <v>74</v>
      </c>
      <c r="AR459" t="s">
        <v>8864</v>
      </c>
      <c r="AS459" t="s">
        <v>8865</v>
      </c>
      <c r="AT459" t="s">
        <v>846</v>
      </c>
      <c r="AU459">
        <v>2019</v>
      </c>
      <c r="AV459">
        <v>34</v>
      </c>
      <c r="AW459">
        <v>3</v>
      </c>
      <c r="AX459" t="s">
        <v>74</v>
      </c>
      <c r="AY459" t="s">
        <v>74</v>
      </c>
      <c r="AZ459" t="s">
        <v>74</v>
      </c>
      <c r="BA459" t="s">
        <v>74</v>
      </c>
      <c r="BB459">
        <v>2061</v>
      </c>
      <c r="BC459">
        <v>2070</v>
      </c>
      <c r="BD459" t="s">
        <v>74</v>
      </c>
      <c r="BE459" t="s">
        <v>8866</v>
      </c>
      <c r="BF459" t="str">
        <f>HYPERLINK("http://dx.doi.org/10.1109/TPWRS.2018.2890006","http://dx.doi.org/10.1109/TPWRS.2018.2890006")</f>
        <v>http://dx.doi.org/10.1109/TPWRS.2018.2890006</v>
      </c>
      <c r="BG459" t="s">
        <v>74</v>
      </c>
      <c r="BH459" t="s">
        <v>74</v>
      </c>
      <c r="BI459">
        <v>10</v>
      </c>
      <c r="BJ459" t="s">
        <v>8460</v>
      </c>
      <c r="BK459" t="s">
        <v>98</v>
      </c>
      <c r="BL459" t="s">
        <v>1292</v>
      </c>
      <c r="BM459" t="s">
        <v>8867</v>
      </c>
      <c r="BN459" t="s">
        <v>74</v>
      </c>
      <c r="BO459" t="s">
        <v>74</v>
      </c>
      <c r="BP459" t="s">
        <v>74</v>
      </c>
      <c r="BQ459" t="s">
        <v>74</v>
      </c>
      <c r="BR459" t="s">
        <v>102</v>
      </c>
      <c r="BS459" t="s">
        <v>8868</v>
      </c>
      <c r="BT459" t="str">
        <f>HYPERLINK("https%3A%2F%2Fwww.webofscience.com%2Fwos%2Fwoscc%2Ffull-record%2FWOS:000466062200035","View Full Record in Web of Science")</f>
        <v>View Full Record in Web of Science</v>
      </c>
    </row>
    <row r="460" spans="1:72" x14ac:dyDescent="0.2">
      <c r="A460" t="s">
        <v>72</v>
      </c>
      <c r="B460" t="s">
        <v>8869</v>
      </c>
      <c r="C460" t="s">
        <v>74</v>
      </c>
      <c r="D460" t="s">
        <v>74</v>
      </c>
      <c r="E460" t="s">
        <v>74</v>
      </c>
      <c r="F460" t="s">
        <v>8870</v>
      </c>
      <c r="G460" t="s">
        <v>74</v>
      </c>
      <c r="H460" t="s">
        <v>74</v>
      </c>
      <c r="I460" t="s">
        <v>8871</v>
      </c>
      <c r="J460" t="s">
        <v>8872</v>
      </c>
      <c r="K460" t="s">
        <v>74</v>
      </c>
      <c r="L460" t="s">
        <v>74</v>
      </c>
      <c r="M460" t="s">
        <v>78</v>
      </c>
      <c r="N460" t="s">
        <v>108</v>
      </c>
      <c r="O460" t="s">
        <v>74</v>
      </c>
      <c r="P460" t="s">
        <v>74</v>
      </c>
      <c r="Q460" t="s">
        <v>74</v>
      </c>
      <c r="R460" t="s">
        <v>74</v>
      </c>
      <c r="S460" t="s">
        <v>74</v>
      </c>
      <c r="T460" t="s">
        <v>8873</v>
      </c>
      <c r="U460" t="s">
        <v>74</v>
      </c>
      <c r="V460" t="s">
        <v>8874</v>
      </c>
      <c r="W460" t="s">
        <v>8875</v>
      </c>
      <c r="X460" t="s">
        <v>8876</v>
      </c>
      <c r="Y460" t="s">
        <v>8877</v>
      </c>
      <c r="Z460" t="s">
        <v>8878</v>
      </c>
      <c r="AA460" t="s">
        <v>74</v>
      </c>
      <c r="AB460" t="s">
        <v>74</v>
      </c>
      <c r="AC460" t="s">
        <v>74</v>
      </c>
      <c r="AD460" t="s">
        <v>74</v>
      </c>
      <c r="AE460" t="s">
        <v>74</v>
      </c>
      <c r="AF460" t="s">
        <v>74</v>
      </c>
      <c r="AG460">
        <v>18</v>
      </c>
      <c r="AH460">
        <v>28</v>
      </c>
      <c r="AI460">
        <v>30</v>
      </c>
      <c r="AJ460">
        <v>1</v>
      </c>
      <c r="AK460">
        <v>116</v>
      </c>
      <c r="AL460" t="s">
        <v>8879</v>
      </c>
      <c r="AM460" t="s">
        <v>90</v>
      </c>
      <c r="AN460" t="s">
        <v>8880</v>
      </c>
      <c r="AO460" t="s">
        <v>8881</v>
      </c>
      <c r="AP460" t="s">
        <v>8882</v>
      </c>
      <c r="AQ460" t="s">
        <v>74</v>
      </c>
      <c r="AR460" t="s">
        <v>8883</v>
      </c>
      <c r="AS460" t="s">
        <v>8884</v>
      </c>
      <c r="AT460" t="s">
        <v>616</v>
      </c>
      <c r="AU460">
        <v>2014</v>
      </c>
      <c r="AV460">
        <v>3</v>
      </c>
      <c r="AW460">
        <v>2</v>
      </c>
      <c r="AX460" t="s">
        <v>74</v>
      </c>
      <c r="AY460" t="s">
        <v>74</v>
      </c>
      <c r="AZ460" t="s">
        <v>74</v>
      </c>
      <c r="BA460" t="s">
        <v>74</v>
      </c>
      <c r="BB460">
        <v>167</v>
      </c>
      <c r="BC460">
        <v>176</v>
      </c>
      <c r="BD460" t="s">
        <v>74</v>
      </c>
      <c r="BE460" t="s">
        <v>8885</v>
      </c>
      <c r="BF460" t="str">
        <f>HYPERLINK("http://dx.doi.org/10.2217/CER.14.2","http://dx.doi.org/10.2217/CER.14.2")</f>
        <v>http://dx.doi.org/10.2217/CER.14.2</v>
      </c>
      <c r="BG460" t="s">
        <v>74</v>
      </c>
      <c r="BH460" t="s">
        <v>74</v>
      </c>
      <c r="BI460">
        <v>10</v>
      </c>
      <c r="BJ460" t="s">
        <v>8886</v>
      </c>
      <c r="BK460" t="s">
        <v>98</v>
      </c>
      <c r="BL460" t="s">
        <v>8886</v>
      </c>
      <c r="BM460" t="s">
        <v>8887</v>
      </c>
      <c r="BN460">
        <v>24645690</v>
      </c>
      <c r="BO460" t="s">
        <v>74</v>
      </c>
      <c r="BP460" t="s">
        <v>74</v>
      </c>
      <c r="BQ460" t="s">
        <v>74</v>
      </c>
      <c r="BR460" t="s">
        <v>102</v>
      </c>
      <c r="BS460" t="s">
        <v>8888</v>
      </c>
      <c r="BT460" t="str">
        <f>HYPERLINK("https%3A%2F%2Fwww.webofscience.com%2Fwos%2Fwoscc%2Ffull-record%2FWOS:000333039500014","View Full Record in Web of Science")</f>
        <v>View Full Record in Web of Science</v>
      </c>
    </row>
    <row r="461" spans="1:72" x14ac:dyDescent="0.2">
      <c r="A461" t="s">
        <v>72</v>
      </c>
      <c r="B461" t="s">
        <v>8889</v>
      </c>
      <c r="C461" t="s">
        <v>74</v>
      </c>
      <c r="D461" t="s">
        <v>74</v>
      </c>
      <c r="E461" t="s">
        <v>74</v>
      </c>
      <c r="F461" t="s">
        <v>8890</v>
      </c>
      <c r="G461" t="s">
        <v>74</v>
      </c>
      <c r="H461" t="s">
        <v>74</v>
      </c>
      <c r="I461" t="s">
        <v>8891</v>
      </c>
      <c r="J461" t="s">
        <v>2042</v>
      </c>
      <c r="K461" t="s">
        <v>74</v>
      </c>
      <c r="L461" t="s">
        <v>74</v>
      </c>
      <c r="M461" t="s">
        <v>78</v>
      </c>
      <c r="N461" t="s">
        <v>79</v>
      </c>
      <c r="O461" t="s">
        <v>74</v>
      </c>
      <c r="P461" t="s">
        <v>74</v>
      </c>
      <c r="Q461" t="s">
        <v>74</v>
      </c>
      <c r="R461" t="s">
        <v>74</v>
      </c>
      <c r="S461" t="s">
        <v>74</v>
      </c>
      <c r="T461" t="s">
        <v>8892</v>
      </c>
      <c r="U461" t="s">
        <v>8893</v>
      </c>
      <c r="V461" t="s">
        <v>8894</v>
      </c>
      <c r="W461" t="s">
        <v>8895</v>
      </c>
      <c r="X461" t="s">
        <v>8896</v>
      </c>
      <c r="Y461" t="s">
        <v>8897</v>
      </c>
      <c r="Z461" t="s">
        <v>8898</v>
      </c>
      <c r="AA461" t="s">
        <v>74</v>
      </c>
      <c r="AB461" t="s">
        <v>74</v>
      </c>
      <c r="AC461" t="s">
        <v>74</v>
      </c>
      <c r="AD461" t="s">
        <v>74</v>
      </c>
      <c r="AE461" t="s">
        <v>74</v>
      </c>
      <c r="AF461" t="s">
        <v>74</v>
      </c>
      <c r="AG461">
        <v>128</v>
      </c>
      <c r="AH461">
        <v>95</v>
      </c>
      <c r="AI461">
        <v>98</v>
      </c>
      <c r="AJ461">
        <v>42</v>
      </c>
      <c r="AK461">
        <v>317</v>
      </c>
      <c r="AL461" t="s">
        <v>543</v>
      </c>
      <c r="AM461" t="s">
        <v>260</v>
      </c>
      <c r="AN461" t="s">
        <v>544</v>
      </c>
      <c r="AO461" t="s">
        <v>2054</v>
      </c>
      <c r="AP461" t="s">
        <v>2055</v>
      </c>
      <c r="AQ461" t="s">
        <v>74</v>
      </c>
      <c r="AR461" t="s">
        <v>2056</v>
      </c>
      <c r="AS461" t="s">
        <v>2057</v>
      </c>
      <c r="AT461" t="s">
        <v>5968</v>
      </c>
      <c r="AU461">
        <v>2020</v>
      </c>
      <c r="AV461">
        <v>161</v>
      </c>
      <c r="AW461" t="s">
        <v>74</v>
      </c>
      <c r="AX461" t="s">
        <v>74</v>
      </c>
      <c r="AY461" t="s">
        <v>74</v>
      </c>
      <c r="AZ461" t="s">
        <v>74</v>
      </c>
      <c r="BA461" t="s">
        <v>74</v>
      </c>
      <c r="BB461" t="s">
        <v>74</v>
      </c>
      <c r="BC461" t="s">
        <v>74</v>
      </c>
      <c r="BD461">
        <v>113649</v>
      </c>
      <c r="BE461" t="s">
        <v>8899</v>
      </c>
      <c r="BF461" t="str">
        <f>HYPERLINK("http://dx.doi.org/10.1016/j.eswa.2020.113649","http://dx.doi.org/10.1016/j.eswa.2020.113649")</f>
        <v>http://dx.doi.org/10.1016/j.eswa.2020.113649</v>
      </c>
      <c r="BG461" t="s">
        <v>74</v>
      </c>
      <c r="BH461" t="s">
        <v>74</v>
      </c>
      <c r="BI461">
        <v>20</v>
      </c>
      <c r="BJ461" t="s">
        <v>2059</v>
      </c>
      <c r="BK461" t="s">
        <v>147</v>
      </c>
      <c r="BL461" t="s">
        <v>2060</v>
      </c>
      <c r="BM461" t="s">
        <v>8900</v>
      </c>
      <c r="BN461">
        <v>32834558</v>
      </c>
      <c r="BO461" t="s">
        <v>332</v>
      </c>
      <c r="BP461" t="s">
        <v>74</v>
      </c>
      <c r="BQ461" t="s">
        <v>74</v>
      </c>
      <c r="BR461" t="s">
        <v>102</v>
      </c>
      <c r="BS461" t="s">
        <v>8901</v>
      </c>
      <c r="BT461" t="str">
        <f>HYPERLINK("https%3A%2F%2Fwww.webofscience.com%2Fwos%2Fwoscc%2Ffull-record%2FWOS:000576782300001","View Full Record in Web of Science")</f>
        <v>View Full Record in Web of Science</v>
      </c>
    </row>
    <row r="462" spans="1:72" x14ac:dyDescent="0.2">
      <c r="A462" t="s">
        <v>72</v>
      </c>
      <c r="B462" t="s">
        <v>8902</v>
      </c>
      <c r="C462" t="s">
        <v>74</v>
      </c>
      <c r="D462" t="s">
        <v>74</v>
      </c>
      <c r="E462" t="s">
        <v>74</v>
      </c>
      <c r="F462" t="s">
        <v>8903</v>
      </c>
      <c r="G462" t="s">
        <v>74</v>
      </c>
      <c r="H462" t="s">
        <v>74</v>
      </c>
      <c r="I462" t="s">
        <v>8904</v>
      </c>
      <c r="J462" t="s">
        <v>511</v>
      </c>
      <c r="K462" t="s">
        <v>74</v>
      </c>
      <c r="L462" t="s">
        <v>74</v>
      </c>
      <c r="M462" t="s">
        <v>78</v>
      </c>
      <c r="N462" t="s">
        <v>108</v>
      </c>
      <c r="O462" t="s">
        <v>74</v>
      </c>
      <c r="P462" t="s">
        <v>74</v>
      </c>
      <c r="Q462" t="s">
        <v>74</v>
      </c>
      <c r="R462" t="s">
        <v>74</v>
      </c>
      <c r="S462" t="s">
        <v>74</v>
      </c>
      <c r="T462" t="s">
        <v>8905</v>
      </c>
      <c r="U462" t="s">
        <v>8906</v>
      </c>
      <c r="V462" t="s">
        <v>8907</v>
      </c>
      <c r="W462" t="s">
        <v>8908</v>
      </c>
      <c r="X462" t="s">
        <v>8909</v>
      </c>
      <c r="Y462" t="s">
        <v>8910</v>
      </c>
      <c r="Z462" t="s">
        <v>8911</v>
      </c>
      <c r="AA462" t="s">
        <v>8912</v>
      </c>
      <c r="AB462" t="s">
        <v>8913</v>
      </c>
      <c r="AC462" t="s">
        <v>74</v>
      </c>
      <c r="AD462" t="s">
        <v>74</v>
      </c>
      <c r="AE462" t="s">
        <v>74</v>
      </c>
      <c r="AF462" t="s">
        <v>74</v>
      </c>
      <c r="AG462">
        <v>79</v>
      </c>
      <c r="AH462">
        <v>1</v>
      </c>
      <c r="AI462">
        <v>1</v>
      </c>
      <c r="AJ462">
        <v>0</v>
      </c>
      <c r="AK462">
        <v>3</v>
      </c>
      <c r="AL462" t="s">
        <v>116</v>
      </c>
      <c r="AM462" t="s">
        <v>117</v>
      </c>
      <c r="AN462" t="s">
        <v>118</v>
      </c>
      <c r="AO462" t="s">
        <v>74</v>
      </c>
      <c r="AP462" t="s">
        <v>521</v>
      </c>
      <c r="AQ462" t="s">
        <v>74</v>
      </c>
      <c r="AR462" t="s">
        <v>511</v>
      </c>
      <c r="AS462" t="s">
        <v>522</v>
      </c>
      <c r="AT462" t="s">
        <v>394</v>
      </c>
      <c r="AU462">
        <v>2022</v>
      </c>
      <c r="AV462">
        <v>6</v>
      </c>
      <c r="AW462">
        <v>3</v>
      </c>
      <c r="AX462" t="s">
        <v>74</v>
      </c>
      <c r="AY462" t="s">
        <v>74</v>
      </c>
      <c r="AZ462" t="s">
        <v>74</v>
      </c>
      <c r="BA462" t="s">
        <v>74</v>
      </c>
      <c r="BB462" t="s">
        <v>74</v>
      </c>
      <c r="BC462" t="s">
        <v>74</v>
      </c>
      <c r="BD462">
        <v>57</v>
      </c>
      <c r="BE462" t="s">
        <v>8914</v>
      </c>
      <c r="BF462" t="str">
        <f>HYPERLINK("http://dx.doi.org/10.3390/logistics6030057","http://dx.doi.org/10.3390/logistics6030057")</f>
        <v>http://dx.doi.org/10.3390/logistics6030057</v>
      </c>
      <c r="BG462" t="s">
        <v>74</v>
      </c>
      <c r="BH462" t="s">
        <v>74</v>
      </c>
      <c r="BI462">
        <v>22</v>
      </c>
      <c r="BJ462" t="s">
        <v>524</v>
      </c>
      <c r="BK462" t="s">
        <v>124</v>
      </c>
      <c r="BL462" t="s">
        <v>525</v>
      </c>
      <c r="BM462" t="s">
        <v>8915</v>
      </c>
      <c r="BN462" t="s">
        <v>74</v>
      </c>
      <c r="BO462" t="s">
        <v>126</v>
      </c>
      <c r="BP462" t="s">
        <v>74</v>
      </c>
      <c r="BQ462" t="s">
        <v>74</v>
      </c>
      <c r="BR462" t="s">
        <v>102</v>
      </c>
      <c r="BS462" t="s">
        <v>8916</v>
      </c>
      <c r="BT462" t="str">
        <f>HYPERLINK("https%3A%2F%2Fwww.webofscience.com%2Fwos%2Fwoscc%2Ffull-record%2FWOS:000858787000001","View Full Record in Web of Science")</f>
        <v>View Full Record in Web of Science</v>
      </c>
    </row>
    <row r="463" spans="1:72" x14ac:dyDescent="0.2">
      <c r="A463" t="s">
        <v>72</v>
      </c>
      <c r="B463" t="s">
        <v>8917</v>
      </c>
      <c r="C463" t="s">
        <v>74</v>
      </c>
      <c r="D463" t="s">
        <v>74</v>
      </c>
      <c r="E463" t="s">
        <v>74</v>
      </c>
      <c r="F463" t="s">
        <v>8918</v>
      </c>
      <c r="G463" t="s">
        <v>74</v>
      </c>
      <c r="H463" t="s">
        <v>74</v>
      </c>
      <c r="I463" t="s">
        <v>8919</v>
      </c>
      <c r="J463" t="s">
        <v>8230</v>
      </c>
      <c r="K463" t="s">
        <v>74</v>
      </c>
      <c r="L463" t="s">
        <v>74</v>
      </c>
      <c r="M463" t="s">
        <v>78</v>
      </c>
      <c r="N463" t="s">
        <v>108</v>
      </c>
      <c r="O463" t="s">
        <v>74</v>
      </c>
      <c r="P463" t="s">
        <v>74</v>
      </c>
      <c r="Q463" t="s">
        <v>74</v>
      </c>
      <c r="R463" t="s">
        <v>74</v>
      </c>
      <c r="S463" t="s">
        <v>74</v>
      </c>
      <c r="T463" t="s">
        <v>8920</v>
      </c>
      <c r="U463" t="s">
        <v>8921</v>
      </c>
      <c r="V463" t="s">
        <v>8922</v>
      </c>
      <c r="W463" t="s">
        <v>8923</v>
      </c>
      <c r="X463" t="s">
        <v>8924</v>
      </c>
      <c r="Y463" t="s">
        <v>8925</v>
      </c>
      <c r="Z463" t="s">
        <v>8926</v>
      </c>
      <c r="AA463" t="s">
        <v>8927</v>
      </c>
      <c r="AB463" t="s">
        <v>8928</v>
      </c>
      <c r="AC463" t="s">
        <v>74</v>
      </c>
      <c r="AD463" t="s">
        <v>74</v>
      </c>
      <c r="AE463" t="s">
        <v>74</v>
      </c>
      <c r="AF463" t="s">
        <v>74</v>
      </c>
      <c r="AG463">
        <v>111</v>
      </c>
      <c r="AH463">
        <v>0</v>
      </c>
      <c r="AI463">
        <v>0</v>
      </c>
      <c r="AJ463">
        <v>7</v>
      </c>
      <c r="AK463">
        <v>7</v>
      </c>
      <c r="AL463" t="s">
        <v>347</v>
      </c>
      <c r="AM463" t="s">
        <v>348</v>
      </c>
      <c r="AN463" t="s">
        <v>349</v>
      </c>
      <c r="AO463" t="s">
        <v>8238</v>
      </c>
      <c r="AP463" t="s">
        <v>8239</v>
      </c>
      <c r="AQ463" t="s">
        <v>74</v>
      </c>
      <c r="AR463" t="s">
        <v>8240</v>
      </c>
      <c r="AS463" t="s">
        <v>8241</v>
      </c>
      <c r="AT463" t="s">
        <v>121</v>
      </c>
      <c r="AU463">
        <v>2023</v>
      </c>
      <c r="AV463">
        <v>162</v>
      </c>
      <c r="AW463" t="s">
        <v>74</v>
      </c>
      <c r="AX463" t="s">
        <v>74</v>
      </c>
      <c r="AY463" t="s">
        <v>74</v>
      </c>
      <c r="AZ463" t="s">
        <v>74</v>
      </c>
      <c r="BA463" t="s">
        <v>74</v>
      </c>
      <c r="BB463" t="s">
        <v>74</v>
      </c>
      <c r="BC463" t="s">
        <v>74</v>
      </c>
      <c r="BD463">
        <v>113903</v>
      </c>
      <c r="BE463" t="s">
        <v>8929</v>
      </c>
      <c r="BF463" t="str">
        <f>HYPERLINK("http://dx.doi.org/10.1016/j.jbusres.2023.113903","http://dx.doi.org/10.1016/j.jbusres.2023.113903")</f>
        <v>http://dx.doi.org/10.1016/j.jbusres.2023.113903</v>
      </c>
      <c r="BG463" t="s">
        <v>74</v>
      </c>
      <c r="BH463" t="s">
        <v>74</v>
      </c>
      <c r="BI463">
        <v>14</v>
      </c>
      <c r="BJ463" t="s">
        <v>931</v>
      </c>
      <c r="BK463" t="s">
        <v>242</v>
      </c>
      <c r="BL463" t="s">
        <v>419</v>
      </c>
      <c r="BM463" t="s">
        <v>8930</v>
      </c>
      <c r="BN463" t="s">
        <v>74</v>
      </c>
      <c r="BO463" t="s">
        <v>2335</v>
      </c>
      <c r="BP463" t="s">
        <v>74</v>
      </c>
      <c r="BQ463" t="s">
        <v>74</v>
      </c>
      <c r="BR463" t="s">
        <v>102</v>
      </c>
      <c r="BS463" t="s">
        <v>8931</v>
      </c>
      <c r="BT463" t="str">
        <f>HYPERLINK("https%3A%2F%2Fwww.webofscience.com%2Fwos%2Fwoscc%2Ffull-record%2FWOS:001054410500001","View Full Record in Web of Science")</f>
        <v>View Full Record in Web of Science</v>
      </c>
    </row>
    <row r="464" spans="1:72" x14ac:dyDescent="0.2">
      <c r="A464" t="s">
        <v>72</v>
      </c>
      <c r="B464" t="s">
        <v>8932</v>
      </c>
      <c r="C464" t="s">
        <v>74</v>
      </c>
      <c r="D464" t="s">
        <v>74</v>
      </c>
      <c r="E464" t="s">
        <v>74</v>
      </c>
      <c r="F464" t="s">
        <v>8933</v>
      </c>
      <c r="G464" t="s">
        <v>74</v>
      </c>
      <c r="H464" t="s">
        <v>74</v>
      </c>
      <c r="I464" t="s">
        <v>8934</v>
      </c>
      <c r="J464" t="s">
        <v>2042</v>
      </c>
      <c r="K464" t="s">
        <v>74</v>
      </c>
      <c r="L464" t="s">
        <v>74</v>
      </c>
      <c r="M464" t="s">
        <v>78</v>
      </c>
      <c r="N464" t="s">
        <v>108</v>
      </c>
      <c r="O464" t="s">
        <v>74</v>
      </c>
      <c r="P464" t="s">
        <v>74</v>
      </c>
      <c r="Q464" t="s">
        <v>74</v>
      </c>
      <c r="R464" t="s">
        <v>74</v>
      </c>
      <c r="S464" t="s">
        <v>74</v>
      </c>
      <c r="T464" t="s">
        <v>8935</v>
      </c>
      <c r="U464" t="s">
        <v>8936</v>
      </c>
      <c r="V464" t="s">
        <v>8937</v>
      </c>
      <c r="W464" t="s">
        <v>8938</v>
      </c>
      <c r="X464" t="s">
        <v>8939</v>
      </c>
      <c r="Y464" t="s">
        <v>8940</v>
      </c>
      <c r="Z464" t="s">
        <v>8941</v>
      </c>
      <c r="AA464" t="s">
        <v>8942</v>
      </c>
      <c r="AB464" t="s">
        <v>8943</v>
      </c>
      <c r="AC464" t="s">
        <v>74</v>
      </c>
      <c r="AD464" t="s">
        <v>74</v>
      </c>
      <c r="AE464" t="s">
        <v>74</v>
      </c>
      <c r="AF464" t="s">
        <v>74</v>
      </c>
      <c r="AG464">
        <v>49</v>
      </c>
      <c r="AH464">
        <v>48</v>
      </c>
      <c r="AI464">
        <v>48</v>
      </c>
      <c r="AJ464">
        <v>1</v>
      </c>
      <c r="AK464">
        <v>72</v>
      </c>
      <c r="AL464" t="s">
        <v>543</v>
      </c>
      <c r="AM464" t="s">
        <v>260</v>
      </c>
      <c r="AN464" t="s">
        <v>544</v>
      </c>
      <c r="AO464" t="s">
        <v>2054</v>
      </c>
      <c r="AP464" t="s">
        <v>2055</v>
      </c>
      <c r="AQ464" t="s">
        <v>74</v>
      </c>
      <c r="AR464" t="s">
        <v>2056</v>
      </c>
      <c r="AS464" t="s">
        <v>2057</v>
      </c>
      <c r="AT464" t="s">
        <v>8944</v>
      </c>
      <c r="AU464">
        <v>2014</v>
      </c>
      <c r="AV464">
        <v>41</v>
      </c>
      <c r="AW464">
        <v>16</v>
      </c>
      <c r="AX464" t="s">
        <v>74</v>
      </c>
      <c r="AY464" t="s">
        <v>74</v>
      </c>
      <c r="AZ464" t="s">
        <v>74</v>
      </c>
      <c r="BA464" t="s">
        <v>74</v>
      </c>
      <c r="BB464">
        <v>7005</v>
      </c>
      <c r="BC464">
        <v>7022</v>
      </c>
      <c r="BD464" t="s">
        <v>74</v>
      </c>
      <c r="BE464" t="s">
        <v>8945</v>
      </c>
      <c r="BF464" t="str">
        <f>HYPERLINK("http://dx.doi.org/10.1016/j.eswa.2014.05.012","http://dx.doi.org/10.1016/j.eswa.2014.05.012")</f>
        <v>http://dx.doi.org/10.1016/j.eswa.2014.05.012</v>
      </c>
      <c r="BG464" t="s">
        <v>74</v>
      </c>
      <c r="BH464" t="s">
        <v>74</v>
      </c>
      <c r="BI464">
        <v>18</v>
      </c>
      <c r="BJ464" t="s">
        <v>2059</v>
      </c>
      <c r="BK464" t="s">
        <v>147</v>
      </c>
      <c r="BL464" t="s">
        <v>2060</v>
      </c>
      <c r="BM464" t="s">
        <v>8946</v>
      </c>
      <c r="BN464" t="s">
        <v>74</v>
      </c>
      <c r="BO464" t="s">
        <v>74</v>
      </c>
      <c r="BP464" t="s">
        <v>74</v>
      </c>
      <c r="BQ464" t="s">
        <v>74</v>
      </c>
      <c r="BR464" t="s">
        <v>102</v>
      </c>
      <c r="BS464" t="s">
        <v>8947</v>
      </c>
      <c r="BT464" t="str">
        <f>HYPERLINK("https%3A%2F%2Fwww.webofscience.com%2Fwos%2Fwoscc%2Ffull-record%2FWOS:000340689700004","View Full Record in Web of Science")</f>
        <v>View Full Record in Web of Science</v>
      </c>
    </row>
    <row r="465" spans="1:72" x14ac:dyDescent="0.2">
      <c r="A465" t="s">
        <v>72</v>
      </c>
      <c r="B465" t="s">
        <v>8948</v>
      </c>
      <c r="C465" t="s">
        <v>74</v>
      </c>
      <c r="D465" t="s">
        <v>74</v>
      </c>
      <c r="E465" t="s">
        <v>74</v>
      </c>
      <c r="F465" t="s">
        <v>8949</v>
      </c>
      <c r="G465" t="s">
        <v>74</v>
      </c>
      <c r="H465" t="s">
        <v>74</v>
      </c>
      <c r="I465" t="s">
        <v>8950</v>
      </c>
      <c r="J465" t="s">
        <v>8951</v>
      </c>
      <c r="K465" t="s">
        <v>74</v>
      </c>
      <c r="L465" t="s">
        <v>74</v>
      </c>
      <c r="M465" t="s">
        <v>78</v>
      </c>
      <c r="N465" t="s">
        <v>108</v>
      </c>
      <c r="O465" t="s">
        <v>74</v>
      </c>
      <c r="P465" t="s">
        <v>74</v>
      </c>
      <c r="Q465" t="s">
        <v>74</v>
      </c>
      <c r="R465" t="s">
        <v>74</v>
      </c>
      <c r="S465" t="s">
        <v>74</v>
      </c>
      <c r="T465" t="s">
        <v>8952</v>
      </c>
      <c r="U465" t="s">
        <v>8953</v>
      </c>
      <c r="V465" t="s">
        <v>8954</v>
      </c>
      <c r="W465" t="s">
        <v>8955</v>
      </c>
      <c r="X465" t="s">
        <v>8956</v>
      </c>
      <c r="Y465" t="s">
        <v>8957</v>
      </c>
      <c r="Z465" t="s">
        <v>8958</v>
      </c>
      <c r="AA465" t="s">
        <v>74</v>
      </c>
      <c r="AB465" t="s">
        <v>74</v>
      </c>
      <c r="AC465" t="s">
        <v>74</v>
      </c>
      <c r="AD465" t="s">
        <v>74</v>
      </c>
      <c r="AE465" t="s">
        <v>74</v>
      </c>
      <c r="AF465" t="s">
        <v>74</v>
      </c>
      <c r="AG465">
        <v>25</v>
      </c>
      <c r="AH465">
        <v>4</v>
      </c>
      <c r="AI465">
        <v>4</v>
      </c>
      <c r="AJ465">
        <v>0</v>
      </c>
      <c r="AK465">
        <v>2</v>
      </c>
      <c r="AL465" t="s">
        <v>167</v>
      </c>
      <c r="AM465" t="s">
        <v>168</v>
      </c>
      <c r="AN465" t="s">
        <v>169</v>
      </c>
      <c r="AO465" t="s">
        <v>8959</v>
      </c>
      <c r="AP465" t="s">
        <v>8960</v>
      </c>
      <c r="AQ465" t="s">
        <v>74</v>
      </c>
      <c r="AR465" t="s">
        <v>8961</v>
      </c>
      <c r="AS465" t="s">
        <v>8962</v>
      </c>
      <c r="AT465" t="s">
        <v>121</v>
      </c>
      <c r="AU465">
        <v>2011</v>
      </c>
      <c r="AV465">
        <v>19</v>
      </c>
      <c r="AW465">
        <v>7</v>
      </c>
      <c r="AX465" t="s">
        <v>74</v>
      </c>
      <c r="AY465" t="s">
        <v>74</v>
      </c>
      <c r="AZ465" t="s">
        <v>74</v>
      </c>
      <c r="BA465" t="s">
        <v>74</v>
      </c>
      <c r="BB465">
        <v>1181</v>
      </c>
      <c r="BC465">
        <v>1191</v>
      </c>
      <c r="BD465" t="s">
        <v>74</v>
      </c>
      <c r="BE465" t="s">
        <v>8963</v>
      </c>
      <c r="BF465" t="str">
        <f>HYPERLINK("http://dx.doi.org/10.1109/TVLSI.2010.2047123","http://dx.doi.org/10.1109/TVLSI.2010.2047123")</f>
        <v>http://dx.doi.org/10.1109/TVLSI.2010.2047123</v>
      </c>
      <c r="BG465" t="s">
        <v>74</v>
      </c>
      <c r="BH465" t="s">
        <v>74</v>
      </c>
      <c r="BI465">
        <v>11</v>
      </c>
      <c r="BJ465" t="s">
        <v>8964</v>
      </c>
      <c r="BK465" t="s">
        <v>98</v>
      </c>
      <c r="BL465" t="s">
        <v>269</v>
      </c>
      <c r="BM465" t="s">
        <v>8965</v>
      </c>
      <c r="BN465" t="s">
        <v>74</v>
      </c>
      <c r="BO465" t="s">
        <v>74</v>
      </c>
      <c r="BP465" t="s">
        <v>74</v>
      </c>
      <c r="BQ465" t="s">
        <v>74</v>
      </c>
      <c r="BR465" t="s">
        <v>102</v>
      </c>
      <c r="BS465" t="s">
        <v>8966</v>
      </c>
      <c r="BT465" t="str">
        <f>HYPERLINK("https%3A%2F%2Fwww.webofscience.com%2Fwos%2Fwoscc%2Ffull-record%2FWOS:000292098600006","View Full Record in Web of Science")</f>
        <v>View Full Record in Web of Science</v>
      </c>
    </row>
    <row r="466" spans="1:72" x14ac:dyDescent="0.2">
      <c r="A466" t="s">
        <v>72</v>
      </c>
      <c r="B466" t="s">
        <v>8967</v>
      </c>
      <c r="C466" t="s">
        <v>74</v>
      </c>
      <c r="D466" t="s">
        <v>74</v>
      </c>
      <c r="E466" t="s">
        <v>74</v>
      </c>
      <c r="F466" t="s">
        <v>8968</v>
      </c>
      <c r="G466" t="s">
        <v>74</v>
      </c>
      <c r="H466" t="s">
        <v>74</v>
      </c>
      <c r="I466" t="s">
        <v>8969</v>
      </c>
      <c r="J466" t="s">
        <v>8502</v>
      </c>
      <c r="K466" t="s">
        <v>74</v>
      </c>
      <c r="L466" t="s">
        <v>74</v>
      </c>
      <c r="M466" t="s">
        <v>78</v>
      </c>
      <c r="N466" t="s">
        <v>917</v>
      </c>
      <c r="O466" t="s">
        <v>74</v>
      </c>
      <c r="P466" t="s">
        <v>74</v>
      </c>
      <c r="Q466" t="s">
        <v>74</v>
      </c>
      <c r="R466" t="s">
        <v>74</v>
      </c>
      <c r="S466" t="s">
        <v>74</v>
      </c>
      <c r="T466" t="s">
        <v>8970</v>
      </c>
      <c r="U466" t="s">
        <v>8971</v>
      </c>
      <c r="V466" t="s">
        <v>8972</v>
      </c>
      <c r="W466" t="s">
        <v>8973</v>
      </c>
      <c r="X466" t="s">
        <v>8974</v>
      </c>
      <c r="Y466" t="s">
        <v>8975</v>
      </c>
      <c r="Z466" t="s">
        <v>8976</v>
      </c>
      <c r="AA466" t="s">
        <v>8977</v>
      </c>
      <c r="AB466" t="s">
        <v>8978</v>
      </c>
      <c r="AC466" t="s">
        <v>74</v>
      </c>
      <c r="AD466" t="s">
        <v>74</v>
      </c>
      <c r="AE466" t="s">
        <v>74</v>
      </c>
      <c r="AF466" t="s">
        <v>74</v>
      </c>
      <c r="AG466">
        <v>68</v>
      </c>
      <c r="AH466">
        <v>0</v>
      </c>
      <c r="AI466">
        <v>0</v>
      </c>
      <c r="AJ466">
        <v>9</v>
      </c>
      <c r="AK466">
        <v>9</v>
      </c>
      <c r="AL466" t="s">
        <v>409</v>
      </c>
      <c r="AM466" t="s">
        <v>410</v>
      </c>
      <c r="AN466" t="s">
        <v>411</v>
      </c>
      <c r="AO466" t="s">
        <v>8515</v>
      </c>
      <c r="AP466" t="s">
        <v>8516</v>
      </c>
      <c r="AQ466" t="s">
        <v>74</v>
      </c>
      <c r="AR466" t="s">
        <v>8517</v>
      </c>
      <c r="AS466" t="s">
        <v>8518</v>
      </c>
      <c r="AT466" t="s">
        <v>8979</v>
      </c>
      <c r="AU466">
        <v>2023</v>
      </c>
      <c r="AV466" t="s">
        <v>74</v>
      </c>
      <c r="AW466" t="s">
        <v>74</v>
      </c>
      <c r="AX466" t="s">
        <v>74</v>
      </c>
      <c r="AY466" t="s">
        <v>74</v>
      </c>
      <c r="AZ466" t="s">
        <v>74</v>
      </c>
      <c r="BA466" t="s">
        <v>74</v>
      </c>
      <c r="BB466" t="s">
        <v>74</v>
      </c>
      <c r="BC466" t="s">
        <v>74</v>
      </c>
      <c r="BD466" t="s">
        <v>74</v>
      </c>
      <c r="BE466" t="s">
        <v>8980</v>
      </c>
      <c r="BF466" t="str">
        <f>HYPERLINK("http://dx.doi.org/10.1111/itor.13288","http://dx.doi.org/10.1111/itor.13288")</f>
        <v>http://dx.doi.org/10.1111/itor.13288</v>
      </c>
      <c r="BG466" t="s">
        <v>74</v>
      </c>
      <c r="BH466" t="s">
        <v>619</v>
      </c>
      <c r="BI466">
        <v>27</v>
      </c>
      <c r="BJ466" t="s">
        <v>524</v>
      </c>
      <c r="BK466" t="s">
        <v>147</v>
      </c>
      <c r="BL466" t="s">
        <v>525</v>
      </c>
      <c r="BM466" t="s">
        <v>8981</v>
      </c>
      <c r="BN466" t="s">
        <v>74</v>
      </c>
      <c r="BO466" t="s">
        <v>2335</v>
      </c>
      <c r="BP466" t="s">
        <v>74</v>
      </c>
      <c r="BQ466" t="s">
        <v>74</v>
      </c>
      <c r="BR466" t="s">
        <v>102</v>
      </c>
      <c r="BS466" t="s">
        <v>8982</v>
      </c>
      <c r="BT466" t="str">
        <f>HYPERLINK("https%3A%2F%2Fwww.webofscience.com%2Fwos%2Fwoscc%2Ffull-record%2FWOS:000952267100001","View Full Record in Web of Science")</f>
        <v>View Full Record in Web of Science</v>
      </c>
    </row>
    <row r="467" spans="1:72" x14ac:dyDescent="0.2">
      <c r="A467" t="s">
        <v>72</v>
      </c>
      <c r="B467" t="s">
        <v>8983</v>
      </c>
      <c r="C467" t="s">
        <v>74</v>
      </c>
      <c r="D467" t="s">
        <v>74</v>
      </c>
      <c r="E467" t="s">
        <v>74</v>
      </c>
      <c r="F467" t="s">
        <v>8984</v>
      </c>
      <c r="G467" t="s">
        <v>74</v>
      </c>
      <c r="H467" t="s">
        <v>74</v>
      </c>
      <c r="I467" t="s">
        <v>8985</v>
      </c>
      <c r="J467" t="s">
        <v>8986</v>
      </c>
      <c r="K467" t="s">
        <v>74</v>
      </c>
      <c r="L467" t="s">
        <v>74</v>
      </c>
      <c r="M467" t="s">
        <v>78</v>
      </c>
      <c r="N467" t="s">
        <v>108</v>
      </c>
      <c r="O467" t="s">
        <v>74</v>
      </c>
      <c r="P467" t="s">
        <v>74</v>
      </c>
      <c r="Q467" t="s">
        <v>74</v>
      </c>
      <c r="R467" t="s">
        <v>74</v>
      </c>
      <c r="S467" t="s">
        <v>74</v>
      </c>
      <c r="T467" t="s">
        <v>8987</v>
      </c>
      <c r="U467" t="s">
        <v>74</v>
      </c>
      <c r="V467" t="s">
        <v>8988</v>
      </c>
      <c r="W467" t="s">
        <v>8989</v>
      </c>
      <c r="X467" t="s">
        <v>8990</v>
      </c>
      <c r="Y467" t="s">
        <v>8991</v>
      </c>
      <c r="Z467" t="s">
        <v>8992</v>
      </c>
      <c r="AA467" t="s">
        <v>74</v>
      </c>
      <c r="AB467" t="s">
        <v>74</v>
      </c>
      <c r="AC467" t="s">
        <v>74</v>
      </c>
      <c r="AD467" t="s">
        <v>74</v>
      </c>
      <c r="AE467" t="s">
        <v>74</v>
      </c>
      <c r="AF467" t="s">
        <v>74</v>
      </c>
      <c r="AG467">
        <v>30</v>
      </c>
      <c r="AH467">
        <v>1</v>
      </c>
      <c r="AI467">
        <v>1</v>
      </c>
      <c r="AJ467">
        <v>31</v>
      </c>
      <c r="AK467">
        <v>31</v>
      </c>
      <c r="AL467" t="s">
        <v>8993</v>
      </c>
      <c r="AM467" t="s">
        <v>8994</v>
      </c>
      <c r="AN467" t="s">
        <v>8995</v>
      </c>
      <c r="AO467" t="s">
        <v>8996</v>
      </c>
      <c r="AP467" t="s">
        <v>8997</v>
      </c>
      <c r="AQ467" t="s">
        <v>74</v>
      </c>
      <c r="AR467" t="s">
        <v>8998</v>
      </c>
      <c r="AS467" t="s">
        <v>8999</v>
      </c>
      <c r="AT467" t="s">
        <v>6330</v>
      </c>
      <c r="AU467">
        <v>2023</v>
      </c>
      <c r="AV467">
        <v>14</v>
      </c>
      <c r="AW467">
        <v>1</v>
      </c>
      <c r="AX467" t="s">
        <v>74</v>
      </c>
      <c r="AY467" t="s">
        <v>74</v>
      </c>
      <c r="AZ467" t="s">
        <v>74</v>
      </c>
      <c r="BA467" t="s">
        <v>74</v>
      </c>
      <c r="BB467">
        <v>111</v>
      </c>
      <c r="BC467">
        <v>116</v>
      </c>
      <c r="BD467" t="s">
        <v>74</v>
      </c>
      <c r="BE467" t="s">
        <v>9000</v>
      </c>
      <c r="BF467" t="str">
        <f>HYPERLINK("http://dx.doi.org/10.17268/sci.agropecu.2023.010","http://dx.doi.org/10.17268/sci.agropecu.2023.010")</f>
        <v>http://dx.doi.org/10.17268/sci.agropecu.2023.010</v>
      </c>
      <c r="BG467" t="s">
        <v>74</v>
      </c>
      <c r="BH467" t="s">
        <v>74</v>
      </c>
      <c r="BI467">
        <v>6</v>
      </c>
      <c r="BJ467" t="s">
        <v>9001</v>
      </c>
      <c r="BK467" t="s">
        <v>124</v>
      </c>
      <c r="BL467" t="s">
        <v>8268</v>
      </c>
      <c r="BM467" t="s">
        <v>9002</v>
      </c>
      <c r="BN467" t="s">
        <v>74</v>
      </c>
      <c r="BO467" t="s">
        <v>126</v>
      </c>
      <c r="BP467" t="s">
        <v>74</v>
      </c>
      <c r="BQ467" t="s">
        <v>74</v>
      </c>
      <c r="BR467" t="s">
        <v>102</v>
      </c>
      <c r="BS467" t="s">
        <v>9003</v>
      </c>
      <c r="BT467" t="str">
        <f>HYPERLINK("https%3A%2F%2Fwww.webofscience.com%2Fwos%2Fwoscc%2Ffull-record%2FWOS:000975859700010","View Full Record in Web of Science")</f>
        <v>View Full Record in Web of Science</v>
      </c>
    </row>
    <row r="468" spans="1:72" x14ac:dyDescent="0.2">
      <c r="A468" t="s">
        <v>72</v>
      </c>
      <c r="B468" t="s">
        <v>9004</v>
      </c>
      <c r="C468" t="s">
        <v>74</v>
      </c>
      <c r="D468" t="s">
        <v>74</v>
      </c>
      <c r="E468" t="s">
        <v>74</v>
      </c>
      <c r="F468" t="s">
        <v>9005</v>
      </c>
      <c r="G468" t="s">
        <v>74</v>
      </c>
      <c r="H468" t="s">
        <v>74</v>
      </c>
      <c r="I468" t="s">
        <v>9006</v>
      </c>
      <c r="J468" t="s">
        <v>6979</v>
      </c>
      <c r="K468" t="s">
        <v>74</v>
      </c>
      <c r="L468" t="s">
        <v>74</v>
      </c>
      <c r="M468" t="s">
        <v>78</v>
      </c>
      <c r="N468" t="s">
        <v>108</v>
      </c>
      <c r="O468" t="s">
        <v>74</v>
      </c>
      <c r="P468" t="s">
        <v>74</v>
      </c>
      <c r="Q468" t="s">
        <v>74</v>
      </c>
      <c r="R468" t="s">
        <v>74</v>
      </c>
      <c r="S468" t="s">
        <v>74</v>
      </c>
      <c r="T468" t="s">
        <v>9007</v>
      </c>
      <c r="U468" t="s">
        <v>9008</v>
      </c>
      <c r="V468" t="s">
        <v>9009</v>
      </c>
      <c r="W468" t="s">
        <v>9010</v>
      </c>
      <c r="X468" t="s">
        <v>9011</v>
      </c>
      <c r="Y468" t="s">
        <v>9012</v>
      </c>
      <c r="Z468" t="s">
        <v>9013</v>
      </c>
      <c r="AA468" t="s">
        <v>74</v>
      </c>
      <c r="AB468" t="s">
        <v>74</v>
      </c>
      <c r="AC468" t="s">
        <v>74</v>
      </c>
      <c r="AD468" t="s">
        <v>74</v>
      </c>
      <c r="AE468" t="s">
        <v>74</v>
      </c>
      <c r="AF468" t="s">
        <v>74</v>
      </c>
      <c r="AG468">
        <v>27</v>
      </c>
      <c r="AH468">
        <v>0</v>
      </c>
      <c r="AI468">
        <v>0</v>
      </c>
      <c r="AJ468">
        <v>0</v>
      </c>
      <c r="AK468">
        <v>1</v>
      </c>
      <c r="AL468" t="s">
        <v>6989</v>
      </c>
      <c r="AM468" t="s">
        <v>90</v>
      </c>
      <c r="AN468" t="s">
        <v>6990</v>
      </c>
      <c r="AO468" t="s">
        <v>74</v>
      </c>
      <c r="AP468" t="s">
        <v>6991</v>
      </c>
      <c r="AQ468" t="s">
        <v>74</v>
      </c>
      <c r="AR468" t="s">
        <v>6992</v>
      </c>
      <c r="AS468" t="s">
        <v>6993</v>
      </c>
      <c r="AT468" t="s">
        <v>9014</v>
      </c>
      <c r="AU468">
        <v>2021</v>
      </c>
      <c r="AV468" t="s">
        <v>74</v>
      </c>
      <c r="AW468" t="s">
        <v>74</v>
      </c>
      <c r="AX468" t="s">
        <v>74</v>
      </c>
      <c r="AY468" t="s">
        <v>74</v>
      </c>
      <c r="AZ468" t="s">
        <v>74</v>
      </c>
      <c r="BA468" t="s">
        <v>74</v>
      </c>
      <c r="BB468" t="s">
        <v>74</v>
      </c>
      <c r="BC468" t="s">
        <v>74</v>
      </c>
      <c r="BD468" t="s">
        <v>9015</v>
      </c>
      <c r="BE468" t="s">
        <v>9016</v>
      </c>
      <c r="BF468" t="str">
        <f>HYPERLINK("http://dx.doi.org/10.7717/peerj-cs.332","http://dx.doi.org/10.7717/peerj-cs.332")</f>
        <v>http://dx.doi.org/10.7717/peerj-cs.332</v>
      </c>
      <c r="BG468" t="s">
        <v>74</v>
      </c>
      <c r="BH468" t="s">
        <v>74</v>
      </c>
      <c r="BI468">
        <v>19</v>
      </c>
      <c r="BJ468" t="s">
        <v>6997</v>
      </c>
      <c r="BK468" t="s">
        <v>98</v>
      </c>
      <c r="BL468" t="s">
        <v>99</v>
      </c>
      <c r="BM468" t="s">
        <v>9017</v>
      </c>
      <c r="BN468">
        <v>33816985</v>
      </c>
      <c r="BO468" t="s">
        <v>101</v>
      </c>
      <c r="BP468" t="s">
        <v>74</v>
      </c>
      <c r="BQ468" t="s">
        <v>74</v>
      </c>
      <c r="BR468" t="s">
        <v>102</v>
      </c>
      <c r="BS468" t="s">
        <v>9018</v>
      </c>
      <c r="BT468" t="str">
        <f>HYPERLINK("https%3A%2F%2Fwww.webofscience.com%2Fwos%2Fwoscc%2Ffull-record%2FWOS:000616110700001","View Full Record in Web of Science")</f>
        <v>View Full Record in Web of Science</v>
      </c>
    </row>
    <row r="469" spans="1:72" x14ac:dyDescent="0.2">
      <c r="A469" t="s">
        <v>72</v>
      </c>
      <c r="B469" t="s">
        <v>9019</v>
      </c>
      <c r="C469" t="s">
        <v>74</v>
      </c>
      <c r="D469" t="s">
        <v>74</v>
      </c>
      <c r="E469" t="s">
        <v>74</v>
      </c>
      <c r="F469" t="s">
        <v>9020</v>
      </c>
      <c r="G469" t="s">
        <v>74</v>
      </c>
      <c r="H469" t="s">
        <v>74</v>
      </c>
      <c r="I469" t="s">
        <v>9021</v>
      </c>
      <c r="J469" t="s">
        <v>5266</v>
      </c>
      <c r="K469" t="s">
        <v>74</v>
      </c>
      <c r="L469" t="s">
        <v>74</v>
      </c>
      <c r="M469" t="s">
        <v>78</v>
      </c>
      <c r="N469" t="s">
        <v>108</v>
      </c>
      <c r="O469" t="s">
        <v>74</v>
      </c>
      <c r="P469" t="s">
        <v>74</v>
      </c>
      <c r="Q469" t="s">
        <v>74</v>
      </c>
      <c r="R469" t="s">
        <v>74</v>
      </c>
      <c r="S469" t="s">
        <v>74</v>
      </c>
      <c r="T469" t="s">
        <v>9022</v>
      </c>
      <c r="U469" t="s">
        <v>9023</v>
      </c>
      <c r="V469" t="s">
        <v>9024</v>
      </c>
      <c r="W469" t="s">
        <v>9025</v>
      </c>
      <c r="X469" t="s">
        <v>9026</v>
      </c>
      <c r="Y469" t="s">
        <v>9027</v>
      </c>
      <c r="Z469" t="s">
        <v>9028</v>
      </c>
      <c r="AA469" t="s">
        <v>74</v>
      </c>
      <c r="AB469" t="s">
        <v>74</v>
      </c>
      <c r="AC469" t="s">
        <v>74</v>
      </c>
      <c r="AD469" t="s">
        <v>74</v>
      </c>
      <c r="AE469" t="s">
        <v>74</v>
      </c>
      <c r="AF469" t="s">
        <v>74</v>
      </c>
      <c r="AG469">
        <v>22</v>
      </c>
      <c r="AH469">
        <v>32</v>
      </c>
      <c r="AI469">
        <v>34</v>
      </c>
      <c r="AJ469">
        <v>2</v>
      </c>
      <c r="AK469">
        <v>17</v>
      </c>
      <c r="AL469" t="s">
        <v>321</v>
      </c>
      <c r="AM469" t="s">
        <v>348</v>
      </c>
      <c r="AN469" t="s">
        <v>2555</v>
      </c>
      <c r="AO469" t="s">
        <v>5277</v>
      </c>
      <c r="AP469" t="s">
        <v>5278</v>
      </c>
      <c r="AQ469" t="s">
        <v>74</v>
      </c>
      <c r="AR469" t="s">
        <v>5279</v>
      </c>
      <c r="AS469" t="s">
        <v>5280</v>
      </c>
      <c r="AT469" t="s">
        <v>416</v>
      </c>
      <c r="AU469">
        <v>2014</v>
      </c>
      <c r="AV469">
        <v>2</v>
      </c>
      <c r="AW469">
        <v>2</v>
      </c>
      <c r="AX469" t="s">
        <v>74</v>
      </c>
      <c r="AY469" t="s">
        <v>74</v>
      </c>
      <c r="AZ469" t="s">
        <v>74</v>
      </c>
      <c r="BA469" t="s">
        <v>74</v>
      </c>
      <c r="BB469">
        <v>106</v>
      </c>
      <c r="BC469">
        <v>120</v>
      </c>
      <c r="BD469" t="s">
        <v>74</v>
      </c>
      <c r="BE469" t="s">
        <v>9029</v>
      </c>
      <c r="BF469" t="str">
        <f>HYPERLINK("http://dx.doi.org/10.1007/s40436-014-0053-6","http://dx.doi.org/10.1007/s40436-014-0053-6")</f>
        <v>http://dx.doi.org/10.1007/s40436-014-0053-6</v>
      </c>
      <c r="BG469" t="s">
        <v>74</v>
      </c>
      <c r="BH469" t="s">
        <v>74</v>
      </c>
      <c r="BI469">
        <v>15</v>
      </c>
      <c r="BJ469" t="s">
        <v>5282</v>
      </c>
      <c r="BK469" t="s">
        <v>98</v>
      </c>
      <c r="BL469" t="s">
        <v>5283</v>
      </c>
      <c r="BM469" t="s">
        <v>9030</v>
      </c>
      <c r="BN469" t="s">
        <v>74</v>
      </c>
      <c r="BO469" t="s">
        <v>804</v>
      </c>
      <c r="BP469" t="s">
        <v>74</v>
      </c>
      <c r="BQ469" t="s">
        <v>74</v>
      </c>
      <c r="BR469" t="s">
        <v>102</v>
      </c>
      <c r="BS469" t="s">
        <v>9031</v>
      </c>
      <c r="BT469" t="str">
        <f>HYPERLINK("https%3A%2F%2Fwww.webofscience.com%2Fwos%2Fwoscc%2Ffull-record%2FWOS:000212308800003","View Full Record in Web of Science")</f>
        <v>View Full Record in Web of Science</v>
      </c>
    </row>
    <row r="470" spans="1:72" x14ac:dyDescent="0.2">
      <c r="A470" t="s">
        <v>72</v>
      </c>
      <c r="B470" t="s">
        <v>9032</v>
      </c>
      <c r="C470" t="s">
        <v>74</v>
      </c>
      <c r="D470" t="s">
        <v>74</v>
      </c>
      <c r="E470" t="s">
        <v>74</v>
      </c>
      <c r="F470" t="s">
        <v>9033</v>
      </c>
      <c r="G470" t="s">
        <v>74</v>
      </c>
      <c r="H470" t="s">
        <v>74</v>
      </c>
      <c r="I470" t="s">
        <v>9034</v>
      </c>
      <c r="J470" t="s">
        <v>9035</v>
      </c>
      <c r="K470" t="s">
        <v>74</v>
      </c>
      <c r="L470" t="s">
        <v>74</v>
      </c>
      <c r="M470" t="s">
        <v>78</v>
      </c>
      <c r="N470" t="s">
        <v>108</v>
      </c>
      <c r="O470" t="s">
        <v>74</v>
      </c>
      <c r="P470" t="s">
        <v>74</v>
      </c>
      <c r="Q470" t="s">
        <v>74</v>
      </c>
      <c r="R470" t="s">
        <v>74</v>
      </c>
      <c r="S470" t="s">
        <v>74</v>
      </c>
      <c r="T470" t="s">
        <v>9036</v>
      </c>
      <c r="U470" t="s">
        <v>9037</v>
      </c>
      <c r="V470" t="s">
        <v>9038</v>
      </c>
      <c r="W470" t="s">
        <v>9039</v>
      </c>
      <c r="X470" t="s">
        <v>9040</v>
      </c>
      <c r="Y470" t="s">
        <v>9041</v>
      </c>
      <c r="Z470" t="s">
        <v>9042</v>
      </c>
      <c r="AA470" t="s">
        <v>9043</v>
      </c>
      <c r="AB470" t="s">
        <v>9044</v>
      </c>
      <c r="AC470" t="s">
        <v>74</v>
      </c>
      <c r="AD470" t="s">
        <v>74</v>
      </c>
      <c r="AE470" t="s">
        <v>74</v>
      </c>
      <c r="AF470" t="s">
        <v>74</v>
      </c>
      <c r="AG470">
        <v>25</v>
      </c>
      <c r="AH470">
        <v>1</v>
      </c>
      <c r="AI470">
        <v>1</v>
      </c>
      <c r="AJ470">
        <v>0</v>
      </c>
      <c r="AK470">
        <v>2</v>
      </c>
      <c r="AL470" t="s">
        <v>388</v>
      </c>
      <c r="AM470" t="s">
        <v>389</v>
      </c>
      <c r="AN470" t="s">
        <v>390</v>
      </c>
      <c r="AO470" t="s">
        <v>9045</v>
      </c>
      <c r="AP470" t="s">
        <v>9046</v>
      </c>
      <c r="AQ470" t="s">
        <v>74</v>
      </c>
      <c r="AR470" t="s">
        <v>9035</v>
      </c>
      <c r="AS470" t="s">
        <v>9047</v>
      </c>
      <c r="AT470" t="s">
        <v>616</v>
      </c>
      <c r="AU470">
        <v>2018</v>
      </c>
      <c r="AV470">
        <v>45</v>
      </c>
      <c r="AW470">
        <v>1</v>
      </c>
      <c r="AX470" t="s">
        <v>74</v>
      </c>
      <c r="AY470" t="s">
        <v>74</v>
      </c>
      <c r="AZ470" t="s">
        <v>74</v>
      </c>
      <c r="BA470" t="s">
        <v>74</v>
      </c>
      <c r="BB470">
        <v>27</v>
      </c>
      <c r="BC470">
        <v>41</v>
      </c>
      <c r="BD470" t="s">
        <v>74</v>
      </c>
      <c r="BE470" t="s">
        <v>9048</v>
      </c>
      <c r="BF470" t="str">
        <f>HYPERLINK("http://dx.doi.org/10.1007/s40622-017-0170-8","http://dx.doi.org/10.1007/s40622-017-0170-8")</f>
        <v>http://dx.doi.org/10.1007/s40622-017-0170-8</v>
      </c>
      <c r="BG470" t="s">
        <v>74</v>
      </c>
      <c r="BH470" t="s">
        <v>74</v>
      </c>
      <c r="BI470">
        <v>15</v>
      </c>
      <c r="BJ470" t="s">
        <v>418</v>
      </c>
      <c r="BK470" t="s">
        <v>124</v>
      </c>
      <c r="BL470" t="s">
        <v>419</v>
      </c>
      <c r="BM470" t="s">
        <v>9049</v>
      </c>
      <c r="BN470" t="s">
        <v>74</v>
      </c>
      <c r="BO470" t="s">
        <v>74</v>
      </c>
      <c r="BP470" t="s">
        <v>74</v>
      </c>
      <c r="BQ470" t="s">
        <v>74</v>
      </c>
      <c r="BR470" t="s">
        <v>102</v>
      </c>
      <c r="BS470" t="s">
        <v>9050</v>
      </c>
      <c r="BT470" t="str">
        <f>HYPERLINK("https%3A%2F%2Fwww.webofscience.com%2Fwos%2Fwoscc%2Ffull-record%2FWOS:000427903700003","View Full Record in Web of Science")</f>
        <v>View Full Record in Web of Science</v>
      </c>
    </row>
    <row r="471" spans="1:72" x14ac:dyDescent="0.2">
      <c r="A471" t="s">
        <v>72</v>
      </c>
      <c r="B471" t="s">
        <v>9051</v>
      </c>
      <c r="C471" t="s">
        <v>74</v>
      </c>
      <c r="D471" t="s">
        <v>74</v>
      </c>
      <c r="E471" t="s">
        <v>74</v>
      </c>
      <c r="F471" t="s">
        <v>9052</v>
      </c>
      <c r="G471" t="s">
        <v>74</v>
      </c>
      <c r="H471" t="s">
        <v>74</v>
      </c>
      <c r="I471" t="s">
        <v>9053</v>
      </c>
      <c r="J471" t="s">
        <v>9054</v>
      </c>
      <c r="K471" t="s">
        <v>74</v>
      </c>
      <c r="L471" t="s">
        <v>74</v>
      </c>
      <c r="M471" t="s">
        <v>78</v>
      </c>
      <c r="N471" t="s">
        <v>108</v>
      </c>
      <c r="O471" t="s">
        <v>74</v>
      </c>
      <c r="P471" t="s">
        <v>74</v>
      </c>
      <c r="Q471" t="s">
        <v>74</v>
      </c>
      <c r="R471" t="s">
        <v>74</v>
      </c>
      <c r="S471" t="s">
        <v>74</v>
      </c>
      <c r="T471" t="s">
        <v>9055</v>
      </c>
      <c r="U471" t="s">
        <v>9056</v>
      </c>
      <c r="V471" t="s">
        <v>9057</v>
      </c>
      <c r="W471" t="s">
        <v>9058</v>
      </c>
      <c r="X471" t="s">
        <v>9059</v>
      </c>
      <c r="Y471" t="s">
        <v>9060</v>
      </c>
      <c r="Z471" t="s">
        <v>9061</v>
      </c>
      <c r="AA471" t="s">
        <v>9062</v>
      </c>
      <c r="AB471" t="s">
        <v>9063</v>
      </c>
      <c r="AC471" t="s">
        <v>74</v>
      </c>
      <c r="AD471" t="s">
        <v>74</v>
      </c>
      <c r="AE471" t="s">
        <v>74</v>
      </c>
      <c r="AF471" t="s">
        <v>74</v>
      </c>
      <c r="AG471">
        <v>35</v>
      </c>
      <c r="AH471">
        <v>3</v>
      </c>
      <c r="AI471">
        <v>3</v>
      </c>
      <c r="AJ471">
        <v>0</v>
      </c>
      <c r="AK471">
        <v>11</v>
      </c>
      <c r="AL471" t="s">
        <v>437</v>
      </c>
      <c r="AM471" t="s">
        <v>438</v>
      </c>
      <c r="AN471" t="s">
        <v>439</v>
      </c>
      <c r="AO471" t="s">
        <v>9064</v>
      </c>
      <c r="AP471" t="s">
        <v>9065</v>
      </c>
      <c r="AQ471" t="s">
        <v>74</v>
      </c>
      <c r="AR471" t="s">
        <v>9066</v>
      </c>
      <c r="AS471" t="s">
        <v>9067</v>
      </c>
      <c r="AT471" t="s">
        <v>6567</v>
      </c>
      <c r="AU471">
        <v>2020</v>
      </c>
      <c r="AV471">
        <v>17</v>
      </c>
      <c r="AW471">
        <v>1</v>
      </c>
      <c r="AX471" t="s">
        <v>74</v>
      </c>
      <c r="AY471" t="s">
        <v>74</v>
      </c>
      <c r="AZ471" t="s">
        <v>74</v>
      </c>
      <c r="BA471" t="s">
        <v>74</v>
      </c>
      <c r="BB471">
        <v>131</v>
      </c>
      <c r="BC471">
        <v>159</v>
      </c>
      <c r="BD471" t="s">
        <v>74</v>
      </c>
      <c r="BE471" t="s">
        <v>9068</v>
      </c>
      <c r="BF471" t="str">
        <f>HYPERLINK("http://dx.doi.org/10.1108/JAMR-04-2019-0053","http://dx.doi.org/10.1108/JAMR-04-2019-0053")</f>
        <v>http://dx.doi.org/10.1108/JAMR-04-2019-0053</v>
      </c>
      <c r="BG471" t="s">
        <v>74</v>
      </c>
      <c r="BH471" t="s">
        <v>74</v>
      </c>
      <c r="BI471">
        <v>29</v>
      </c>
      <c r="BJ471" t="s">
        <v>418</v>
      </c>
      <c r="BK471" t="s">
        <v>124</v>
      </c>
      <c r="BL471" t="s">
        <v>419</v>
      </c>
      <c r="BM471" t="s">
        <v>9069</v>
      </c>
      <c r="BN471" t="s">
        <v>74</v>
      </c>
      <c r="BO471" t="s">
        <v>74</v>
      </c>
      <c r="BP471" t="s">
        <v>74</v>
      </c>
      <c r="BQ471" t="s">
        <v>74</v>
      </c>
      <c r="BR471" t="s">
        <v>102</v>
      </c>
      <c r="BS471" t="s">
        <v>9070</v>
      </c>
      <c r="BT471" t="str">
        <f>HYPERLINK("https%3A%2F%2Fwww.webofscience.com%2Fwos%2Fwoscc%2Ffull-record%2FWOS:000506950100001","View Full Record in Web of Science")</f>
        <v>View Full Record in Web of Science</v>
      </c>
    </row>
    <row r="472" spans="1:72" x14ac:dyDescent="0.2">
      <c r="A472" t="s">
        <v>72</v>
      </c>
      <c r="B472" t="s">
        <v>9071</v>
      </c>
      <c r="C472" t="s">
        <v>74</v>
      </c>
      <c r="D472" t="s">
        <v>74</v>
      </c>
      <c r="E472" t="s">
        <v>74</v>
      </c>
      <c r="F472" t="s">
        <v>9072</v>
      </c>
      <c r="G472" t="s">
        <v>74</v>
      </c>
      <c r="H472" t="s">
        <v>74</v>
      </c>
      <c r="I472" t="s">
        <v>9073</v>
      </c>
      <c r="J472" t="s">
        <v>4126</v>
      </c>
      <c r="K472" t="s">
        <v>74</v>
      </c>
      <c r="L472" t="s">
        <v>74</v>
      </c>
      <c r="M472" t="s">
        <v>78</v>
      </c>
      <c r="N472" t="s">
        <v>79</v>
      </c>
      <c r="O472" t="s">
        <v>74</v>
      </c>
      <c r="P472" t="s">
        <v>74</v>
      </c>
      <c r="Q472" t="s">
        <v>74</v>
      </c>
      <c r="R472" t="s">
        <v>74</v>
      </c>
      <c r="S472" t="s">
        <v>74</v>
      </c>
      <c r="T472" t="s">
        <v>9074</v>
      </c>
      <c r="U472" t="s">
        <v>9075</v>
      </c>
      <c r="V472" t="s">
        <v>9076</v>
      </c>
      <c r="W472" t="s">
        <v>9077</v>
      </c>
      <c r="X472" t="s">
        <v>9078</v>
      </c>
      <c r="Y472" t="s">
        <v>9079</v>
      </c>
      <c r="Z472" t="s">
        <v>9080</v>
      </c>
      <c r="AA472" t="s">
        <v>9081</v>
      </c>
      <c r="AB472" t="s">
        <v>9082</v>
      </c>
      <c r="AC472" t="s">
        <v>74</v>
      </c>
      <c r="AD472" t="s">
        <v>74</v>
      </c>
      <c r="AE472" t="s">
        <v>74</v>
      </c>
      <c r="AF472" t="s">
        <v>74</v>
      </c>
      <c r="AG472">
        <v>178</v>
      </c>
      <c r="AH472">
        <v>6</v>
      </c>
      <c r="AI472">
        <v>6</v>
      </c>
      <c r="AJ472">
        <v>11</v>
      </c>
      <c r="AK472">
        <v>89</v>
      </c>
      <c r="AL472" t="s">
        <v>437</v>
      </c>
      <c r="AM472" t="s">
        <v>438</v>
      </c>
      <c r="AN472" t="s">
        <v>439</v>
      </c>
      <c r="AO472" t="s">
        <v>4136</v>
      </c>
      <c r="AP472" t="s">
        <v>4137</v>
      </c>
      <c r="AQ472" t="s">
        <v>74</v>
      </c>
      <c r="AR472" t="s">
        <v>4138</v>
      </c>
      <c r="AS472" t="s">
        <v>4139</v>
      </c>
      <c r="AT472" t="s">
        <v>9083</v>
      </c>
      <c r="AU472">
        <v>2022</v>
      </c>
      <c r="AV472">
        <v>35</v>
      </c>
      <c r="AW472">
        <v>2</v>
      </c>
      <c r="AX472" t="s">
        <v>74</v>
      </c>
      <c r="AY472" t="s">
        <v>74</v>
      </c>
      <c r="AZ472" t="s">
        <v>74</v>
      </c>
      <c r="BA472" t="s">
        <v>74</v>
      </c>
      <c r="BB472">
        <v>617</v>
      </c>
      <c r="BC472">
        <v>649</v>
      </c>
      <c r="BD472" t="s">
        <v>74</v>
      </c>
      <c r="BE472" t="s">
        <v>9084</v>
      </c>
      <c r="BF472" t="str">
        <f>HYPERLINK("http://dx.doi.org/10.1108/JEIM-08-2020-0322","http://dx.doi.org/10.1108/JEIM-08-2020-0322")</f>
        <v>http://dx.doi.org/10.1108/JEIM-08-2020-0322</v>
      </c>
      <c r="BG472" t="s">
        <v>74</v>
      </c>
      <c r="BH472" t="s">
        <v>4013</v>
      </c>
      <c r="BI472">
        <v>33</v>
      </c>
      <c r="BJ472" t="s">
        <v>4142</v>
      </c>
      <c r="BK472" t="s">
        <v>242</v>
      </c>
      <c r="BL472" t="s">
        <v>4143</v>
      </c>
      <c r="BM472" t="s">
        <v>9085</v>
      </c>
      <c r="BN472" t="s">
        <v>74</v>
      </c>
      <c r="BO472" t="s">
        <v>74</v>
      </c>
      <c r="BP472" t="s">
        <v>74</v>
      </c>
      <c r="BQ472" t="s">
        <v>74</v>
      </c>
      <c r="BR472" t="s">
        <v>102</v>
      </c>
      <c r="BS472" t="s">
        <v>9086</v>
      </c>
      <c r="BT472" t="str">
        <f>HYPERLINK("https%3A%2F%2Fwww.webofscience.com%2Fwos%2Fwoscc%2Ffull-record%2FWOS:000660361800001","View Full Record in Web of Science")</f>
        <v>View Full Record in Web of Science</v>
      </c>
    </row>
    <row r="473" spans="1:72" x14ac:dyDescent="0.2">
      <c r="A473" t="s">
        <v>72</v>
      </c>
      <c r="B473" t="s">
        <v>9087</v>
      </c>
      <c r="C473" t="s">
        <v>74</v>
      </c>
      <c r="D473" t="s">
        <v>74</v>
      </c>
      <c r="E473" t="s">
        <v>74</v>
      </c>
      <c r="F473" t="s">
        <v>9088</v>
      </c>
      <c r="G473" t="s">
        <v>74</v>
      </c>
      <c r="H473" t="s">
        <v>74</v>
      </c>
      <c r="I473" t="s">
        <v>9089</v>
      </c>
      <c r="J473" t="s">
        <v>9090</v>
      </c>
      <c r="K473" t="s">
        <v>74</v>
      </c>
      <c r="L473" t="s">
        <v>74</v>
      </c>
      <c r="M473" t="s">
        <v>78</v>
      </c>
      <c r="N473" t="s">
        <v>108</v>
      </c>
      <c r="O473" t="s">
        <v>74</v>
      </c>
      <c r="P473" t="s">
        <v>74</v>
      </c>
      <c r="Q473" t="s">
        <v>74</v>
      </c>
      <c r="R473" t="s">
        <v>74</v>
      </c>
      <c r="S473" t="s">
        <v>74</v>
      </c>
      <c r="T473" t="s">
        <v>9091</v>
      </c>
      <c r="U473" t="s">
        <v>9092</v>
      </c>
      <c r="V473" t="s">
        <v>9093</v>
      </c>
      <c r="W473" t="s">
        <v>9094</v>
      </c>
      <c r="X473" t="s">
        <v>9095</v>
      </c>
      <c r="Y473" t="s">
        <v>9096</v>
      </c>
      <c r="Z473" t="s">
        <v>9097</v>
      </c>
      <c r="AA473" t="s">
        <v>74</v>
      </c>
      <c r="AB473" t="s">
        <v>9098</v>
      </c>
      <c r="AC473" t="s">
        <v>9099</v>
      </c>
      <c r="AD473" t="s">
        <v>9100</v>
      </c>
      <c r="AE473" t="s">
        <v>9101</v>
      </c>
      <c r="AF473" t="s">
        <v>74</v>
      </c>
      <c r="AG473">
        <v>82</v>
      </c>
      <c r="AH473">
        <v>5</v>
      </c>
      <c r="AI473">
        <v>5</v>
      </c>
      <c r="AJ473">
        <v>6</v>
      </c>
      <c r="AK473">
        <v>75</v>
      </c>
      <c r="AL473" t="s">
        <v>437</v>
      </c>
      <c r="AM473" t="s">
        <v>438</v>
      </c>
      <c r="AN473" t="s">
        <v>439</v>
      </c>
      <c r="AO473" t="s">
        <v>9102</v>
      </c>
      <c r="AP473" t="s">
        <v>9103</v>
      </c>
      <c r="AQ473" t="s">
        <v>74</v>
      </c>
      <c r="AR473" t="s">
        <v>9104</v>
      </c>
      <c r="AS473" t="s">
        <v>9105</v>
      </c>
      <c r="AT473" t="s">
        <v>74</v>
      </c>
      <c r="AU473">
        <v>2019</v>
      </c>
      <c r="AV473">
        <v>37</v>
      </c>
      <c r="AW473">
        <v>1</v>
      </c>
      <c r="AX473" t="s">
        <v>74</v>
      </c>
      <c r="AY473" t="s">
        <v>74</v>
      </c>
      <c r="AZ473" t="s">
        <v>74</v>
      </c>
      <c r="BA473" t="s">
        <v>74</v>
      </c>
      <c r="BB473">
        <v>127</v>
      </c>
      <c r="BC473">
        <v>154</v>
      </c>
      <c r="BD473" t="s">
        <v>74</v>
      </c>
      <c r="BE473" t="s">
        <v>9106</v>
      </c>
      <c r="BF473" t="str">
        <f>HYPERLINK("http://dx.doi.org/10.1108/EL-11-2017-0241","http://dx.doi.org/10.1108/EL-11-2017-0241")</f>
        <v>http://dx.doi.org/10.1108/EL-11-2017-0241</v>
      </c>
      <c r="BG473" t="s">
        <v>74</v>
      </c>
      <c r="BH473" t="s">
        <v>74</v>
      </c>
      <c r="BI473">
        <v>28</v>
      </c>
      <c r="BJ473" t="s">
        <v>2102</v>
      </c>
      <c r="BK473" t="s">
        <v>242</v>
      </c>
      <c r="BL473" t="s">
        <v>2102</v>
      </c>
      <c r="BM473" t="s">
        <v>9107</v>
      </c>
      <c r="BN473" t="s">
        <v>74</v>
      </c>
      <c r="BO473" t="s">
        <v>74</v>
      </c>
      <c r="BP473" t="s">
        <v>74</v>
      </c>
      <c r="BQ473" t="s">
        <v>74</v>
      </c>
      <c r="BR473" t="s">
        <v>102</v>
      </c>
      <c r="BS473" t="s">
        <v>9108</v>
      </c>
      <c r="BT473" t="str">
        <f>HYPERLINK("https%3A%2F%2Fwww.webofscience.com%2Fwos%2Fwoscc%2Ffull-record%2FWOS:000469048300009","View Full Record in Web of Science")</f>
        <v>View Full Record in Web of Science</v>
      </c>
    </row>
    <row r="474" spans="1:72" x14ac:dyDescent="0.2">
      <c r="A474" t="s">
        <v>72</v>
      </c>
      <c r="B474" t="s">
        <v>9109</v>
      </c>
      <c r="C474" t="s">
        <v>74</v>
      </c>
      <c r="D474" t="s">
        <v>74</v>
      </c>
      <c r="E474" t="s">
        <v>74</v>
      </c>
      <c r="F474" t="s">
        <v>9110</v>
      </c>
      <c r="G474" t="s">
        <v>74</v>
      </c>
      <c r="H474" t="s">
        <v>74</v>
      </c>
      <c r="I474" t="s">
        <v>9111</v>
      </c>
      <c r="J474" t="s">
        <v>6530</v>
      </c>
      <c r="K474" t="s">
        <v>74</v>
      </c>
      <c r="L474" t="s">
        <v>74</v>
      </c>
      <c r="M474" t="s">
        <v>78</v>
      </c>
      <c r="N474" t="s">
        <v>108</v>
      </c>
      <c r="O474" t="s">
        <v>74</v>
      </c>
      <c r="P474" t="s">
        <v>74</v>
      </c>
      <c r="Q474" t="s">
        <v>74</v>
      </c>
      <c r="R474" t="s">
        <v>74</v>
      </c>
      <c r="S474" t="s">
        <v>74</v>
      </c>
      <c r="T474" t="s">
        <v>9112</v>
      </c>
      <c r="U474" t="s">
        <v>74</v>
      </c>
      <c r="V474" t="s">
        <v>9113</v>
      </c>
      <c r="W474" t="s">
        <v>9114</v>
      </c>
      <c r="X474" t="s">
        <v>9115</v>
      </c>
      <c r="Y474" t="s">
        <v>9116</v>
      </c>
      <c r="Z474" t="s">
        <v>9117</v>
      </c>
      <c r="AA474" t="s">
        <v>9118</v>
      </c>
      <c r="AB474" t="s">
        <v>9119</v>
      </c>
      <c r="AC474" t="s">
        <v>74</v>
      </c>
      <c r="AD474" t="s">
        <v>74</v>
      </c>
      <c r="AE474" t="s">
        <v>74</v>
      </c>
      <c r="AF474" t="s">
        <v>74</v>
      </c>
      <c r="AG474">
        <v>46</v>
      </c>
      <c r="AH474">
        <v>1</v>
      </c>
      <c r="AI474">
        <v>1</v>
      </c>
      <c r="AJ474">
        <v>11</v>
      </c>
      <c r="AK474">
        <v>14</v>
      </c>
      <c r="AL474" t="s">
        <v>116</v>
      </c>
      <c r="AM474" t="s">
        <v>117</v>
      </c>
      <c r="AN474" t="s">
        <v>118</v>
      </c>
      <c r="AO474" t="s">
        <v>74</v>
      </c>
      <c r="AP474" t="s">
        <v>6541</v>
      </c>
      <c r="AQ474" t="s">
        <v>74</v>
      </c>
      <c r="AR474" t="s">
        <v>6530</v>
      </c>
      <c r="AS474" t="s">
        <v>6542</v>
      </c>
      <c r="AT474" t="s">
        <v>738</v>
      </c>
      <c r="AU474">
        <v>2023</v>
      </c>
      <c r="AV474">
        <v>13</v>
      </c>
      <c r="AW474">
        <v>2</v>
      </c>
      <c r="AX474" t="s">
        <v>74</v>
      </c>
      <c r="AY474" t="s">
        <v>74</v>
      </c>
      <c r="AZ474" t="s">
        <v>74</v>
      </c>
      <c r="BA474" t="s">
        <v>74</v>
      </c>
      <c r="BB474" t="s">
        <v>74</v>
      </c>
      <c r="BC474" t="s">
        <v>74</v>
      </c>
      <c r="BD474">
        <v>401</v>
      </c>
      <c r="BE474" t="s">
        <v>9120</v>
      </c>
      <c r="BF474" t="str">
        <f>HYPERLINK("http://dx.doi.org/10.3390/agronomy13020401","http://dx.doi.org/10.3390/agronomy13020401")</f>
        <v>http://dx.doi.org/10.3390/agronomy13020401</v>
      </c>
      <c r="BG474" t="s">
        <v>74</v>
      </c>
      <c r="BH474" t="s">
        <v>74</v>
      </c>
      <c r="BI474">
        <v>14</v>
      </c>
      <c r="BJ474" t="s">
        <v>6544</v>
      </c>
      <c r="BK474" t="s">
        <v>98</v>
      </c>
      <c r="BL474" t="s">
        <v>6545</v>
      </c>
      <c r="BM474" t="s">
        <v>9121</v>
      </c>
      <c r="BN474" t="s">
        <v>74</v>
      </c>
      <c r="BO474" t="s">
        <v>126</v>
      </c>
      <c r="BP474" t="s">
        <v>74</v>
      </c>
      <c r="BQ474" t="s">
        <v>74</v>
      </c>
      <c r="BR474" t="s">
        <v>102</v>
      </c>
      <c r="BS474" t="s">
        <v>9122</v>
      </c>
      <c r="BT474" t="str">
        <f>HYPERLINK("https%3A%2F%2Fwww.webofscience.com%2Fwos%2Fwoscc%2Ffull-record%2FWOS:000938061400001","View Full Record in Web of Science")</f>
        <v>View Full Record in Web of Science</v>
      </c>
    </row>
    <row r="475" spans="1:72" x14ac:dyDescent="0.2">
      <c r="A475" t="s">
        <v>475</v>
      </c>
      <c r="B475" t="s">
        <v>9123</v>
      </c>
      <c r="C475" t="s">
        <v>74</v>
      </c>
      <c r="D475" t="s">
        <v>9124</v>
      </c>
      <c r="E475" t="s">
        <v>74</v>
      </c>
      <c r="F475" t="s">
        <v>9125</v>
      </c>
      <c r="G475" t="s">
        <v>74</v>
      </c>
      <c r="H475" t="s">
        <v>74</v>
      </c>
      <c r="I475" t="s">
        <v>9126</v>
      </c>
      <c r="J475" t="s">
        <v>9127</v>
      </c>
      <c r="K475" t="s">
        <v>2352</v>
      </c>
      <c r="L475" t="s">
        <v>74</v>
      </c>
      <c r="M475" t="s">
        <v>78</v>
      </c>
      <c r="N475" t="s">
        <v>482</v>
      </c>
      <c r="O475" t="s">
        <v>9128</v>
      </c>
      <c r="P475" t="s">
        <v>9129</v>
      </c>
      <c r="Q475" t="s">
        <v>9130</v>
      </c>
      <c r="R475" t="s">
        <v>74</v>
      </c>
      <c r="S475" t="s">
        <v>9131</v>
      </c>
      <c r="T475" t="s">
        <v>9132</v>
      </c>
      <c r="U475" t="s">
        <v>74</v>
      </c>
      <c r="V475" t="s">
        <v>9133</v>
      </c>
      <c r="W475" t="s">
        <v>9134</v>
      </c>
      <c r="X475" t="s">
        <v>9135</v>
      </c>
      <c r="Y475" t="s">
        <v>9136</v>
      </c>
      <c r="Z475" t="s">
        <v>9137</v>
      </c>
      <c r="AA475" t="s">
        <v>74</v>
      </c>
      <c r="AB475" t="s">
        <v>74</v>
      </c>
      <c r="AC475" t="s">
        <v>74</v>
      </c>
      <c r="AD475" t="s">
        <v>74</v>
      </c>
      <c r="AE475" t="s">
        <v>74</v>
      </c>
      <c r="AF475" t="s">
        <v>74</v>
      </c>
      <c r="AG475">
        <v>8</v>
      </c>
      <c r="AH475">
        <v>0</v>
      </c>
      <c r="AI475">
        <v>0</v>
      </c>
      <c r="AJ475">
        <v>0</v>
      </c>
      <c r="AK475">
        <v>2</v>
      </c>
      <c r="AL475" t="s">
        <v>2363</v>
      </c>
      <c r="AM475" t="s">
        <v>2364</v>
      </c>
      <c r="AN475" t="s">
        <v>2365</v>
      </c>
      <c r="AO475" t="s">
        <v>2366</v>
      </c>
      <c r="AP475" t="s">
        <v>2367</v>
      </c>
      <c r="AQ475" t="s">
        <v>9138</v>
      </c>
      <c r="AR475" t="s">
        <v>2369</v>
      </c>
      <c r="AS475" t="s">
        <v>74</v>
      </c>
      <c r="AT475" t="s">
        <v>74</v>
      </c>
      <c r="AU475">
        <v>2006</v>
      </c>
      <c r="AV475">
        <v>4256</v>
      </c>
      <c r="AW475" t="s">
        <v>74</v>
      </c>
      <c r="AX475" t="s">
        <v>74</v>
      </c>
      <c r="AY475" t="s">
        <v>74</v>
      </c>
      <c r="AZ475" t="s">
        <v>74</v>
      </c>
      <c r="BA475" t="s">
        <v>74</v>
      </c>
      <c r="BB475">
        <v>216</v>
      </c>
      <c r="BC475">
        <v>222</v>
      </c>
      <c r="BD475" t="s">
        <v>74</v>
      </c>
      <c r="BE475" t="s">
        <v>74</v>
      </c>
      <c r="BF475" t="s">
        <v>74</v>
      </c>
      <c r="BG475" t="s">
        <v>74</v>
      </c>
      <c r="BH475" t="s">
        <v>74</v>
      </c>
      <c r="BI475">
        <v>7</v>
      </c>
      <c r="BJ475" t="s">
        <v>6997</v>
      </c>
      <c r="BK475" t="s">
        <v>2370</v>
      </c>
      <c r="BL475" t="s">
        <v>99</v>
      </c>
      <c r="BM475" t="s">
        <v>9139</v>
      </c>
      <c r="BN475" t="s">
        <v>74</v>
      </c>
      <c r="BO475" t="s">
        <v>74</v>
      </c>
      <c r="BP475" t="s">
        <v>74</v>
      </c>
      <c r="BQ475" t="s">
        <v>74</v>
      </c>
      <c r="BR475" t="s">
        <v>102</v>
      </c>
      <c r="BS475" t="s">
        <v>9140</v>
      </c>
      <c r="BT475" t="str">
        <f>HYPERLINK("https%3A%2F%2Fwww.webofscience.com%2Fwos%2Fwoscc%2Ffull-record%2FWOS:000241624300021","View Full Record in Web of Science")</f>
        <v>View Full Record in Web of Science</v>
      </c>
    </row>
    <row r="476" spans="1:72" x14ac:dyDescent="0.2">
      <c r="A476" t="s">
        <v>72</v>
      </c>
      <c r="B476" t="s">
        <v>9141</v>
      </c>
      <c r="C476" t="s">
        <v>74</v>
      </c>
      <c r="D476" t="s">
        <v>74</v>
      </c>
      <c r="E476" t="s">
        <v>74</v>
      </c>
      <c r="F476" t="s">
        <v>9142</v>
      </c>
      <c r="G476" t="s">
        <v>74</v>
      </c>
      <c r="H476" t="s">
        <v>74</v>
      </c>
      <c r="I476" t="s">
        <v>9143</v>
      </c>
      <c r="J476" t="s">
        <v>5545</v>
      </c>
      <c r="K476" t="s">
        <v>74</v>
      </c>
      <c r="L476" t="s">
        <v>74</v>
      </c>
      <c r="M476" t="s">
        <v>78</v>
      </c>
      <c r="N476" t="s">
        <v>108</v>
      </c>
      <c r="O476" t="s">
        <v>74</v>
      </c>
      <c r="P476" t="s">
        <v>74</v>
      </c>
      <c r="Q476" t="s">
        <v>74</v>
      </c>
      <c r="R476" t="s">
        <v>74</v>
      </c>
      <c r="S476" t="s">
        <v>74</v>
      </c>
      <c r="T476" t="s">
        <v>9144</v>
      </c>
      <c r="U476" t="s">
        <v>9145</v>
      </c>
      <c r="V476" t="s">
        <v>9146</v>
      </c>
      <c r="W476" t="s">
        <v>9147</v>
      </c>
      <c r="X476" t="s">
        <v>9148</v>
      </c>
      <c r="Y476" t="s">
        <v>9149</v>
      </c>
      <c r="Z476" t="s">
        <v>9150</v>
      </c>
      <c r="AA476" t="s">
        <v>9151</v>
      </c>
      <c r="AB476" t="s">
        <v>9152</v>
      </c>
      <c r="AC476" t="s">
        <v>9153</v>
      </c>
      <c r="AD476" t="s">
        <v>987</v>
      </c>
      <c r="AE476" t="s">
        <v>9154</v>
      </c>
      <c r="AF476" t="s">
        <v>74</v>
      </c>
      <c r="AG476">
        <v>82</v>
      </c>
      <c r="AH476">
        <v>14</v>
      </c>
      <c r="AI476">
        <v>14</v>
      </c>
      <c r="AJ476">
        <v>5</v>
      </c>
      <c r="AK476">
        <v>70</v>
      </c>
      <c r="AL476" t="s">
        <v>437</v>
      </c>
      <c r="AM476" t="s">
        <v>438</v>
      </c>
      <c r="AN476" t="s">
        <v>439</v>
      </c>
      <c r="AO476" t="s">
        <v>5556</v>
      </c>
      <c r="AP476" t="s">
        <v>5557</v>
      </c>
      <c r="AQ476" t="s">
        <v>74</v>
      </c>
      <c r="AR476" t="s">
        <v>5558</v>
      </c>
      <c r="AS476" t="s">
        <v>5559</v>
      </c>
      <c r="AT476" t="s">
        <v>74</v>
      </c>
      <c r="AU476">
        <v>2018</v>
      </c>
      <c r="AV476">
        <v>38</v>
      </c>
      <c r="AW476">
        <v>8</v>
      </c>
      <c r="AX476" t="s">
        <v>74</v>
      </c>
      <c r="AY476" t="s">
        <v>74</v>
      </c>
      <c r="AZ476" t="s">
        <v>74</v>
      </c>
      <c r="BA476" t="s">
        <v>74</v>
      </c>
      <c r="BB476">
        <v>1683</v>
      </c>
      <c r="BC476">
        <v>1704</v>
      </c>
      <c r="BD476" t="s">
        <v>74</v>
      </c>
      <c r="BE476" t="s">
        <v>9155</v>
      </c>
      <c r="BF476" t="str">
        <f>HYPERLINK("http://dx.doi.org/10.1108/IJOPM-08-2017-0470","http://dx.doi.org/10.1108/IJOPM-08-2017-0470")</f>
        <v>http://dx.doi.org/10.1108/IJOPM-08-2017-0470</v>
      </c>
      <c r="BG476" t="s">
        <v>74</v>
      </c>
      <c r="BH476" t="s">
        <v>74</v>
      </c>
      <c r="BI476">
        <v>22</v>
      </c>
      <c r="BJ476" t="s">
        <v>418</v>
      </c>
      <c r="BK476" t="s">
        <v>242</v>
      </c>
      <c r="BL476" t="s">
        <v>419</v>
      </c>
      <c r="BM476" t="s">
        <v>9156</v>
      </c>
      <c r="BN476" t="s">
        <v>74</v>
      </c>
      <c r="BO476" t="s">
        <v>74</v>
      </c>
      <c r="BP476" t="s">
        <v>74</v>
      </c>
      <c r="BQ476" t="s">
        <v>74</v>
      </c>
      <c r="BR476" t="s">
        <v>102</v>
      </c>
      <c r="BS476" t="s">
        <v>9157</v>
      </c>
      <c r="BT476" t="str">
        <f>HYPERLINK("https%3A%2F%2Fwww.webofscience.com%2Fwos%2Fwoscc%2Ffull-record%2FWOS:000437303600004","View Full Record in Web of Science")</f>
        <v>View Full Record in Web of Science</v>
      </c>
    </row>
    <row r="477" spans="1:72" x14ac:dyDescent="0.2">
      <c r="A477" t="s">
        <v>72</v>
      </c>
      <c r="B477" t="s">
        <v>9158</v>
      </c>
      <c r="C477" t="s">
        <v>74</v>
      </c>
      <c r="D477" t="s">
        <v>74</v>
      </c>
      <c r="E477" t="s">
        <v>74</v>
      </c>
      <c r="F477" t="s">
        <v>9159</v>
      </c>
      <c r="G477" t="s">
        <v>74</v>
      </c>
      <c r="H477" t="s">
        <v>74</v>
      </c>
      <c r="I477" t="s">
        <v>9160</v>
      </c>
      <c r="J477" t="s">
        <v>7513</v>
      </c>
      <c r="K477" t="s">
        <v>74</v>
      </c>
      <c r="L477" t="s">
        <v>74</v>
      </c>
      <c r="M477" t="s">
        <v>78</v>
      </c>
      <c r="N477" t="s">
        <v>108</v>
      </c>
      <c r="O477" t="s">
        <v>74</v>
      </c>
      <c r="P477" t="s">
        <v>74</v>
      </c>
      <c r="Q477" t="s">
        <v>74</v>
      </c>
      <c r="R477" t="s">
        <v>74</v>
      </c>
      <c r="S477" t="s">
        <v>74</v>
      </c>
      <c r="T477" t="s">
        <v>74</v>
      </c>
      <c r="U477" t="s">
        <v>9161</v>
      </c>
      <c r="V477" t="s">
        <v>9162</v>
      </c>
      <c r="W477" t="s">
        <v>9163</v>
      </c>
      <c r="X477" t="s">
        <v>9164</v>
      </c>
      <c r="Y477" t="s">
        <v>9165</v>
      </c>
      <c r="Z477" t="s">
        <v>9166</v>
      </c>
      <c r="AA477" t="s">
        <v>74</v>
      </c>
      <c r="AB477" t="s">
        <v>74</v>
      </c>
      <c r="AC477" t="s">
        <v>9167</v>
      </c>
      <c r="AD477" t="s">
        <v>9168</v>
      </c>
      <c r="AE477" t="s">
        <v>9169</v>
      </c>
      <c r="AF477" t="s">
        <v>74</v>
      </c>
      <c r="AG477">
        <v>24</v>
      </c>
      <c r="AH477">
        <v>0</v>
      </c>
      <c r="AI477">
        <v>0</v>
      </c>
      <c r="AJ477">
        <v>6</v>
      </c>
      <c r="AK477">
        <v>17</v>
      </c>
      <c r="AL477" t="s">
        <v>3963</v>
      </c>
      <c r="AM477" t="s">
        <v>90</v>
      </c>
      <c r="AN477" t="s">
        <v>3964</v>
      </c>
      <c r="AO477" t="s">
        <v>7519</v>
      </c>
      <c r="AP477" t="s">
        <v>7520</v>
      </c>
      <c r="AQ477" t="s">
        <v>74</v>
      </c>
      <c r="AR477" t="s">
        <v>7521</v>
      </c>
      <c r="AS477" t="s">
        <v>7522</v>
      </c>
      <c r="AT477" t="s">
        <v>9170</v>
      </c>
      <c r="AU477">
        <v>2022</v>
      </c>
      <c r="AV477">
        <v>2022</v>
      </c>
      <c r="AW477" t="s">
        <v>74</v>
      </c>
      <c r="AX477" t="s">
        <v>74</v>
      </c>
      <c r="AY477" t="s">
        <v>74</v>
      </c>
      <c r="AZ477" t="s">
        <v>74</v>
      </c>
      <c r="BA477" t="s">
        <v>74</v>
      </c>
      <c r="BB477" t="s">
        <v>74</v>
      </c>
      <c r="BC477" t="s">
        <v>74</v>
      </c>
      <c r="BD477">
        <v>6385201</v>
      </c>
      <c r="BE477" t="s">
        <v>9171</v>
      </c>
      <c r="BF477" t="str">
        <f>HYPERLINK("http://dx.doi.org/10.1155/2022/6385201","http://dx.doi.org/10.1155/2022/6385201")</f>
        <v>http://dx.doi.org/10.1155/2022/6385201</v>
      </c>
      <c r="BG477" t="s">
        <v>74</v>
      </c>
      <c r="BH477" t="s">
        <v>74</v>
      </c>
      <c r="BI477">
        <v>11</v>
      </c>
      <c r="BJ477" t="s">
        <v>7525</v>
      </c>
      <c r="BK477" t="s">
        <v>98</v>
      </c>
      <c r="BL477" t="s">
        <v>7526</v>
      </c>
      <c r="BM477" t="s">
        <v>9172</v>
      </c>
      <c r="BN477" t="s">
        <v>74</v>
      </c>
      <c r="BO477" t="s">
        <v>126</v>
      </c>
      <c r="BP477" t="s">
        <v>74</v>
      </c>
      <c r="BQ477" t="s">
        <v>74</v>
      </c>
      <c r="BR477" t="s">
        <v>102</v>
      </c>
      <c r="BS477" t="s">
        <v>9173</v>
      </c>
      <c r="BT477" t="str">
        <f>HYPERLINK("https%3A%2F%2Fwww.webofscience.com%2Fwos%2Fwoscc%2Ffull-record%2FWOS:000807802000002","View Full Record in Web of Science")</f>
        <v>View Full Record in Web of Science</v>
      </c>
    </row>
    <row r="478" spans="1:72" x14ac:dyDescent="0.2">
      <c r="A478" t="s">
        <v>72</v>
      </c>
      <c r="B478" t="s">
        <v>9174</v>
      </c>
      <c r="C478" t="s">
        <v>74</v>
      </c>
      <c r="D478" t="s">
        <v>74</v>
      </c>
      <c r="E478" t="s">
        <v>74</v>
      </c>
      <c r="F478" t="s">
        <v>9175</v>
      </c>
      <c r="G478" t="s">
        <v>74</v>
      </c>
      <c r="H478" t="s">
        <v>74</v>
      </c>
      <c r="I478" t="s">
        <v>9176</v>
      </c>
      <c r="J478" t="s">
        <v>3951</v>
      </c>
      <c r="K478" t="s">
        <v>74</v>
      </c>
      <c r="L478" t="s">
        <v>74</v>
      </c>
      <c r="M478" t="s">
        <v>78</v>
      </c>
      <c r="N478" t="s">
        <v>108</v>
      </c>
      <c r="O478" t="s">
        <v>74</v>
      </c>
      <c r="P478" t="s">
        <v>74</v>
      </c>
      <c r="Q478" t="s">
        <v>74</v>
      </c>
      <c r="R478" t="s">
        <v>74</v>
      </c>
      <c r="S478" t="s">
        <v>74</v>
      </c>
      <c r="T478" t="s">
        <v>74</v>
      </c>
      <c r="U478" t="s">
        <v>9177</v>
      </c>
      <c r="V478" t="s">
        <v>9178</v>
      </c>
      <c r="W478" t="s">
        <v>9179</v>
      </c>
      <c r="X478" t="s">
        <v>9180</v>
      </c>
      <c r="Y478" t="s">
        <v>9181</v>
      </c>
      <c r="Z478" t="s">
        <v>9182</v>
      </c>
      <c r="AA478" t="s">
        <v>9183</v>
      </c>
      <c r="AB478" t="s">
        <v>9184</v>
      </c>
      <c r="AC478" t="s">
        <v>74</v>
      </c>
      <c r="AD478" t="s">
        <v>74</v>
      </c>
      <c r="AE478" t="s">
        <v>74</v>
      </c>
      <c r="AF478" t="s">
        <v>74</v>
      </c>
      <c r="AG478">
        <v>24</v>
      </c>
      <c r="AH478">
        <v>3</v>
      </c>
      <c r="AI478">
        <v>3</v>
      </c>
      <c r="AJ478">
        <v>7</v>
      </c>
      <c r="AK478">
        <v>25</v>
      </c>
      <c r="AL478" t="s">
        <v>3963</v>
      </c>
      <c r="AM478" t="s">
        <v>90</v>
      </c>
      <c r="AN478" t="s">
        <v>3964</v>
      </c>
      <c r="AO478" t="s">
        <v>3965</v>
      </c>
      <c r="AP478" t="s">
        <v>3966</v>
      </c>
      <c r="AQ478" t="s">
        <v>74</v>
      </c>
      <c r="AR478" t="s">
        <v>3967</v>
      </c>
      <c r="AS478" t="s">
        <v>3968</v>
      </c>
      <c r="AT478" t="s">
        <v>9185</v>
      </c>
      <c r="AU478">
        <v>2022</v>
      </c>
      <c r="AV478">
        <v>2022</v>
      </c>
      <c r="AW478" t="s">
        <v>74</v>
      </c>
      <c r="AX478" t="s">
        <v>74</v>
      </c>
      <c r="AY478" t="s">
        <v>74</v>
      </c>
      <c r="AZ478" t="s">
        <v>74</v>
      </c>
      <c r="BA478" t="s">
        <v>74</v>
      </c>
      <c r="BB478" t="s">
        <v>74</v>
      </c>
      <c r="BC478" t="s">
        <v>74</v>
      </c>
      <c r="BD478">
        <v>9679050</v>
      </c>
      <c r="BE478" t="s">
        <v>9186</v>
      </c>
      <c r="BF478" t="str">
        <f>HYPERLINK("http://dx.doi.org/10.1155/2022/9679050","http://dx.doi.org/10.1155/2022/9679050")</f>
        <v>http://dx.doi.org/10.1155/2022/9679050</v>
      </c>
      <c r="BG478" t="s">
        <v>74</v>
      </c>
      <c r="BH478" t="s">
        <v>74</v>
      </c>
      <c r="BI478">
        <v>12</v>
      </c>
      <c r="BJ478" t="s">
        <v>3970</v>
      </c>
      <c r="BK478" t="s">
        <v>98</v>
      </c>
      <c r="BL478" t="s">
        <v>3971</v>
      </c>
      <c r="BM478" t="s">
        <v>9187</v>
      </c>
      <c r="BN478" t="s">
        <v>74</v>
      </c>
      <c r="BO478" t="s">
        <v>126</v>
      </c>
      <c r="BP478" t="s">
        <v>74</v>
      </c>
      <c r="BQ478" t="s">
        <v>74</v>
      </c>
      <c r="BR478" t="s">
        <v>102</v>
      </c>
      <c r="BS478" t="s">
        <v>9188</v>
      </c>
      <c r="BT478" t="str">
        <f>HYPERLINK("https%3A%2F%2Fwww.webofscience.com%2Fwos%2Fwoscc%2Ffull-record%2FWOS:000835075400006","View Full Record in Web of Science")</f>
        <v>View Full Record in Web of Science</v>
      </c>
    </row>
    <row r="479" spans="1:72" x14ac:dyDescent="0.2">
      <c r="A479" t="s">
        <v>72</v>
      </c>
      <c r="B479" t="s">
        <v>9189</v>
      </c>
      <c r="C479" t="s">
        <v>74</v>
      </c>
      <c r="D479" t="s">
        <v>74</v>
      </c>
      <c r="E479" t="s">
        <v>74</v>
      </c>
      <c r="F479" t="s">
        <v>9190</v>
      </c>
      <c r="G479" t="s">
        <v>74</v>
      </c>
      <c r="H479" t="s">
        <v>74</v>
      </c>
      <c r="I479" t="s">
        <v>9191</v>
      </c>
      <c r="J479" t="s">
        <v>155</v>
      </c>
      <c r="K479" t="s">
        <v>74</v>
      </c>
      <c r="L479" t="s">
        <v>74</v>
      </c>
      <c r="M479" t="s">
        <v>78</v>
      </c>
      <c r="N479" t="s">
        <v>917</v>
      </c>
      <c r="O479" t="s">
        <v>74</v>
      </c>
      <c r="P479" t="s">
        <v>74</v>
      </c>
      <c r="Q479" t="s">
        <v>74</v>
      </c>
      <c r="R479" t="s">
        <v>74</v>
      </c>
      <c r="S479" t="s">
        <v>74</v>
      </c>
      <c r="T479" t="s">
        <v>9192</v>
      </c>
      <c r="U479" t="s">
        <v>9193</v>
      </c>
      <c r="V479" t="s">
        <v>9194</v>
      </c>
      <c r="W479" t="s">
        <v>9195</v>
      </c>
      <c r="X479" t="s">
        <v>9196</v>
      </c>
      <c r="Y479" t="s">
        <v>9197</v>
      </c>
      <c r="Z479" t="s">
        <v>9198</v>
      </c>
      <c r="AA479" t="s">
        <v>74</v>
      </c>
      <c r="AB479" t="s">
        <v>9199</v>
      </c>
      <c r="AC479" t="s">
        <v>9200</v>
      </c>
      <c r="AD479" t="s">
        <v>9201</v>
      </c>
      <c r="AE479" t="s">
        <v>9202</v>
      </c>
      <c r="AF479" t="s">
        <v>74</v>
      </c>
      <c r="AG479">
        <v>80</v>
      </c>
      <c r="AH479">
        <v>0</v>
      </c>
      <c r="AI479">
        <v>0</v>
      </c>
      <c r="AJ479">
        <v>17</v>
      </c>
      <c r="AK479">
        <v>17</v>
      </c>
      <c r="AL479" t="s">
        <v>167</v>
      </c>
      <c r="AM479" t="s">
        <v>168</v>
      </c>
      <c r="AN479" t="s">
        <v>169</v>
      </c>
      <c r="AO479" t="s">
        <v>170</v>
      </c>
      <c r="AP479" t="s">
        <v>171</v>
      </c>
      <c r="AQ479" t="s">
        <v>74</v>
      </c>
      <c r="AR479" t="s">
        <v>172</v>
      </c>
      <c r="AS479" t="s">
        <v>173</v>
      </c>
      <c r="AT479" t="s">
        <v>9203</v>
      </c>
      <c r="AU479">
        <v>2023</v>
      </c>
      <c r="AV479" t="s">
        <v>74</v>
      </c>
      <c r="AW479" t="s">
        <v>74</v>
      </c>
      <c r="AX479" t="s">
        <v>74</v>
      </c>
      <c r="AY479" t="s">
        <v>74</v>
      </c>
      <c r="AZ479" t="s">
        <v>74</v>
      </c>
      <c r="BA479" t="s">
        <v>74</v>
      </c>
      <c r="BB479" t="s">
        <v>74</v>
      </c>
      <c r="BC479" t="s">
        <v>74</v>
      </c>
      <c r="BD479" t="s">
        <v>74</v>
      </c>
      <c r="BE479" t="s">
        <v>9204</v>
      </c>
      <c r="BF479" t="str">
        <f>HYPERLINK("http://dx.doi.org/10.1109/TEM.2023.3286883","http://dx.doi.org/10.1109/TEM.2023.3286883")</f>
        <v>http://dx.doi.org/10.1109/TEM.2023.3286883</v>
      </c>
      <c r="BG479" t="s">
        <v>74</v>
      </c>
      <c r="BH479" t="s">
        <v>396</v>
      </c>
      <c r="BI479">
        <v>14</v>
      </c>
      <c r="BJ479" t="s">
        <v>176</v>
      </c>
      <c r="BK479" t="s">
        <v>147</v>
      </c>
      <c r="BL479" t="s">
        <v>177</v>
      </c>
      <c r="BM479" t="s">
        <v>9205</v>
      </c>
      <c r="BN479" t="s">
        <v>74</v>
      </c>
      <c r="BO479" t="s">
        <v>74</v>
      </c>
      <c r="BP479" t="s">
        <v>74</v>
      </c>
      <c r="BQ479" t="s">
        <v>74</v>
      </c>
      <c r="BR479" t="s">
        <v>102</v>
      </c>
      <c r="BS479" t="s">
        <v>9206</v>
      </c>
      <c r="BT479" t="str">
        <f>HYPERLINK("https%3A%2F%2Fwww.webofscience.com%2Fwos%2Fwoscc%2Ffull-record%2FWOS:001025533000001","View Full Record in Web of Science")</f>
        <v>View Full Record in Web of Science</v>
      </c>
    </row>
    <row r="480" spans="1:72" x14ac:dyDescent="0.2">
      <c r="A480" t="s">
        <v>72</v>
      </c>
      <c r="B480" t="s">
        <v>9207</v>
      </c>
      <c r="C480" t="s">
        <v>74</v>
      </c>
      <c r="D480" t="s">
        <v>74</v>
      </c>
      <c r="E480" t="s">
        <v>74</v>
      </c>
      <c r="F480" t="s">
        <v>9208</v>
      </c>
      <c r="G480" t="s">
        <v>74</v>
      </c>
      <c r="H480" t="s">
        <v>74</v>
      </c>
      <c r="I480" t="s">
        <v>9209</v>
      </c>
      <c r="J480" t="s">
        <v>9210</v>
      </c>
      <c r="K480" t="s">
        <v>74</v>
      </c>
      <c r="L480" t="s">
        <v>74</v>
      </c>
      <c r="M480" t="s">
        <v>78</v>
      </c>
      <c r="N480" t="s">
        <v>108</v>
      </c>
      <c r="O480" t="s">
        <v>74</v>
      </c>
      <c r="P480" t="s">
        <v>74</v>
      </c>
      <c r="Q480" t="s">
        <v>74</v>
      </c>
      <c r="R480" t="s">
        <v>74</v>
      </c>
      <c r="S480" t="s">
        <v>74</v>
      </c>
      <c r="T480" t="s">
        <v>9211</v>
      </c>
      <c r="U480" t="s">
        <v>9212</v>
      </c>
      <c r="V480" t="s">
        <v>9213</v>
      </c>
      <c r="W480" t="s">
        <v>9214</v>
      </c>
      <c r="X480" t="s">
        <v>2427</v>
      </c>
      <c r="Y480" t="s">
        <v>3636</v>
      </c>
      <c r="Z480" t="s">
        <v>9215</v>
      </c>
      <c r="AA480" t="s">
        <v>74</v>
      </c>
      <c r="AB480" t="s">
        <v>74</v>
      </c>
      <c r="AC480" t="s">
        <v>9216</v>
      </c>
      <c r="AD480" t="s">
        <v>9217</v>
      </c>
      <c r="AE480" t="s">
        <v>9218</v>
      </c>
      <c r="AF480" t="s">
        <v>74</v>
      </c>
      <c r="AG480">
        <v>39</v>
      </c>
      <c r="AH480">
        <v>0</v>
      </c>
      <c r="AI480">
        <v>0</v>
      </c>
      <c r="AJ480">
        <v>2</v>
      </c>
      <c r="AK480">
        <v>22</v>
      </c>
      <c r="AL480" t="s">
        <v>9219</v>
      </c>
      <c r="AM480" t="s">
        <v>9220</v>
      </c>
      <c r="AN480" t="s">
        <v>9221</v>
      </c>
      <c r="AO480" t="s">
        <v>9222</v>
      </c>
      <c r="AP480" t="s">
        <v>74</v>
      </c>
      <c r="AQ480" t="s">
        <v>74</v>
      </c>
      <c r="AR480" t="s">
        <v>9223</v>
      </c>
      <c r="AS480" t="s">
        <v>9224</v>
      </c>
      <c r="AT480" t="s">
        <v>194</v>
      </c>
      <c r="AU480">
        <v>2019</v>
      </c>
      <c r="AV480">
        <v>35</v>
      </c>
      <c r="AW480">
        <v>6</v>
      </c>
      <c r="AX480" t="s">
        <v>74</v>
      </c>
      <c r="AY480" t="s">
        <v>74</v>
      </c>
      <c r="AZ480" t="s">
        <v>74</v>
      </c>
      <c r="BA480" t="s">
        <v>74</v>
      </c>
      <c r="BB480">
        <v>1397</v>
      </c>
      <c r="BC480">
        <v>1417</v>
      </c>
      <c r="BD480" t="s">
        <v>74</v>
      </c>
      <c r="BE480" t="s">
        <v>9225</v>
      </c>
      <c r="BF480" t="str">
        <f>HYPERLINK("http://dx.doi.org/10.6688/JISE.201911_35(6).0014","http://dx.doi.org/10.6688/JISE.201911_35(6).0014")</f>
        <v>http://dx.doi.org/10.6688/JISE.201911_35(6).0014</v>
      </c>
      <c r="BG480" t="s">
        <v>74</v>
      </c>
      <c r="BH480" t="s">
        <v>74</v>
      </c>
      <c r="BI480">
        <v>21</v>
      </c>
      <c r="BJ480" t="s">
        <v>123</v>
      </c>
      <c r="BK480" t="s">
        <v>98</v>
      </c>
      <c r="BL480" t="s">
        <v>99</v>
      </c>
      <c r="BM480" t="s">
        <v>9226</v>
      </c>
      <c r="BN480" t="s">
        <v>74</v>
      </c>
      <c r="BO480" t="s">
        <v>74</v>
      </c>
      <c r="BP480" t="s">
        <v>74</v>
      </c>
      <c r="BQ480" t="s">
        <v>74</v>
      </c>
      <c r="BR480" t="s">
        <v>102</v>
      </c>
      <c r="BS480" t="s">
        <v>9227</v>
      </c>
      <c r="BT480" t="str">
        <f>HYPERLINK("https%3A%2F%2Fwww.webofscience.com%2Fwos%2Fwoscc%2Ffull-record%2FWOS:000494984000013","View Full Record in Web of Science")</f>
        <v>View Full Record in Web of Science</v>
      </c>
    </row>
    <row r="481" spans="1:72" x14ac:dyDescent="0.2">
      <c r="A481" t="s">
        <v>72</v>
      </c>
      <c r="B481" t="s">
        <v>9228</v>
      </c>
      <c r="C481" t="s">
        <v>74</v>
      </c>
      <c r="D481" t="s">
        <v>74</v>
      </c>
      <c r="E481" t="s">
        <v>74</v>
      </c>
      <c r="F481" t="s">
        <v>9229</v>
      </c>
      <c r="G481" t="s">
        <v>74</v>
      </c>
      <c r="H481" t="s">
        <v>74</v>
      </c>
      <c r="I481" t="s">
        <v>9230</v>
      </c>
      <c r="J481" t="s">
        <v>9231</v>
      </c>
      <c r="K481" t="s">
        <v>74</v>
      </c>
      <c r="L481" t="s">
        <v>74</v>
      </c>
      <c r="M481" t="s">
        <v>78</v>
      </c>
      <c r="N481" t="s">
        <v>108</v>
      </c>
      <c r="O481" t="s">
        <v>74</v>
      </c>
      <c r="P481" t="s">
        <v>74</v>
      </c>
      <c r="Q481" t="s">
        <v>74</v>
      </c>
      <c r="R481" t="s">
        <v>74</v>
      </c>
      <c r="S481" t="s">
        <v>74</v>
      </c>
      <c r="T481" t="s">
        <v>9232</v>
      </c>
      <c r="U481" t="s">
        <v>9233</v>
      </c>
      <c r="V481" t="s">
        <v>9234</v>
      </c>
      <c r="W481" t="s">
        <v>9235</v>
      </c>
      <c r="X481" t="s">
        <v>9236</v>
      </c>
      <c r="Y481" t="s">
        <v>9237</v>
      </c>
      <c r="Z481" t="s">
        <v>9238</v>
      </c>
      <c r="AA481" t="s">
        <v>74</v>
      </c>
      <c r="AB481" t="s">
        <v>74</v>
      </c>
      <c r="AC481" t="s">
        <v>9239</v>
      </c>
      <c r="AD481" t="s">
        <v>9240</v>
      </c>
      <c r="AE481" t="s">
        <v>9241</v>
      </c>
      <c r="AF481" t="s">
        <v>74</v>
      </c>
      <c r="AG481">
        <v>58</v>
      </c>
      <c r="AH481">
        <v>7</v>
      </c>
      <c r="AI481">
        <v>7</v>
      </c>
      <c r="AJ481">
        <v>1</v>
      </c>
      <c r="AK481">
        <v>39</v>
      </c>
      <c r="AL481" t="s">
        <v>259</v>
      </c>
      <c r="AM481" t="s">
        <v>260</v>
      </c>
      <c r="AN481" t="s">
        <v>261</v>
      </c>
      <c r="AO481" t="s">
        <v>9242</v>
      </c>
      <c r="AP481" t="s">
        <v>9243</v>
      </c>
      <c r="AQ481" t="s">
        <v>74</v>
      </c>
      <c r="AR481" t="s">
        <v>9231</v>
      </c>
      <c r="AS481" t="s">
        <v>9244</v>
      </c>
      <c r="AT481" t="s">
        <v>5968</v>
      </c>
      <c r="AU481">
        <v>2021</v>
      </c>
      <c r="AV481">
        <v>306</v>
      </c>
      <c r="AW481" t="s">
        <v>74</v>
      </c>
      <c r="AX481" t="s">
        <v>74</v>
      </c>
      <c r="AY481" t="s">
        <v>74</v>
      </c>
      <c r="AZ481" t="s">
        <v>74</v>
      </c>
      <c r="BA481" t="s">
        <v>74</v>
      </c>
      <c r="BB481" t="s">
        <v>74</v>
      </c>
      <c r="BC481" t="s">
        <v>74</v>
      </c>
      <c r="BD481">
        <v>121647</v>
      </c>
      <c r="BE481" t="s">
        <v>9245</v>
      </c>
      <c r="BF481" t="str">
        <f>HYPERLINK("http://dx.doi.org/10.1016/j.fuel.2021.121647","http://dx.doi.org/10.1016/j.fuel.2021.121647")</f>
        <v>http://dx.doi.org/10.1016/j.fuel.2021.121647</v>
      </c>
      <c r="BG481" t="s">
        <v>74</v>
      </c>
      <c r="BH481" t="s">
        <v>1373</v>
      </c>
      <c r="BI481">
        <v>13</v>
      </c>
      <c r="BJ481" t="s">
        <v>6854</v>
      </c>
      <c r="BK481" t="s">
        <v>98</v>
      </c>
      <c r="BL481" t="s">
        <v>3907</v>
      </c>
      <c r="BM481" t="s">
        <v>9246</v>
      </c>
      <c r="BN481" t="s">
        <v>74</v>
      </c>
      <c r="BO481" t="s">
        <v>74</v>
      </c>
      <c r="BP481" t="s">
        <v>74</v>
      </c>
      <c r="BQ481" t="s">
        <v>74</v>
      </c>
      <c r="BR481" t="s">
        <v>102</v>
      </c>
      <c r="BS481" t="s">
        <v>9247</v>
      </c>
      <c r="BT481" t="str">
        <f>HYPERLINK("https%3A%2F%2Fwww.webofscience.com%2Fwos%2Fwoscc%2Ffull-record%2FWOS:000702818600003","View Full Record in Web of Science")</f>
        <v>View Full Record in Web of Science</v>
      </c>
    </row>
    <row r="482" spans="1:72" x14ac:dyDescent="0.2">
      <c r="A482" t="s">
        <v>72</v>
      </c>
      <c r="B482" t="s">
        <v>9248</v>
      </c>
      <c r="C482" t="s">
        <v>74</v>
      </c>
      <c r="D482" t="s">
        <v>74</v>
      </c>
      <c r="E482" t="s">
        <v>74</v>
      </c>
      <c r="F482" t="s">
        <v>9249</v>
      </c>
      <c r="G482" t="s">
        <v>74</v>
      </c>
      <c r="H482" t="s">
        <v>74</v>
      </c>
      <c r="I482" t="s">
        <v>9250</v>
      </c>
      <c r="J482" t="s">
        <v>2163</v>
      </c>
      <c r="K482" t="s">
        <v>74</v>
      </c>
      <c r="L482" t="s">
        <v>74</v>
      </c>
      <c r="M482" t="s">
        <v>78</v>
      </c>
      <c r="N482" t="s">
        <v>108</v>
      </c>
      <c r="O482" t="s">
        <v>74</v>
      </c>
      <c r="P482" t="s">
        <v>74</v>
      </c>
      <c r="Q482" t="s">
        <v>74</v>
      </c>
      <c r="R482" t="s">
        <v>74</v>
      </c>
      <c r="S482" t="s">
        <v>74</v>
      </c>
      <c r="T482" t="s">
        <v>9251</v>
      </c>
      <c r="U482" t="s">
        <v>74</v>
      </c>
      <c r="V482" t="s">
        <v>9252</v>
      </c>
      <c r="W482" t="s">
        <v>9253</v>
      </c>
      <c r="X482" t="s">
        <v>9254</v>
      </c>
      <c r="Y482" t="s">
        <v>9255</v>
      </c>
      <c r="Z482" t="s">
        <v>9256</v>
      </c>
      <c r="AA482" t="s">
        <v>9257</v>
      </c>
      <c r="AB482" t="s">
        <v>74</v>
      </c>
      <c r="AC482" t="s">
        <v>9258</v>
      </c>
      <c r="AD482" t="s">
        <v>9259</v>
      </c>
      <c r="AE482" t="s">
        <v>9260</v>
      </c>
      <c r="AF482" t="s">
        <v>74</v>
      </c>
      <c r="AG482">
        <v>8</v>
      </c>
      <c r="AH482">
        <v>2</v>
      </c>
      <c r="AI482">
        <v>2</v>
      </c>
      <c r="AJ482">
        <v>3</v>
      </c>
      <c r="AK482">
        <v>65</v>
      </c>
      <c r="AL482" t="s">
        <v>409</v>
      </c>
      <c r="AM482" t="s">
        <v>410</v>
      </c>
      <c r="AN482" t="s">
        <v>411</v>
      </c>
      <c r="AO482" t="s">
        <v>2175</v>
      </c>
      <c r="AP482" t="s">
        <v>2176</v>
      </c>
      <c r="AQ482" t="s">
        <v>74</v>
      </c>
      <c r="AR482" t="s">
        <v>2177</v>
      </c>
      <c r="AS482" t="s">
        <v>2178</v>
      </c>
      <c r="AT482" t="s">
        <v>9261</v>
      </c>
      <c r="AU482">
        <v>2019</v>
      </c>
      <c r="AV482">
        <v>31</v>
      </c>
      <c r="AW482">
        <v>10</v>
      </c>
      <c r="AX482" t="s">
        <v>74</v>
      </c>
      <c r="AY482" t="s">
        <v>74</v>
      </c>
      <c r="AZ482" t="s">
        <v>570</v>
      </c>
      <c r="BA482" t="s">
        <v>74</v>
      </c>
      <c r="BB482" t="s">
        <v>74</v>
      </c>
      <c r="BC482" t="s">
        <v>74</v>
      </c>
      <c r="BD482" t="s">
        <v>9262</v>
      </c>
      <c r="BE482" t="s">
        <v>9263</v>
      </c>
      <c r="BF482" t="str">
        <f>HYPERLINK("http://dx.doi.org/10.1002/cpe.4755","http://dx.doi.org/10.1002/cpe.4755")</f>
        <v>http://dx.doi.org/10.1002/cpe.4755</v>
      </c>
      <c r="BG482" t="s">
        <v>74</v>
      </c>
      <c r="BH482" t="s">
        <v>74</v>
      </c>
      <c r="BI482">
        <v>9</v>
      </c>
      <c r="BJ482" t="s">
        <v>2181</v>
      </c>
      <c r="BK482" t="s">
        <v>98</v>
      </c>
      <c r="BL482" t="s">
        <v>99</v>
      </c>
      <c r="BM482" t="s">
        <v>9264</v>
      </c>
      <c r="BN482" t="s">
        <v>74</v>
      </c>
      <c r="BO482" t="s">
        <v>74</v>
      </c>
      <c r="BP482" t="s">
        <v>74</v>
      </c>
      <c r="BQ482" t="s">
        <v>74</v>
      </c>
      <c r="BR482" t="s">
        <v>102</v>
      </c>
      <c r="BS482" t="s">
        <v>9265</v>
      </c>
      <c r="BT482" t="str">
        <f>HYPERLINK("https%3A%2F%2Fwww.webofscience.com%2Fwos%2Fwoscc%2Ffull-record%2FWOS:000468594300026","View Full Record in Web of Science")</f>
        <v>View Full Record in Web of Science</v>
      </c>
    </row>
    <row r="483" spans="1:72" x14ac:dyDescent="0.2">
      <c r="A483" t="s">
        <v>72</v>
      </c>
      <c r="B483" t="s">
        <v>9266</v>
      </c>
      <c r="C483" t="s">
        <v>74</v>
      </c>
      <c r="D483" t="s">
        <v>74</v>
      </c>
      <c r="E483" t="s">
        <v>74</v>
      </c>
      <c r="F483" t="s">
        <v>9267</v>
      </c>
      <c r="G483" t="s">
        <v>74</v>
      </c>
      <c r="H483" t="s">
        <v>74</v>
      </c>
      <c r="I483" t="s">
        <v>9268</v>
      </c>
      <c r="J483" t="s">
        <v>9269</v>
      </c>
      <c r="K483" t="s">
        <v>74</v>
      </c>
      <c r="L483" t="s">
        <v>74</v>
      </c>
      <c r="M483" t="s">
        <v>78</v>
      </c>
      <c r="N483" t="s">
        <v>108</v>
      </c>
      <c r="O483" t="s">
        <v>74</v>
      </c>
      <c r="P483" t="s">
        <v>74</v>
      </c>
      <c r="Q483" t="s">
        <v>74</v>
      </c>
      <c r="R483" t="s">
        <v>74</v>
      </c>
      <c r="S483" t="s">
        <v>74</v>
      </c>
      <c r="T483" t="s">
        <v>9270</v>
      </c>
      <c r="U483" t="s">
        <v>9271</v>
      </c>
      <c r="V483" t="s">
        <v>9272</v>
      </c>
      <c r="W483" t="s">
        <v>9273</v>
      </c>
      <c r="X483" t="s">
        <v>9274</v>
      </c>
      <c r="Y483" t="s">
        <v>9275</v>
      </c>
      <c r="Z483" t="s">
        <v>9276</v>
      </c>
      <c r="AA483" t="s">
        <v>9277</v>
      </c>
      <c r="AB483" t="s">
        <v>9278</v>
      </c>
      <c r="AC483" t="s">
        <v>9279</v>
      </c>
      <c r="AD483" t="s">
        <v>9280</v>
      </c>
      <c r="AE483" t="s">
        <v>9281</v>
      </c>
      <c r="AF483" t="s">
        <v>74</v>
      </c>
      <c r="AG483">
        <v>41</v>
      </c>
      <c r="AH483">
        <v>30</v>
      </c>
      <c r="AI483">
        <v>33</v>
      </c>
      <c r="AJ483">
        <v>0</v>
      </c>
      <c r="AK483">
        <v>45</v>
      </c>
      <c r="AL483" t="s">
        <v>6345</v>
      </c>
      <c r="AM483" t="s">
        <v>210</v>
      </c>
      <c r="AN483" t="s">
        <v>6346</v>
      </c>
      <c r="AO483" t="s">
        <v>9282</v>
      </c>
      <c r="AP483" t="s">
        <v>9283</v>
      </c>
      <c r="AQ483" t="s">
        <v>74</v>
      </c>
      <c r="AR483" t="s">
        <v>9284</v>
      </c>
      <c r="AS483" t="s">
        <v>9285</v>
      </c>
      <c r="AT483" t="s">
        <v>194</v>
      </c>
      <c r="AU483">
        <v>2012</v>
      </c>
      <c r="AV483">
        <v>35</v>
      </c>
      <c r="AW483" t="s">
        <v>74</v>
      </c>
      <c r="AX483" t="s">
        <v>74</v>
      </c>
      <c r="AY483" t="s">
        <v>74</v>
      </c>
      <c r="AZ483" t="s">
        <v>74</v>
      </c>
      <c r="BA483" t="s">
        <v>74</v>
      </c>
      <c r="BB483">
        <v>320</v>
      </c>
      <c r="BC483">
        <v>331</v>
      </c>
      <c r="BD483" t="s">
        <v>74</v>
      </c>
      <c r="BE483" t="s">
        <v>9286</v>
      </c>
      <c r="BF483" t="str">
        <f>HYPERLINK("http://dx.doi.org/10.1016/j.knosys.2012.05.010","http://dx.doi.org/10.1016/j.knosys.2012.05.010")</f>
        <v>http://dx.doi.org/10.1016/j.knosys.2012.05.010</v>
      </c>
      <c r="BG483" t="s">
        <v>74</v>
      </c>
      <c r="BH483" t="s">
        <v>74</v>
      </c>
      <c r="BI483">
        <v>12</v>
      </c>
      <c r="BJ483" t="s">
        <v>2017</v>
      </c>
      <c r="BK483" t="s">
        <v>98</v>
      </c>
      <c r="BL483" t="s">
        <v>99</v>
      </c>
      <c r="BM483" t="s">
        <v>9287</v>
      </c>
      <c r="BN483" t="s">
        <v>74</v>
      </c>
      <c r="BO483" t="s">
        <v>1833</v>
      </c>
      <c r="BP483" t="s">
        <v>74</v>
      </c>
      <c r="BQ483" t="s">
        <v>74</v>
      </c>
      <c r="BR483" t="s">
        <v>102</v>
      </c>
      <c r="BS483" t="s">
        <v>9288</v>
      </c>
      <c r="BT483" t="str">
        <f>HYPERLINK("https%3A%2F%2Fwww.webofscience.com%2Fwos%2Fwoscc%2Ffull-record%2FWOS:000311016400031","View Full Record in Web of Science")</f>
        <v>View Full Record in Web of Science</v>
      </c>
    </row>
    <row r="484" spans="1:72" x14ac:dyDescent="0.2">
      <c r="A484" t="s">
        <v>72</v>
      </c>
      <c r="B484" t="s">
        <v>9289</v>
      </c>
      <c r="C484" t="s">
        <v>74</v>
      </c>
      <c r="D484" t="s">
        <v>74</v>
      </c>
      <c r="E484" t="s">
        <v>74</v>
      </c>
      <c r="F484" t="s">
        <v>9290</v>
      </c>
      <c r="G484" t="s">
        <v>74</v>
      </c>
      <c r="H484" t="s">
        <v>74</v>
      </c>
      <c r="I484" t="s">
        <v>9291</v>
      </c>
      <c r="J484" t="s">
        <v>5450</v>
      </c>
      <c r="K484" t="s">
        <v>74</v>
      </c>
      <c r="L484" t="s">
        <v>74</v>
      </c>
      <c r="M484" t="s">
        <v>78</v>
      </c>
      <c r="N484" t="s">
        <v>108</v>
      </c>
      <c r="O484" t="s">
        <v>74</v>
      </c>
      <c r="P484" t="s">
        <v>74</v>
      </c>
      <c r="Q484" t="s">
        <v>74</v>
      </c>
      <c r="R484" t="s">
        <v>74</v>
      </c>
      <c r="S484" t="s">
        <v>74</v>
      </c>
      <c r="T484" t="s">
        <v>9292</v>
      </c>
      <c r="U484" t="s">
        <v>9293</v>
      </c>
      <c r="V484" t="s">
        <v>9294</v>
      </c>
      <c r="W484" t="s">
        <v>9295</v>
      </c>
      <c r="X484" t="s">
        <v>9296</v>
      </c>
      <c r="Y484" t="s">
        <v>9297</v>
      </c>
      <c r="Z484" t="s">
        <v>9298</v>
      </c>
      <c r="AA484" t="s">
        <v>9299</v>
      </c>
      <c r="AB484" t="s">
        <v>9300</v>
      </c>
      <c r="AC484" t="s">
        <v>74</v>
      </c>
      <c r="AD484" t="s">
        <v>74</v>
      </c>
      <c r="AE484" t="s">
        <v>74</v>
      </c>
      <c r="AF484" t="s">
        <v>74</v>
      </c>
      <c r="AG484">
        <v>45</v>
      </c>
      <c r="AH484">
        <v>0</v>
      </c>
      <c r="AI484">
        <v>0</v>
      </c>
      <c r="AJ484">
        <v>1</v>
      </c>
      <c r="AK484">
        <v>14</v>
      </c>
      <c r="AL484" t="s">
        <v>2634</v>
      </c>
      <c r="AM484" t="s">
        <v>2635</v>
      </c>
      <c r="AN484" t="s">
        <v>2636</v>
      </c>
      <c r="AO484" t="s">
        <v>5458</v>
      </c>
      <c r="AP484" t="s">
        <v>5459</v>
      </c>
      <c r="AQ484" t="s">
        <v>74</v>
      </c>
      <c r="AR484" t="s">
        <v>5460</v>
      </c>
      <c r="AS484" t="s">
        <v>5461</v>
      </c>
      <c r="AT484" t="s">
        <v>74</v>
      </c>
      <c r="AU484">
        <v>2020</v>
      </c>
      <c r="AV484">
        <v>11</v>
      </c>
      <c r="AW484">
        <v>3</v>
      </c>
      <c r="AX484" t="s">
        <v>74</v>
      </c>
      <c r="AY484" t="s">
        <v>74</v>
      </c>
      <c r="AZ484" t="s">
        <v>74</v>
      </c>
      <c r="BA484" t="s">
        <v>74</v>
      </c>
      <c r="BB484">
        <v>273</v>
      </c>
      <c r="BC484">
        <v>292</v>
      </c>
      <c r="BD484" t="s">
        <v>74</v>
      </c>
      <c r="BE484" t="s">
        <v>9301</v>
      </c>
      <c r="BF484" t="str">
        <f>HYPERLINK("http://dx.doi.org/10.1504/IJVCM.2020.109239","http://dx.doi.org/10.1504/IJVCM.2020.109239")</f>
        <v>http://dx.doi.org/10.1504/IJVCM.2020.109239</v>
      </c>
      <c r="BG484" t="s">
        <v>74</v>
      </c>
      <c r="BH484" t="s">
        <v>74</v>
      </c>
      <c r="BI484">
        <v>20</v>
      </c>
      <c r="BJ484" t="s">
        <v>418</v>
      </c>
      <c r="BK484" t="s">
        <v>124</v>
      </c>
      <c r="BL484" t="s">
        <v>419</v>
      </c>
      <c r="BM484" t="s">
        <v>9302</v>
      </c>
      <c r="BN484" t="s">
        <v>74</v>
      </c>
      <c r="BO484" t="s">
        <v>74</v>
      </c>
      <c r="BP484" t="s">
        <v>74</v>
      </c>
      <c r="BQ484" t="s">
        <v>74</v>
      </c>
      <c r="BR484" t="s">
        <v>102</v>
      </c>
      <c r="BS484" t="s">
        <v>9303</v>
      </c>
      <c r="BT484" t="str">
        <f>HYPERLINK("https%3A%2F%2Fwww.webofscience.com%2Fwos%2Fwoscc%2Ffull-record%2FWOS:000570067200004","View Full Record in Web of Science")</f>
        <v>View Full Record in Web of Science</v>
      </c>
    </row>
    <row r="485" spans="1:72" x14ac:dyDescent="0.2">
      <c r="A485" t="s">
        <v>72</v>
      </c>
      <c r="B485" t="s">
        <v>9304</v>
      </c>
      <c r="C485" t="s">
        <v>74</v>
      </c>
      <c r="D485" t="s">
        <v>74</v>
      </c>
      <c r="E485" t="s">
        <v>74</v>
      </c>
      <c r="F485" t="s">
        <v>9305</v>
      </c>
      <c r="G485" t="s">
        <v>74</v>
      </c>
      <c r="H485" t="s">
        <v>74</v>
      </c>
      <c r="I485" t="s">
        <v>9306</v>
      </c>
      <c r="J485" t="s">
        <v>2042</v>
      </c>
      <c r="K485" t="s">
        <v>74</v>
      </c>
      <c r="L485" t="s">
        <v>74</v>
      </c>
      <c r="M485" t="s">
        <v>78</v>
      </c>
      <c r="N485" t="s">
        <v>108</v>
      </c>
      <c r="O485" t="s">
        <v>74</v>
      </c>
      <c r="P485" t="s">
        <v>74</v>
      </c>
      <c r="Q485" t="s">
        <v>74</v>
      </c>
      <c r="R485" t="s">
        <v>74</v>
      </c>
      <c r="S485" t="s">
        <v>74</v>
      </c>
      <c r="T485" t="s">
        <v>9307</v>
      </c>
      <c r="U485" t="s">
        <v>9308</v>
      </c>
      <c r="V485" t="s">
        <v>9309</v>
      </c>
      <c r="W485" t="s">
        <v>9310</v>
      </c>
      <c r="X485" t="s">
        <v>9311</v>
      </c>
      <c r="Y485" t="s">
        <v>9312</v>
      </c>
      <c r="Z485" t="s">
        <v>9313</v>
      </c>
      <c r="AA485" t="s">
        <v>9314</v>
      </c>
      <c r="AB485" t="s">
        <v>9315</v>
      </c>
      <c r="AC485" t="s">
        <v>9316</v>
      </c>
      <c r="AD485" t="s">
        <v>8766</v>
      </c>
      <c r="AE485" t="s">
        <v>9317</v>
      </c>
      <c r="AF485" t="s">
        <v>74</v>
      </c>
      <c r="AG485">
        <v>44</v>
      </c>
      <c r="AH485">
        <v>34</v>
      </c>
      <c r="AI485">
        <v>34</v>
      </c>
      <c r="AJ485">
        <v>2</v>
      </c>
      <c r="AK485">
        <v>74</v>
      </c>
      <c r="AL485" t="s">
        <v>543</v>
      </c>
      <c r="AM485" t="s">
        <v>260</v>
      </c>
      <c r="AN485" t="s">
        <v>544</v>
      </c>
      <c r="AO485" t="s">
        <v>2054</v>
      </c>
      <c r="AP485" t="s">
        <v>2055</v>
      </c>
      <c r="AQ485" t="s">
        <v>74</v>
      </c>
      <c r="AR485" t="s">
        <v>2056</v>
      </c>
      <c r="AS485" t="s">
        <v>2057</v>
      </c>
      <c r="AT485" t="s">
        <v>6632</v>
      </c>
      <c r="AU485">
        <v>2016</v>
      </c>
      <c r="AV485">
        <v>46</v>
      </c>
      <c r="AW485" t="s">
        <v>74</v>
      </c>
      <c r="AX485" t="s">
        <v>74</v>
      </c>
      <c r="AY485" t="s">
        <v>74</v>
      </c>
      <c r="AZ485" t="s">
        <v>74</v>
      </c>
      <c r="BA485" t="s">
        <v>74</v>
      </c>
      <c r="BB485">
        <v>236</v>
      </c>
      <c r="BC485">
        <v>248</v>
      </c>
      <c r="BD485" t="s">
        <v>74</v>
      </c>
      <c r="BE485" t="s">
        <v>9318</v>
      </c>
      <c r="BF485" t="str">
        <f>HYPERLINK("http://dx.doi.org/10.1016/j.eswa.2015.10.035","http://dx.doi.org/10.1016/j.eswa.2015.10.035")</f>
        <v>http://dx.doi.org/10.1016/j.eswa.2015.10.035</v>
      </c>
      <c r="BG485" t="s">
        <v>74</v>
      </c>
      <c r="BH485" t="s">
        <v>74</v>
      </c>
      <c r="BI485">
        <v>13</v>
      </c>
      <c r="BJ485" t="s">
        <v>2059</v>
      </c>
      <c r="BK485" t="s">
        <v>98</v>
      </c>
      <c r="BL485" t="s">
        <v>2060</v>
      </c>
      <c r="BM485" t="s">
        <v>9319</v>
      </c>
      <c r="BN485" t="s">
        <v>74</v>
      </c>
      <c r="BO485" t="s">
        <v>74</v>
      </c>
      <c r="BP485" t="s">
        <v>74</v>
      </c>
      <c r="BQ485" t="s">
        <v>74</v>
      </c>
      <c r="BR485" t="s">
        <v>102</v>
      </c>
      <c r="BS485" t="s">
        <v>9320</v>
      </c>
      <c r="BT485" t="str">
        <f>HYPERLINK("https%3A%2F%2Fwww.webofscience.com%2Fwos%2Fwoscc%2Ffull-record%2FWOS:000367112400019","View Full Record in Web of Science")</f>
        <v>View Full Record in Web of Science</v>
      </c>
    </row>
    <row r="486" spans="1:72" x14ac:dyDescent="0.2">
      <c r="A486" t="s">
        <v>72</v>
      </c>
      <c r="B486" t="s">
        <v>9321</v>
      </c>
      <c r="C486" t="s">
        <v>74</v>
      </c>
      <c r="D486" t="s">
        <v>74</v>
      </c>
      <c r="E486" t="s">
        <v>74</v>
      </c>
      <c r="F486" t="s">
        <v>9322</v>
      </c>
      <c r="G486" t="s">
        <v>74</v>
      </c>
      <c r="H486" t="s">
        <v>74</v>
      </c>
      <c r="I486" t="s">
        <v>9323</v>
      </c>
      <c r="J486" t="s">
        <v>131</v>
      </c>
      <c r="K486" t="s">
        <v>74</v>
      </c>
      <c r="L486" t="s">
        <v>74</v>
      </c>
      <c r="M486" t="s">
        <v>78</v>
      </c>
      <c r="N486" t="s">
        <v>79</v>
      </c>
      <c r="O486" t="s">
        <v>74</v>
      </c>
      <c r="P486" t="s">
        <v>74</v>
      </c>
      <c r="Q486" t="s">
        <v>74</v>
      </c>
      <c r="R486" t="s">
        <v>74</v>
      </c>
      <c r="S486" t="s">
        <v>74</v>
      </c>
      <c r="T486" t="s">
        <v>9324</v>
      </c>
      <c r="U486" t="s">
        <v>9325</v>
      </c>
      <c r="V486" t="s">
        <v>9326</v>
      </c>
      <c r="W486" t="s">
        <v>9327</v>
      </c>
      <c r="X486" t="s">
        <v>9328</v>
      </c>
      <c r="Y486" t="s">
        <v>9329</v>
      </c>
      <c r="Z486" t="s">
        <v>9330</v>
      </c>
      <c r="AA486" t="s">
        <v>9331</v>
      </c>
      <c r="AB486" t="s">
        <v>9332</v>
      </c>
      <c r="AC486" t="s">
        <v>9333</v>
      </c>
      <c r="AD486" t="s">
        <v>9333</v>
      </c>
      <c r="AE486" t="s">
        <v>9334</v>
      </c>
      <c r="AF486" t="s">
        <v>74</v>
      </c>
      <c r="AG486">
        <v>77</v>
      </c>
      <c r="AH486">
        <v>22</v>
      </c>
      <c r="AI486">
        <v>23</v>
      </c>
      <c r="AJ486">
        <v>12</v>
      </c>
      <c r="AK486">
        <v>81</v>
      </c>
      <c r="AL486" t="s">
        <v>116</v>
      </c>
      <c r="AM486" t="s">
        <v>117</v>
      </c>
      <c r="AN486" t="s">
        <v>118</v>
      </c>
      <c r="AO486" t="s">
        <v>74</v>
      </c>
      <c r="AP486" t="s">
        <v>142</v>
      </c>
      <c r="AQ486" t="s">
        <v>74</v>
      </c>
      <c r="AR486" t="s">
        <v>143</v>
      </c>
      <c r="AS486" t="s">
        <v>144</v>
      </c>
      <c r="AT486" t="s">
        <v>239</v>
      </c>
      <c r="AU486">
        <v>2019</v>
      </c>
      <c r="AV486">
        <v>11</v>
      </c>
      <c r="AW486">
        <v>15</v>
      </c>
      <c r="AX486" t="s">
        <v>74</v>
      </c>
      <c r="AY486" t="s">
        <v>74</v>
      </c>
      <c r="AZ486" t="s">
        <v>74</v>
      </c>
      <c r="BA486" t="s">
        <v>74</v>
      </c>
      <c r="BB486" t="s">
        <v>74</v>
      </c>
      <c r="BC486" t="s">
        <v>74</v>
      </c>
      <c r="BD486">
        <v>4143</v>
      </c>
      <c r="BE486" t="s">
        <v>9335</v>
      </c>
      <c r="BF486" t="str">
        <f>HYPERLINK("http://dx.doi.org/10.3390/su11154143","http://dx.doi.org/10.3390/su11154143")</f>
        <v>http://dx.doi.org/10.3390/su11154143</v>
      </c>
      <c r="BG486" t="s">
        <v>74</v>
      </c>
      <c r="BH486" t="s">
        <v>74</v>
      </c>
      <c r="BI486">
        <v>14</v>
      </c>
      <c r="BJ486" t="s">
        <v>146</v>
      </c>
      <c r="BK486" t="s">
        <v>147</v>
      </c>
      <c r="BL486" t="s">
        <v>148</v>
      </c>
      <c r="BM486" t="s">
        <v>9336</v>
      </c>
      <c r="BN486" t="s">
        <v>74</v>
      </c>
      <c r="BO486" t="s">
        <v>623</v>
      </c>
      <c r="BP486" t="s">
        <v>74</v>
      </c>
      <c r="BQ486" t="s">
        <v>74</v>
      </c>
      <c r="BR486" t="s">
        <v>102</v>
      </c>
      <c r="BS486" t="s">
        <v>9337</v>
      </c>
      <c r="BT486" t="str">
        <f>HYPERLINK("https%3A%2F%2Fwww.webofscience.com%2Fwos%2Fwoscc%2Ffull-record%2FWOS:000485230200148","View Full Record in Web of Science")</f>
        <v>View Full Record in Web of Science</v>
      </c>
    </row>
    <row r="487" spans="1:72" x14ac:dyDescent="0.2">
      <c r="A487" t="s">
        <v>72</v>
      </c>
      <c r="B487" t="s">
        <v>9338</v>
      </c>
      <c r="C487" t="s">
        <v>74</v>
      </c>
      <c r="D487" t="s">
        <v>74</v>
      </c>
      <c r="E487" t="s">
        <v>74</v>
      </c>
      <c r="F487" t="s">
        <v>9339</v>
      </c>
      <c r="G487" t="s">
        <v>74</v>
      </c>
      <c r="H487" t="s">
        <v>74</v>
      </c>
      <c r="I487" t="s">
        <v>9340</v>
      </c>
      <c r="J487" t="s">
        <v>9341</v>
      </c>
      <c r="K487" t="s">
        <v>74</v>
      </c>
      <c r="L487" t="s">
        <v>74</v>
      </c>
      <c r="M487" t="s">
        <v>78</v>
      </c>
      <c r="N487" t="s">
        <v>917</v>
      </c>
      <c r="O487" t="s">
        <v>74</v>
      </c>
      <c r="P487" t="s">
        <v>74</v>
      </c>
      <c r="Q487" t="s">
        <v>74</v>
      </c>
      <c r="R487" t="s">
        <v>74</v>
      </c>
      <c r="S487" t="s">
        <v>74</v>
      </c>
      <c r="T487" t="s">
        <v>9342</v>
      </c>
      <c r="U487" t="s">
        <v>9343</v>
      </c>
      <c r="V487" t="s">
        <v>9344</v>
      </c>
      <c r="W487" t="s">
        <v>9345</v>
      </c>
      <c r="X487" t="s">
        <v>9346</v>
      </c>
      <c r="Y487" t="s">
        <v>9347</v>
      </c>
      <c r="Z487" t="s">
        <v>9348</v>
      </c>
      <c r="AA487" t="s">
        <v>74</v>
      </c>
      <c r="AB487" t="s">
        <v>9349</v>
      </c>
      <c r="AC487" t="s">
        <v>74</v>
      </c>
      <c r="AD487" t="s">
        <v>74</v>
      </c>
      <c r="AE487" t="s">
        <v>74</v>
      </c>
      <c r="AF487" t="s">
        <v>74</v>
      </c>
      <c r="AG487">
        <v>83</v>
      </c>
      <c r="AH487">
        <v>0</v>
      </c>
      <c r="AI487">
        <v>0</v>
      </c>
      <c r="AJ487">
        <v>0</v>
      </c>
      <c r="AK487">
        <v>0</v>
      </c>
      <c r="AL487" t="s">
        <v>437</v>
      </c>
      <c r="AM487" t="s">
        <v>438</v>
      </c>
      <c r="AN487" t="s">
        <v>439</v>
      </c>
      <c r="AO487" t="s">
        <v>9350</v>
      </c>
      <c r="AP487" t="s">
        <v>9351</v>
      </c>
      <c r="AQ487" t="s">
        <v>74</v>
      </c>
      <c r="AR487" t="s">
        <v>9352</v>
      </c>
      <c r="AS487" t="s">
        <v>9353</v>
      </c>
      <c r="AT487" t="s">
        <v>9354</v>
      </c>
      <c r="AU487">
        <v>2023</v>
      </c>
      <c r="AV487" t="s">
        <v>74</v>
      </c>
      <c r="AW487" t="s">
        <v>74</v>
      </c>
      <c r="AX487" t="s">
        <v>74</v>
      </c>
      <c r="AY487" t="s">
        <v>74</v>
      </c>
      <c r="AZ487" t="s">
        <v>74</v>
      </c>
      <c r="BA487" t="s">
        <v>74</v>
      </c>
      <c r="BB487" t="s">
        <v>74</v>
      </c>
      <c r="BC487" t="s">
        <v>74</v>
      </c>
      <c r="BD487" t="s">
        <v>74</v>
      </c>
      <c r="BE487" t="s">
        <v>9355</v>
      </c>
      <c r="BF487" t="str">
        <f>HYPERLINK("http://dx.doi.org/10.1108/JADEE-10-2022-0223","http://dx.doi.org/10.1108/JADEE-10-2022-0223")</f>
        <v>http://dx.doi.org/10.1108/JADEE-10-2022-0223</v>
      </c>
      <c r="BG487" t="s">
        <v>74</v>
      </c>
      <c r="BH487" t="s">
        <v>1331</v>
      </c>
      <c r="BI487">
        <v>23</v>
      </c>
      <c r="BJ487" t="s">
        <v>9356</v>
      </c>
      <c r="BK487" t="s">
        <v>124</v>
      </c>
      <c r="BL487" t="s">
        <v>9357</v>
      </c>
      <c r="BM487" t="s">
        <v>9358</v>
      </c>
      <c r="BN487" t="s">
        <v>74</v>
      </c>
      <c r="BO487" t="s">
        <v>74</v>
      </c>
      <c r="BP487" t="s">
        <v>74</v>
      </c>
      <c r="BQ487" t="s">
        <v>74</v>
      </c>
      <c r="BR487" t="s">
        <v>102</v>
      </c>
      <c r="BS487" t="s">
        <v>9359</v>
      </c>
      <c r="BT487" t="str">
        <f>HYPERLINK("https%3A%2F%2Fwww.webofscience.com%2Fwos%2Fwoscc%2Ffull-record%2FWOS:001032155700001","View Full Record in Web of Science")</f>
        <v>View Full Record in Web of Science</v>
      </c>
    </row>
    <row r="488" spans="1:72" x14ac:dyDescent="0.2">
      <c r="A488" t="s">
        <v>72</v>
      </c>
      <c r="B488" t="s">
        <v>9360</v>
      </c>
      <c r="C488" t="s">
        <v>74</v>
      </c>
      <c r="D488" t="s">
        <v>74</v>
      </c>
      <c r="E488" t="s">
        <v>74</v>
      </c>
      <c r="F488" t="s">
        <v>9361</v>
      </c>
      <c r="G488" t="s">
        <v>74</v>
      </c>
      <c r="H488" t="s">
        <v>74</v>
      </c>
      <c r="I488" t="s">
        <v>9362</v>
      </c>
      <c r="J488" t="s">
        <v>2087</v>
      </c>
      <c r="K488" t="s">
        <v>74</v>
      </c>
      <c r="L488" t="s">
        <v>74</v>
      </c>
      <c r="M488" t="s">
        <v>78</v>
      </c>
      <c r="N488" t="s">
        <v>108</v>
      </c>
      <c r="O488" t="s">
        <v>74</v>
      </c>
      <c r="P488" t="s">
        <v>74</v>
      </c>
      <c r="Q488" t="s">
        <v>74</v>
      </c>
      <c r="R488" t="s">
        <v>74</v>
      </c>
      <c r="S488" t="s">
        <v>74</v>
      </c>
      <c r="T488" t="s">
        <v>9363</v>
      </c>
      <c r="U488" t="s">
        <v>9364</v>
      </c>
      <c r="V488" t="s">
        <v>9365</v>
      </c>
      <c r="W488" t="s">
        <v>9366</v>
      </c>
      <c r="X488" t="s">
        <v>9367</v>
      </c>
      <c r="Y488" t="s">
        <v>9368</v>
      </c>
      <c r="Z488" t="s">
        <v>9369</v>
      </c>
      <c r="AA488" t="s">
        <v>74</v>
      </c>
      <c r="AB488" t="s">
        <v>74</v>
      </c>
      <c r="AC488" t="s">
        <v>74</v>
      </c>
      <c r="AD488" t="s">
        <v>74</v>
      </c>
      <c r="AE488" t="s">
        <v>74</v>
      </c>
      <c r="AF488" t="s">
        <v>74</v>
      </c>
      <c r="AG488">
        <v>90</v>
      </c>
      <c r="AH488">
        <v>66</v>
      </c>
      <c r="AI488">
        <v>68</v>
      </c>
      <c r="AJ488">
        <v>10</v>
      </c>
      <c r="AK488">
        <v>89</v>
      </c>
      <c r="AL488" t="s">
        <v>259</v>
      </c>
      <c r="AM488" t="s">
        <v>260</v>
      </c>
      <c r="AN488" t="s">
        <v>261</v>
      </c>
      <c r="AO488" t="s">
        <v>2096</v>
      </c>
      <c r="AP488" t="s">
        <v>2097</v>
      </c>
      <c r="AQ488" t="s">
        <v>74</v>
      </c>
      <c r="AR488" t="s">
        <v>2098</v>
      </c>
      <c r="AS488" t="s">
        <v>2099</v>
      </c>
      <c r="AT488" t="s">
        <v>216</v>
      </c>
      <c r="AU488">
        <v>2019</v>
      </c>
      <c r="AV488">
        <v>49</v>
      </c>
      <c r="AW488" t="s">
        <v>74</v>
      </c>
      <c r="AX488" t="s">
        <v>74</v>
      </c>
      <c r="AY488" t="s">
        <v>74</v>
      </c>
      <c r="AZ488" t="s">
        <v>74</v>
      </c>
      <c r="BA488" t="s">
        <v>74</v>
      </c>
      <c r="BB488">
        <v>330</v>
      </c>
      <c r="BC488">
        <v>342</v>
      </c>
      <c r="BD488" t="s">
        <v>74</v>
      </c>
      <c r="BE488" t="s">
        <v>9370</v>
      </c>
      <c r="BF488" t="str">
        <f>HYPERLINK("http://dx.doi.org/10.1016/j.ijinfomgt.2019.06.002","http://dx.doi.org/10.1016/j.ijinfomgt.2019.06.002")</f>
        <v>http://dx.doi.org/10.1016/j.ijinfomgt.2019.06.002</v>
      </c>
      <c r="BG488" t="s">
        <v>74</v>
      </c>
      <c r="BH488" t="s">
        <v>74</v>
      </c>
      <c r="BI488">
        <v>13</v>
      </c>
      <c r="BJ488" t="s">
        <v>2102</v>
      </c>
      <c r="BK488" t="s">
        <v>242</v>
      </c>
      <c r="BL488" t="s">
        <v>2102</v>
      </c>
      <c r="BM488" t="s">
        <v>9371</v>
      </c>
      <c r="BN488" t="s">
        <v>74</v>
      </c>
      <c r="BO488" t="s">
        <v>74</v>
      </c>
      <c r="BP488" t="s">
        <v>74</v>
      </c>
      <c r="BQ488" t="s">
        <v>74</v>
      </c>
      <c r="BR488" t="s">
        <v>102</v>
      </c>
      <c r="BS488" t="s">
        <v>9372</v>
      </c>
      <c r="BT488" t="str">
        <f>HYPERLINK("https%3A%2F%2Fwww.webofscience.com%2Fwos%2Fwoscc%2Ffull-record%2FWOS:000489702000024","View Full Record in Web of Science")</f>
        <v>View Full Record in Web of Science</v>
      </c>
    </row>
    <row r="489" spans="1:72" x14ac:dyDescent="0.2">
      <c r="A489" t="s">
        <v>72</v>
      </c>
      <c r="B489" t="s">
        <v>9373</v>
      </c>
      <c r="C489" t="s">
        <v>74</v>
      </c>
      <c r="D489" t="s">
        <v>74</v>
      </c>
      <c r="E489" t="s">
        <v>74</v>
      </c>
      <c r="F489" t="s">
        <v>9374</v>
      </c>
      <c r="G489" t="s">
        <v>74</v>
      </c>
      <c r="H489" t="s">
        <v>74</v>
      </c>
      <c r="I489" t="s">
        <v>9375</v>
      </c>
      <c r="J489" t="s">
        <v>9054</v>
      </c>
      <c r="K489" t="s">
        <v>74</v>
      </c>
      <c r="L489" t="s">
        <v>74</v>
      </c>
      <c r="M489" t="s">
        <v>78</v>
      </c>
      <c r="N489" t="s">
        <v>79</v>
      </c>
      <c r="O489" t="s">
        <v>74</v>
      </c>
      <c r="P489" t="s">
        <v>74</v>
      </c>
      <c r="Q489" t="s">
        <v>74</v>
      </c>
      <c r="R489" t="s">
        <v>74</v>
      </c>
      <c r="S489" t="s">
        <v>74</v>
      </c>
      <c r="T489" t="s">
        <v>9376</v>
      </c>
      <c r="U489" t="s">
        <v>9377</v>
      </c>
      <c r="V489" t="s">
        <v>9378</v>
      </c>
      <c r="W489" t="s">
        <v>9379</v>
      </c>
      <c r="X489" t="s">
        <v>9380</v>
      </c>
      <c r="Y489" t="s">
        <v>9381</v>
      </c>
      <c r="Z489" t="s">
        <v>9382</v>
      </c>
      <c r="AA489" t="s">
        <v>9383</v>
      </c>
      <c r="AB489" t="s">
        <v>9384</v>
      </c>
      <c r="AC489" t="s">
        <v>74</v>
      </c>
      <c r="AD489" t="s">
        <v>74</v>
      </c>
      <c r="AE489" t="s">
        <v>74</v>
      </c>
      <c r="AF489" t="s">
        <v>74</v>
      </c>
      <c r="AG489">
        <v>156</v>
      </c>
      <c r="AH489">
        <v>27</v>
      </c>
      <c r="AI489">
        <v>27</v>
      </c>
      <c r="AJ489">
        <v>4</v>
      </c>
      <c r="AK489">
        <v>18</v>
      </c>
      <c r="AL489" t="s">
        <v>437</v>
      </c>
      <c r="AM489" t="s">
        <v>438</v>
      </c>
      <c r="AN489" t="s">
        <v>439</v>
      </c>
      <c r="AO489" t="s">
        <v>9064</v>
      </c>
      <c r="AP489" t="s">
        <v>9065</v>
      </c>
      <c r="AQ489" t="s">
        <v>74</v>
      </c>
      <c r="AR489" t="s">
        <v>9066</v>
      </c>
      <c r="AS489" t="s">
        <v>9067</v>
      </c>
      <c r="AT489" t="s">
        <v>5791</v>
      </c>
      <c r="AU489">
        <v>2020</v>
      </c>
      <c r="AV489">
        <v>17</v>
      </c>
      <c r="AW489">
        <v>3</v>
      </c>
      <c r="AX489" t="s">
        <v>74</v>
      </c>
      <c r="AY489" t="s">
        <v>74</v>
      </c>
      <c r="AZ489" t="s">
        <v>74</v>
      </c>
      <c r="BA489" t="s">
        <v>74</v>
      </c>
      <c r="BB489">
        <v>421</v>
      </c>
      <c r="BC489">
        <v>453</v>
      </c>
      <c r="BD489" t="s">
        <v>74</v>
      </c>
      <c r="BE489" t="s">
        <v>9385</v>
      </c>
      <c r="BF489" t="str">
        <f>HYPERLINK("http://dx.doi.org/10.1108/JAMR-10-2019-0193","http://dx.doi.org/10.1108/JAMR-10-2019-0193")</f>
        <v>http://dx.doi.org/10.1108/JAMR-10-2019-0193</v>
      </c>
      <c r="BG489" t="s">
        <v>74</v>
      </c>
      <c r="BH489" t="s">
        <v>802</v>
      </c>
      <c r="BI489">
        <v>33</v>
      </c>
      <c r="BJ489" t="s">
        <v>418</v>
      </c>
      <c r="BK489" t="s">
        <v>124</v>
      </c>
      <c r="BL489" t="s">
        <v>419</v>
      </c>
      <c r="BM489" t="s">
        <v>9386</v>
      </c>
      <c r="BN489" t="s">
        <v>74</v>
      </c>
      <c r="BO489" t="s">
        <v>74</v>
      </c>
      <c r="BP489" t="s">
        <v>74</v>
      </c>
      <c r="BQ489" t="s">
        <v>74</v>
      </c>
      <c r="BR489" t="s">
        <v>102</v>
      </c>
      <c r="BS489" t="s">
        <v>9387</v>
      </c>
      <c r="BT489" t="str">
        <f>HYPERLINK("https%3A%2F%2Fwww.webofscience.com%2Fwos%2Fwoscc%2Ffull-record%2FWOS:000526046700001","View Full Record in Web of Science")</f>
        <v>View Full Record in Web of Science</v>
      </c>
    </row>
    <row r="490" spans="1:72" x14ac:dyDescent="0.2">
      <c r="A490" t="s">
        <v>72</v>
      </c>
      <c r="B490" t="s">
        <v>9388</v>
      </c>
      <c r="C490" t="s">
        <v>74</v>
      </c>
      <c r="D490" t="s">
        <v>74</v>
      </c>
      <c r="E490" t="s">
        <v>74</v>
      </c>
      <c r="F490" t="s">
        <v>9389</v>
      </c>
      <c r="G490" t="s">
        <v>74</v>
      </c>
      <c r="H490" t="s">
        <v>74</v>
      </c>
      <c r="I490" t="s">
        <v>9390</v>
      </c>
      <c r="J490" t="s">
        <v>1081</v>
      </c>
      <c r="K490" t="s">
        <v>74</v>
      </c>
      <c r="L490" t="s">
        <v>74</v>
      </c>
      <c r="M490" t="s">
        <v>78</v>
      </c>
      <c r="N490" t="s">
        <v>108</v>
      </c>
      <c r="O490" t="s">
        <v>74</v>
      </c>
      <c r="P490" t="s">
        <v>74</v>
      </c>
      <c r="Q490" t="s">
        <v>74</v>
      </c>
      <c r="R490" t="s">
        <v>74</v>
      </c>
      <c r="S490" t="s">
        <v>74</v>
      </c>
      <c r="T490" t="s">
        <v>9391</v>
      </c>
      <c r="U490" t="s">
        <v>9392</v>
      </c>
      <c r="V490" t="s">
        <v>9393</v>
      </c>
      <c r="W490" t="s">
        <v>9394</v>
      </c>
      <c r="X490" t="s">
        <v>9395</v>
      </c>
      <c r="Y490" t="s">
        <v>9396</v>
      </c>
      <c r="Z490" t="s">
        <v>9397</v>
      </c>
      <c r="AA490" t="s">
        <v>9398</v>
      </c>
      <c r="AB490" t="s">
        <v>9399</v>
      </c>
      <c r="AC490" t="s">
        <v>74</v>
      </c>
      <c r="AD490" t="s">
        <v>74</v>
      </c>
      <c r="AE490" t="s">
        <v>74</v>
      </c>
      <c r="AF490" t="s">
        <v>74</v>
      </c>
      <c r="AG490">
        <v>75</v>
      </c>
      <c r="AH490">
        <v>33</v>
      </c>
      <c r="AI490">
        <v>34</v>
      </c>
      <c r="AJ490">
        <v>12</v>
      </c>
      <c r="AK490">
        <v>74</v>
      </c>
      <c r="AL490" t="s">
        <v>279</v>
      </c>
      <c r="AM490" t="s">
        <v>280</v>
      </c>
      <c r="AN490" t="s">
        <v>281</v>
      </c>
      <c r="AO490" t="s">
        <v>1093</v>
      </c>
      <c r="AP490" t="s">
        <v>1094</v>
      </c>
      <c r="AQ490" t="s">
        <v>74</v>
      </c>
      <c r="AR490" t="s">
        <v>1095</v>
      </c>
      <c r="AS490" t="s">
        <v>1096</v>
      </c>
      <c r="AT490" t="s">
        <v>3677</v>
      </c>
      <c r="AU490">
        <v>2020</v>
      </c>
      <c r="AV490">
        <v>31</v>
      </c>
      <c r="AW490">
        <v>16</v>
      </c>
      <c r="AX490" t="s">
        <v>74</v>
      </c>
      <c r="AY490" t="s">
        <v>74</v>
      </c>
      <c r="AZ490" t="s">
        <v>74</v>
      </c>
      <c r="BA490" t="s">
        <v>74</v>
      </c>
      <c r="BB490">
        <v>1336</v>
      </c>
      <c r="BC490">
        <v>1348</v>
      </c>
      <c r="BD490" t="s">
        <v>74</v>
      </c>
      <c r="BE490" t="s">
        <v>9400</v>
      </c>
      <c r="BF490" t="str">
        <f>HYPERLINK("http://dx.doi.org/10.1080/09537287.2019.1707322","http://dx.doi.org/10.1080/09537287.2019.1707322")</f>
        <v>http://dx.doi.org/10.1080/09537287.2019.1707322</v>
      </c>
      <c r="BG490" t="s">
        <v>74</v>
      </c>
      <c r="BH490" t="s">
        <v>2333</v>
      </c>
      <c r="BI490">
        <v>13</v>
      </c>
      <c r="BJ490" t="s">
        <v>780</v>
      </c>
      <c r="BK490" t="s">
        <v>147</v>
      </c>
      <c r="BL490" t="s">
        <v>781</v>
      </c>
      <c r="BM490" t="s">
        <v>3679</v>
      </c>
      <c r="BN490" t="s">
        <v>74</v>
      </c>
      <c r="BO490" t="s">
        <v>1833</v>
      </c>
      <c r="BP490" t="s">
        <v>74</v>
      </c>
      <c r="BQ490" t="s">
        <v>74</v>
      </c>
      <c r="BR490" t="s">
        <v>102</v>
      </c>
      <c r="BS490" t="s">
        <v>9401</v>
      </c>
      <c r="BT490" t="str">
        <f>HYPERLINK("https%3A%2F%2Fwww.webofscience.com%2Fwos%2Fwoscc%2Ffull-record%2FWOS:000505885400001","View Full Record in Web of Science")</f>
        <v>View Full Record in Web of Science</v>
      </c>
    </row>
    <row r="491" spans="1:72" x14ac:dyDescent="0.2">
      <c r="A491" t="s">
        <v>72</v>
      </c>
      <c r="B491" t="s">
        <v>9402</v>
      </c>
      <c r="C491" t="s">
        <v>74</v>
      </c>
      <c r="D491" t="s">
        <v>74</v>
      </c>
      <c r="E491" t="s">
        <v>74</v>
      </c>
      <c r="F491" t="s">
        <v>9403</v>
      </c>
      <c r="G491" t="s">
        <v>74</v>
      </c>
      <c r="H491" t="s">
        <v>74</v>
      </c>
      <c r="I491" t="s">
        <v>9404</v>
      </c>
      <c r="J491" t="s">
        <v>4126</v>
      </c>
      <c r="K491" t="s">
        <v>74</v>
      </c>
      <c r="L491" t="s">
        <v>74</v>
      </c>
      <c r="M491" t="s">
        <v>78</v>
      </c>
      <c r="N491" t="s">
        <v>108</v>
      </c>
      <c r="O491" t="s">
        <v>74</v>
      </c>
      <c r="P491" t="s">
        <v>74</v>
      </c>
      <c r="Q491" t="s">
        <v>74</v>
      </c>
      <c r="R491" t="s">
        <v>74</v>
      </c>
      <c r="S491" t="s">
        <v>74</v>
      </c>
      <c r="T491" t="s">
        <v>9405</v>
      </c>
      <c r="U491" t="s">
        <v>9406</v>
      </c>
      <c r="V491" t="s">
        <v>9407</v>
      </c>
      <c r="W491" t="s">
        <v>9408</v>
      </c>
      <c r="X491" t="s">
        <v>9409</v>
      </c>
      <c r="Y491" t="s">
        <v>9410</v>
      </c>
      <c r="Z491" t="s">
        <v>9411</v>
      </c>
      <c r="AA491" t="s">
        <v>9412</v>
      </c>
      <c r="AB491" t="s">
        <v>9413</v>
      </c>
      <c r="AC491" t="s">
        <v>74</v>
      </c>
      <c r="AD491" t="s">
        <v>74</v>
      </c>
      <c r="AE491" t="s">
        <v>74</v>
      </c>
      <c r="AF491" t="s">
        <v>74</v>
      </c>
      <c r="AG491">
        <v>78</v>
      </c>
      <c r="AH491">
        <v>7</v>
      </c>
      <c r="AI491">
        <v>7</v>
      </c>
      <c r="AJ491">
        <v>3</v>
      </c>
      <c r="AK491">
        <v>17</v>
      </c>
      <c r="AL491" t="s">
        <v>437</v>
      </c>
      <c r="AM491" t="s">
        <v>438</v>
      </c>
      <c r="AN491" t="s">
        <v>439</v>
      </c>
      <c r="AO491" t="s">
        <v>4136</v>
      </c>
      <c r="AP491" t="s">
        <v>4137</v>
      </c>
      <c r="AQ491" t="s">
        <v>74</v>
      </c>
      <c r="AR491" t="s">
        <v>4138</v>
      </c>
      <c r="AS491" t="s">
        <v>4139</v>
      </c>
      <c r="AT491" t="s">
        <v>9414</v>
      </c>
      <c r="AU491">
        <v>2021</v>
      </c>
      <c r="AV491">
        <v>34</v>
      </c>
      <c r="AW491">
        <v>1</v>
      </c>
      <c r="AX491" t="s">
        <v>74</v>
      </c>
      <c r="AY491" t="s">
        <v>74</v>
      </c>
      <c r="AZ491" t="s">
        <v>570</v>
      </c>
      <c r="BA491" t="s">
        <v>74</v>
      </c>
      <c r="BB491">
        <v>199</v>
      </c>
      <c r="BC491">
        <v>229</v>
      </c>
      <c r="BD491" t="s">
        <v>74</v>
      </c>
      <c r="BE491" t="s">
        <v>9415</v>
      </c>
      <c r="BF491" t="str">
        <f>HYPERLINK("http://dx.doi.org/10.1108/JEIM-09-2019-0262","http://dx.doi.org/10.1108/JEIM-09-2019-0262")</f>
        <v>http://dx.doi.org/10.1108/JEIM-09-2019-0262</v>
      </c>
      <c r="BG491" t="s">
        <v>74</v>
      </c>
      <c r="BH491" t="s">
        <v>5359</v>
      </c>
      <c r="BI491">
        <v>31</v>
      </c>
      <c r="BJ491" t="s">
        <v>4142</v>
      </c>
      <c r="BK491" t="s">
        <v>242</v>
      </c>
      <c r="BL491" t="s">
        <v>4143</v>
      </c>
      <c r="BM491" t="s">
        <v>9416</v>
      </c>
      <c r="BN491" t="s">
        <v>74</v>
      </c>
      <c r="BO491" t="s">
        <v>74</v>
      </c>
      <c r="BP491" t="s">
        <v>74</v>
      </c>
      <c r="BQ491" t="s">
        <v>74</v>
      </c>
      <c r="BR491" t="s">
        <v>102</v>
      </c>
      <c r="BS491" t="s">
        <v>9417</v>
      </c>
      <c r="BT491" t="str">
        <f>HYPERLINK("https%3A%2F%2Fwww.webofscience.com%2Fwos%2Fwoscc%2Ffull-record%2FWOS:000541724500001","View Full Record in Web of Science")</f>
        <v>View Full Record in Web of Science</v>
      </c>
    </row>
    <row r="492" spans="1:72" x14ac:dyDescent="0.2">
      <c r="A492" t="s">
        <v>72</v>
      </c>
      <c r="B492" t="s">
        <v>9418</v>
      </c>
      <c r="C492" t="s">
        <v>74</v>
      </c>
      <c r="D492" t="s">
        <v>74</v>
      </c>
      <c r="E492" t="s">
        <v>74</v>
      </c>
      <c r="F492" t="s">
        <v>9419</v>
      </c>
      <c r="G492" t="s">
        <v>74</v>
      </c>
      <c r="H492" t="s">
        <v>74</v>
      </c>
      <c r="I492" t="s">
        <v>9420</v>
      </c>
      <c r="J492" t="s">
        <v>9421</v>
      </c>
      <c r="K492" t="s">
        <v>74</v>
      </c>
      <c r="L492" t="s">
        <v>74</v>
      </c>
      <c r="M492" t="s">
        <v>78</v>
      </c>
      <c r="N492" t="s">
        <v>108</v>
      </c>
      <c r="O492" t="s">
        <v>74</v>
      </c>
      <c r="P492" t="s">
        <v>74</v>
      </c>
      <c r="Q492" t="s">
        <v>74</v>
      </c>
      <c r="R492" t="s">
        <v>74</v>
      </c>
      <c r="S492" t="s">
        <v>74</v>
      </c>
      <c r="T492" t="s">
        <v>9422</v>
      </c>
      <c r="U492" t="s">
        <v>9423</v>
      </c>
      <c r="V492" t="s">
        <v>9424</v>
      </c>
      <c r="W492" t="s">
        <v>9425</v>
      </c>
      <c r="X492" t="s">
        <v>9426</v>
      </c>
      <c r="Y492" t="s">
        <v>9427</v>
      </c>
      <c r="Z492" t="s">
        <v>9428</v>
      </c>
      <c r="AA492" t="s">
        <v>74</v>
      </c>
      <c r="AB492" t="s">
        <v>74</v>
      </c>
      <c r="AC492" t="s">
        <v>74</v>
      </c>
      <c r="AD492" t="s">
        <v>74</v>
      </c>
      <c r="AE492" t="s">
        <v>74</v>
      </c>
      <c r="AF492" t="s">
        <v>74</v>
      </c>
      <c r="AG492">
        <v>38</v>
      </c>
      <c r="AH492">
        <v>1</v>
      </c>
      <c r="AI492">
        <v>1</v>
      </c>
      <c r="AJ492">
        <v>0</v>
      </c>
      <c r="AK492">
        <v>20</v>
      </c>
      <c r="AL492" t="s">
        <v>9429</v>
      </c>
      <c r="AM492" t="s">
        <v>5730</v>
      </c>
      <c r="AN492" t="s">
        <v>9430</v>
      </c>
      <c r="AO492" t="s">
        <v>9431</v>
      </c>
      <c r="AP492" t="s">
        <v>74</v>
      </c>
      <c r="AQ492" t="s">
        <v>74</v>
      </c>
      <c r="AR492" t="s">
        <v>9432</v>
      </c>
      <c r="AS492" t="s">
        <v>9433</v>
      </c>
      <c r="AT492" t="s">
        <v>846</v>
      </c>
      <c r="AU492">
        <v>2011</v>
      </c>
      <c r="AV492">
        <v>7</v>
      </c>
      <c r="AW492">
        <v>2</v>
      </c>
      <c r="AX492" t="s">
        <v>74</v>
      </c>
      <c r="AY492" t="s">
        <v>74</v>
      </c>
      <c r="AZ492" t="s">
        <v>74</v>
      </c>
      <c r="BA492" t="s">
        <v>74</v>
      </c>
      <c r="BB492">
        <v>401</v>
      </c>
      <c r="BC492">
        <v>424</v>
      </c>
      <c r="BD492" t="s">
        <v>74</v>
      </c>
      <c r="BE492" t="s">
        <v>9434</v>
      </c>
      <c r="BF492" t="str">
        <f>HYPERLINK("http://dx.doi.org/10.3934/jimo.2011.7.401","http://dx.doi.org/10.3934/jimo.2011.7.401")</f>
        <v>http://dx.doi.org/10.3934/jimo.2011.7.401</v>
      </c>
      <c r="BG492" t="s">
        <v>74</v>
      </c>
      <c r="BH492" t="s">
        <v>74</v>
      </c>
      <c r="BI492">
        <v>24</v>
      </c>
      <c r="BJ492" t="s">
        <v>9435</v>
      </c>
      <c r="BK492" t="s">
        <v>147</v>
      </c>
      <c r="BL492" t="s">
        <v>1764</v>
      </c>
      <c r="BM492" t="s">
        <v>9436</v>
      </c>
      <c r="BN492" t="s">
        <v>74</v>
      </c>
      <c r="BO492" t="s">
        <v>74</v>
      </c>
      <c r="BP492" t="s">
        <v>74</v>
      </c>
      <c r="BQ492" t="s">
        <v>74</v>
      </c>
      <c r="BR492" t="s">
        <v>102</v>
      </c>
      <c r="BS492" t="s">
        <v>9437</v>
      </c>
      <c r="BT492" t="str">
        <f>HYPERLINK("https%3A%2F%2Fwww.webofscience.com%2Fwos%2Fwoscc%2Ffull-record%2FWOS:000290616900007","View Full Record in Web of Science")</f>
        <v>View Full Record in Web of Science</v>
      </c>
    </row>
    <row r="493" spans="1:72" x14ac:dyDescent="0.2">
      <c r="A493" t="s">
        <v>72</v>
      </c>
      <c r="B493" t="s">
        <v>9438</v>
      </c>
      <c r="C493" t="s">
        <v>74</v>
      </c>
      <c r="D493" t="s">
        <v>74</v>
      </c>
      <c r="E493" t="s">
        <v>74</v>
      </c>
      <c r="F493" t="s">
        <v>9439</v>
      </c>
      <c r="G493" t="s">
        <v>74</v>
      </c>
      <c r="H493" t="s">
        <v>74</v>
      </c>
      <c r="I493" t="s">
        <v>9440</v>
      </c>
      <c r="J493" t="s">
        <v>9441</v>
      </c>
      <c r="K493" t="s">
        <v>74</v>
      </c>
      <c r="L493" t="s">
        <v>74</v>
      </c>
      <c r="M493" t="s">
        <v>78</v>
      </c>
      <c r="N493" t="s">
        <v>108</v>
      </c>
      <c r="O493" t="s">
        <v>74</v>
      </c>
      <c r="P493" t="s">
        <v>74</v>
      </c>
      <c r="Q493" t="s">
        <v>74</v>
      </c>
      <c r="R493" t="s">
        <v>74</v>
      </c>
      <c r="S493" t="s">
        <v>74</v>
      </c>
      <c r="T493" t="s">
        <v>9442</v>
      </c>
      <c r="U493" t="s">
        <v>9443</v>
      </c>
      <c r="V493" t="s">
        <v>9444</v>
      </c>
      <c r="W493" t="s">
        <v>9445</v>
      </c>
      <c r="X493" t="s">
        <v>9446</v>
      </c>
      <c r="Y493" t="s">
        <v>9447</v>
      </c>
      <c r="Z493" t="s">
        <v>9448</v>
      </c>
      <c r="AA493" t="s">
        <v>74</v>
      </c>
      <c r="AB493" t="s">
        <v>74</v>
      </c>
      <c r="AC493" t="s">
        <v>74</v>
      </c>
      <c r="AD493" t="s">
        <v>74</v>
      </c>
      <c r="AE493" t="s">
        <v>74</v>
      </c>
      <c r="AF493" t="s">
        <v>74</v>
      </c>
      <c r="AG493">
        <v>93</v>
      </c>
      <c r="AH493">
        <v>5</v>
      </c>
      <c r="AI493">
        <v>5</v>
      </c>
      <c r="AJ493">
        <v>10</v>
      </c>
      <c r="AK493">
        <v>24</v>
      </c>
      <c r="AL493" t="s">
        <v>209</v>
      </c>
      <c r="AM493" t="s">
        <v>210</v>
      </c>
      <c r="AN493" t="s">
        <v>211</v>
      </c>
      <c r="AO493" t="s">
        <v>9449</v>
      </c>
      <c r="AP493" t="s">
        <v>74</v>
      </c>
      <c r="AQ493" t="s">
        <v>74</v>
      </c>
      <c r="AR493" t="s">
        <v>9450</v>
      </c>
      <c r="AS493" t="s">
        <v>9451</v>
      </c>
      <c r="AT493" t="s">
        <v>239</v>
      </c>
      <c r="AU493">
        <v>2022</v>
      </c>
      <c r="AV493">
        <v>27</v>
      </c>
      <c r="AW493" t="s">
        <v>74</v>
      </c>
      <c r="AX493" t="s">
        <v>74</v>
      </c>
      <c r="AY493" t="s">
        <v>74</v>
      </c>
      <c r="AZ493" t="s">
        <v>74</v>
      </c>
      <c r="BA493" t="s">
        <v>74</v>
      </c>
      <c r="BB493" t="s">
        <v>74</v>
      </c>
      <c r="BC493" t="s">
        <v>74</v>
      </c>
      <c r="BD493">
        <v>102429</v>
      </c>
      <c r="BE493" t="s">
        <v>9452</v>
      </c>
      <c r="BF493" t="str">
        <f>HYPERLINK("http://dx.doi.org/10.1016/j.eti.2022.102429","http://dx.doi.org/10.1016/j.eti.2022.102429")</f>
        <v>http://dx.doi.org/10.1016/j.eti.2022.102429</v>
      </c>
      <c r="BG493" t="s">
        <v>74</v>
      </c>
      <c r="BH493" t="s">
        <v>329</v>
      </c>
      <c r="BI493">
        <v>23</v>
      </c>
      <c r="BJ493" t="s">
        <v>9453</v>
      </c>
      <c r="BK493" t="s">
        <v>98</v>
      </c>
      <c r="BL493" t="s">
        <v>9454</v>
      </c>
      <c r="BM493" t="s">
        <v>9455</v>
      </c>
      <c r="BN493" t="s">
        <v>74</v>
      </c>
      <c r="BO493" t="s">
        <v>126</v>
      </c>
      <c r="BP493" t="s">
        <v>74</v>
      </c>
      <c r="BQ493" t="s">
        <v>74</v>
      </c>
      <c r="BR493" t="s">
        <v>102</v>
      </c>
      <c r="BS493" t="s">
        <v>9456</v>
      </c>
      <c r="BT493" t="str">
        <f>HYPERLINK("https%3A%2F%2Fwww.webofscience.com%2Fwos%2Fwoscc%2Ffull-record%2FWOS:000797517900012","View Full Record in Web of Science")</f>
        <v>View Full Record in Web of Science</v>
      </c>
    </row>
    <row r="494" spans="1:72" x14ac:dyDescent="0.2">
      <c r="A494" t="s">
        <v>72</v>
      </c>
      <c r="B494" t="s">
        <v>9457</v>
      </c>
      <c r="C494" t="s">
        <v>74</v>
      </c>
      <c r="D494" t="s">
        <v>74</v>
      </c>
      <c r="E494" t="s">
        <v>74</v>
      </c>
      <c r="F494" t="s">
        <v>9458</v>
      </c>
      <c r="G494" t="s">
        <v>74</v>
      </c>
      <c r="H494" t="s">
        <v>74</v>
      </c>
      <c r="I494" t="s">
        <v>9459</v>
      </c>
      <c r="J494" t="s">
        <v>2826</v>
      </c>
      <c r="K494" t="s">
        <v>74</v>
      </c>
      <c r="L494" t="s">
        <v>74</v>
      </c>
      <c r="M494" t="s">
        <v>78</v>
      </c>
      <c r="N494" t="s">
        <v>108</v>
      </c>
      <c r="O494" t="s">
        <v>74</v>
      </c>
      <c r="P494" t="s">
        <v>74</v>
      </c>
      <c r="Q494" t="s">
        <v>74</v>
      </c>
      <c r="R494" t="s">
        <v>74</v>
      </c>
      <c r="S494" t="s">
        <v>74</v>
      </c>
      <c r="T494" t="s">
        <v>9460</v>
      </c>
      <c r="U494" t="s">
        <v>9461</v>
      </c>
      <c r="V494" t="s">
        <v>9462</v>
      </c>
      <c r="W494" t="s">
        <v>9463</v>
      </c>
      <c r="X494" t="s">
        <v>9464</v>
      </c>
      <c r="Y494" t="s">
        <v>9465</v>
      </c>
      <c r="Z494" t="s">
        <v>9466</v>
      </c>
      <c r="AA494" t="s">
        <v>9467</v>
      </c>
      <c r="AB494" t="s">
        <v>9468</v>
      </c>
      <c r="AC494" t="s">
        <v>74</v>
      </c>
      <c r="AD494" t="s">
        <v>74</v>
      </c>
      <c r="AE494" t="s">
        <v>74</v>
      </c>
      <c r="AF494" t="s">
        <v>74</v>
      </c>
      <c r="AG494">
        <v>57</v>
      </c>
      <c r="AH494">
        <v>24</v>
      </c>
      <c r="AI494">
        <v>24</v>
      </c>
      <c r="AJ494">
        <v>3</v>
      </c>
      <c r="AK494">
        <v>52</v>
      </c>
      <c r="AL494" t="s">
        <v>9469</v>
      </c>
      <c r="AM494" t="s">
        <v>438</v>
      </c>
      <c r="AN494" t="s">
        <v>439</v>
      </c>
      <c r="AO494" t="s">
        <v>2836</v>
      </c>
      <c r="AP494" t="s">
        <v>74</v>
      </c>
      <c r="AQ494" t="s">
        <v>74</v>
      </c>
      <c r="AR494" t="s">
        <v>2838</v>
      </c>
      <c r="AS494" t="s">
        <v>2839</v>
      </c>
      <c r="AT494" t="s">
        <v>74</v>
      </c>
      <c r="AU494">
        <v>2012</v>
      </c>
      <c r="AV494">
        <v>50</v>
      </c>
      <c r="AW494">
        <v>10</v>
      </c>
      <c r="AX494" t="s">
        <v>74</v>
      </c>
      <c r="AY494" t="s">
        <v>74</v>
      </c>
      <c r="AZ494" t="s">
        <v>74</v>
      </c>
      <c r="BA494" t="s">
        <v>74</v>
      </c>
      <c r="BB494">
        <v>1891</v>
      </c>
      <c r="BC494">
        <v>1910</v>
      </c>
      <c r="BD494" t="s">
        <v>74</v>
      </c>
      <c r="BE494" t="s">
        <v>9470</v>
      </c>
      <c r="BF494" t="str">
        <f>HYPERLINK("http://dx.doi.org/10.1108/00251741211279666","http://dx.doi.org/10.1108/00251741211279666")</f>
        <v>http://dx.doi.org/10.1108/00251741211279666</v>
      </c>
      <c r="BG494" t="s">
        <v>74</v>
      </c>
      <c r="BH494" t="s">
        <v>74</v>
      </c>
      <c r="BI494">
        <v>20</v>
      </c>
      <c r="BJ494" t="s">
        <v>849</v>
      </c>
      <c r="BK494" t="s">
        <v>242</v>
      </c>
      <c r="BL494" t="s">
        <v>419</v>
      </c>
      <c r="BM494" t="s">
        <v>9471</v>
      </c>
      <c r="BN494" t="s">
        <v>74</v>
      </c>
      <c r="BO494" t="s">
        <v>74</v>
      </c>
      <c r="BP494" t="s">
        <v>74</v>
      </c>
      <c r="BQ494" t="s">
        <v>74</v>
      </c>
      <c r="BR494" t="s">
        <v>102</v>
      </c>
      <c r="BS494" t="s">
        <v>9472</v>
      </c>
      <c r="BT494" t="str">
        <f>HYPERLINK("https%3A%2F%2Fwww.webofscience.com%2Fwos%2Fwoscc%2Ffull-record%2FWOS:000311772300011","View Full Record in Web of Science")</f>
        <v>View Full Record in Web of Science</v>
      </c>
    </row>
    <row r="495" spans="1:72" x14ac:dyDescent="0.2">
      <c r="A495" t="s">
        <v>72</v>
      </c>
      <c r="B495" t="s">
        <v>9473</v>
      </c>
      <c r="C495" t="s">
        <v>74</v>
      </c>
      <c r="D495" t="s">
        <v>74</v>
      </c>
      <c r="E495" t="s">
        <v>74</v>
      </c>
      <c r="F495" t="s">
        <v>9473</v>
      </c>
      <c r="G495" t="s">
        <v>74</v>
      </c>
      <c r="H495" t="s">
        <v>74</v>
      </c>
      <c r="I495" t="s">
        <v>9474</v>
      </c>
      <c r="J495" t="s">
        <v>4593</v>
      </c>
      <c r="K495" t="s">
        <v>74</v>
      </c>
      <c r="L495" t="s">
        <v>74</v>
      </c>
      <c r="M495" t="s">
        <v>78</v>
      </c>
      <c r="N495" t="s">
        <v>108</v>
      </c>
      <c r="O495" t="s">
        <v>74</v>
      </c>
      <c r="P495" t="s">
        <v>74</v>
      </c>
      <c r="Q495" t="s">
        <v>74</v>
      </c>
      <c r="R495" t="s">
        <v>74</v>
      </c>
      <c r="S495" t="s">
        <v>74</v>
      </c>
      <c r="T495" t="s">
        <v>9475</v>
      </c>
      <c r="U495" t="s">
        <v>74</v>
      </c>
      <c r="V495" t="s">
        <v>9476</v>
      </c>
      <c r="W495" t="s">
        <v>9477</v>
      </c>
      <c r="X495" t="s">
        <v>9478</v>
      </c>
      <c r="Y495" t="s">
        <v>9479</v>
      </c>
      <c r="Z495" t="s">
        <v>74</v>
      </c>
      <c r="AA495" t="s">
        <v>74</v>
      </c>
      <c r="AB495" t="s">
        <v>9480</v>
      </c>
      <c r="AC495" t="s">
        <v>74</v>
      </c>
      <c r="AD495" t="s">
        <v>74</v>
      </c>
      <c r="AE495" t="s">
        <v>74</v>
      </c>
      <c r="AF495" t="s">
        <v>74</v>
      </c>
      <c r="AG495">
        <v>30</v>
      </c>
      <c r="AH495">
        <v>49</v>
      </c>
      <c r="AI495">
        <v>49</v>
      </c>
      <c r="AJ495">
        <v>1</v>
      </c>
      <c r="AK495">
        <v>21</v>
      </c>
      <c r="AL495" t="s">
        <v>9481</v>
      </c>
      <c r="AM495" t="s">
        <v>9482</v>
      </c>
      <c r="AN495" t="s">
        <v>9483</v>
      </c>
      <c r="AO495" t="s">
        <v>4603</v>
      </c>
      <c r="AP495" t="s">
        <v>74</v>
      </c>
      <c r="AQ495" t="s">
        <v>74</v>
      </c>
      <c r="AR495" t="s">
        <v>4605</v>
      </c>
      <c r="AS495" t="s">
        <v>4606</v>
      </c>
      <c r="AT495" t="s">
        <v>9484</v>
      </c>
      <c r="AU495">
        <v>2002</v>
      </c>
      <c r="AV495">
        <v>42</v>
      </c>
      <c r="AW495">
        <v>3</v>
      </c>
      <c r="AX495" t="s">
        <v>74</v>
      </c>
      <c r="AY495" t="s">
        <v>74</v>
      </c>
      <c r="AZ495" t="s">
        <v>74</v>
      </c>
      <c r="BA495" t="s">
        <v>74</v>
      </c>
      <c r="BB495">
        <v>77</v>
      </c>
      <c r="BC495">
        <v>86</v>
      </c>
      <c r="BD495" t="s">
        <v>74</v>
      </c>
      <c r="BE495" t="s">
        <v>74</v>
      </c>
      <c r="BF495" t="s">
        <v>74</v>
      </c>
      <c r="BG495" t="s">
        <v>74</v>
      </c>
      <c r="BH495" t="s">
        <v>74</v>
      </c>
      <c r="BI495">
        <v>10</v>
      </c>
      <c r="BJ495" t="s">
        <v>123</v>
      </c>
      <c r="BK495" t="s">
        <v>98</v>
      </c>
      <c r="BL495" t="s">
        <v>99</v>
      </c>
      <c r="BM495" t="s">
        <v>9485</v>
      </c>
      <c r="BN495" t="s">
        <v>74</v>
      </c>
      <c r="BO495" t="s">
        <v>74</v>
      </c>
      <c r="BP495" t="s">
        <v>74</v>
      </c>
      <c r="BQ495" t="s">
        <v>74</v>
      </c>
      <c r="BR495" t="s">
        <v>102</v>
      </c>
      <c r="BS495" t="s">
        <v>9486</v>
      </c>
      <c r="BT495" t="str">
        <f>HYPERLINK("https%3A%2F%2Fwww.webofscience.com%2Fwos%2Fwoscc%2Ffull-record%2FWOS:000175407800011","View Full Record in Web of Science")</f>
        <v>View Full Record in Web of Science</v>
      </c>
    </row>
    <row r="496" spans="1:72" x14ac:dyDescent="0.2">
      <c r="A496" t="s">
        <v>72</v>
      </c>
      <c r="B496" t="s">
        <v>9487</v>
      </c>
      <c r="C496" t="s">
        <v>74</v>
      </c>
      <c r="D496" t="s">
        <v>74</v>
      </c>
      <c r="E496" t="s">
        <v>74</v>
      </c>
      <c r="F496" t="s">
        <v>9488</v>
      </c>
      <c r="G496" t="s">
        <v>74</v>
      </c>
      <c r="H496" t="s">
        <v>74</v>
      </c>
      <c r="I496" t="s">
        <v>9489</v>
      </c>
      <c r="J496" t="s">
        <v>2066</v>
      </c>
      <c r="K496" t="s">
        <v>74</v>
      </c>
      <c r="L496" t="s">
        <v>74</v>
      </c>
      <c r="M496" t="s">
        <v>78</v>
      </c>
      <c r="N496" t="s">
        <v>108</v>
      </c>
      <c r="O496" t="s">
        <v>74</v>
      </c>
      <c r="P496" t="s">
        <v>74</v>
      </c>
      <c r="Q496" t="s">
        <v>74</v>
      </c>
      <c r="R496" t="s">
        <v>74</v>
      </c>
      <c r="S496" t="s">
        <v>74</v>
      </c>
      <c r="T496" t="s">
        <v>9490</v>
      </c>
      <c r="U496" t="s">
        <v>9491</v>
      </c>
      <c r="V496" t="s">
        <v>9492</v>
      </c>
      <c r="W496" t="s">
        <v>9493</v>
      </c>
      <c r="X496" t="s">
        <v>8110</v>
      </c>
      <c r="Y496" t="s">
        <v>9494</v>
      </c>
      <c r="Z496" t="s">
        <v>9495</v>
      </c>
      <c r="AA496" t="s">
        <v>9496</v>
      </c>
      <c r="AB496" t="s">
        <v>9497</v>
      </c>
      <c r="AC496" t="s">
        <v>74</v>
      </c>
      <c r="AD496" t="s">
        <v>74</v>
      </c>
      <c r="AE496" t="s">
        <v>74</v>
      </c>
      <c r="AF496" t="s">
        <v>74</v>
      </c>
      <c r="AG496">
        <v>40</v>
      </c>
      <c r="AH496">
        <v>2</v>
      </c>
      <c r="AI496">
        <v>2</v>
      </c>
      <c r="AJ496">
        <v>0</v>
      </c>
      <c r="AK496">
        <v>20</v>
      </c>
      <c r="AL496" t="s">
        <v>409</v>
      </c>
      <c r="AM496" t="s">
        <v>410</v>
      </c>
      <c r="AN496" t="s">
        <v>411</v>
      </c>
      <c r="AO496" t="s">
        <v>2076</v>
      </c>
      <c r="AP496" t="s">
        <v>2077</v>
      </c>
      <c r="AQ496" t="s">
        <v>74</v>
      </c>
      <c r="AR496" t="s">
        <v>2078</v>
      </c>
      <c r="AS496" t="s">
        <v>2079</v>
      </c>
      <c r="AT496" t="s">
        <v>416</v>
      </c>
      <c r="AU496">
        <v>2019</v>
      </c>
      <c r="AV496">
        <v>65</v>
      </c>
      <c r="AW496">
        <v>6</v>
      </c>
      <c r="AX496" t="s">
        <v>74</v>
      </c>
      <c r="AY496" t="s">
        <v>74</v>
      </c>
      <c r="AZ496" t="s">
        <v>74</v>
      </c>
      <c r="BA496" t="s">
        <v>74</v>
      </c>
      <c r="BB496" t="s">
        <v>74</v>
      </c>
      <c r="BC496" t="s">
        <v>74</v>
      </c>
      <c r="BD496" t="s">
        <v>9498</v>
      </c>
      <c r="BE496" t="s">
        <v>9499</v>
      </c>
      <c r="BF496" t="str">
        <f>HYPERLINK("http://dx.doi.org/10.1002/aic.16578","http://dx.doi.org/10.1002/aic.16578")</f>
        <v>http://dx.doi.org/10.1002/aic.16578</v>
      </c>
      <c r="BG496" t="s">
        <v>74</v>
      </c>
      <c r="BH496" t="s">
        <v>74</v>
      </c>
      <c r="BI496">
        <v>15</v>
      </c>
      <c r="BJ496" t="s">
        <v>1291</v>
      </c>
      <c r="BK496" t="s">
        <v>147</v>
      </c>
      <c r="BL496" t="s">
        <v>1292</v>
      </c>
      <c r="BM496" t="s">
        <v>9500</v>
      </c>
      <c r="BN496" t="s">
        <v>74</v>
      </c>
      <c r="BO496" t="s">
        <v>74</v>
      </c>
      <c r="BP496" t="s">
        <v>74</v>
      </c>
      <c r="BQ496" t="s">
        <v>74</v>
      </c>
      <c r="BR496" t="s">
        <v>102</v>
      </c>
      <c r="BS496" t="s">
        <v>9501</v>
      </c>
      <c r="BT496" t="str">
        <f>HYPERLINK("https%3A%2F%2Fwww.webofscience.com%2Fwos%2Fwoscc%2Ffull-record%2FWOS:000467752600024","View Full Record in Web of Science")</f>
        <v>View Full Record in Web of Science</v>
      </c>
    </row>
    <row r="497" spans="1:72" x14ac:dyDescent="0.2">
      <c r="A497" t="s">
        <v>72</v>
      </c>
      <c r="B497" t="s">
        <v>9502</v>
      </c>
      <c r="C497" t="s">
        <v>74</v>
      </c>
      <c r="D497" t="s">
        <v>74</v>
      </c>
      <c r="E497" t="s">
        <v>74</v>
      </c>
      <c r="F497" t="s">
        <v>9503</v>
      </c>
      <c r="G497" t="s">
        <v>74</v>
      </c>
      <c r="H497" t="s">
        <v>74</v>
      </c>
      <c r="I497" t="s">
        <v>9504</v>
      </c>
      <c r="J497" t="s">
        <v>9505</v>
      </c>
      <c r="K497" t="s">
        <v>74</v>
      </c>
      <c r="L497" t="s">
        <v>74</v>
      </c>
      <c r="M497" t="s">
        <v>78</v>
      </c>
      <c r="N497" t="s">
        <v>108</v>
      </c>
      <c r="O497" t="s">
        <v>74</v>
      </c>
      <c r="P497" t="s">
        <v>74</v>
      </c>
      <c r="Q497" t="s">
        <v>74</v>
      </c>
      <c r="R497" t="s">
        <v>74</v>
      </c>
      <c r="S497" t="s">
        <v>74</v>
      </c>
      <c r="T497" t="s">
        <v>9506</v>
      </c>
      <c r="U497" t="s">
        <v>9507</v>
      </c>
      <c r="V497" t="s">
        <v>9508</v>
      </c>
      <c r="W497" t="s">
        <v>9509</v>
      </c>
      <c r="X497" t="s">
        <v>9510</v>
      </c>
      <c r="Y497" t="s">
        <v>9511</v>
      </c>
      <c r="Z497" t="s">
        <v>9512</v>
      </c>
      <c r="AA497" t="s">
        <v>74</v>
      </c>
      <c r="AB497" t="s">
        <v>74</v>
      </c>
      <c r="AC497" t="s">
        <v>9513</v>
      </c>
      <c r="AD497" t="s">
        <v>9514</v>
      </c>
      <c r="AE497" t="s">
        <v>9515</v>
      </c>
      <c r="AF497" t="s">
        <v>74</v>
      </c>
      <c r="AG497">
        <v>28</v>
      </c>
      <c r="AH497">
        <v>15</v>
      </c>
      <c r="AI497">
        <v>15</v>
      </c>
      <c r="AJ497">
        <v>0</v>
      </c>
      <c r="AK497">
        <v>23</v>
      </c>
      <c r="AL497" t="s">
        <v>4005</v>
      </c>
      <c r="AM497" t="s">
        <v>4006</v>
      </c>
      <c r="AN497" t="s">
        <v>4007</v>
      </c>
      <c r="AO497" t="s">
        <v>9516</v>
      </c>
      <c r="AP497" t="s">
        <v>9517</v>
      </c>
      <c r="AQ497" t="s">
        <v>74</v>
      </c>
      <c r="AR497" t="s">
        <v>9518</v>
      </c>
      <c r="AS497" t="s">
        <v>9519</v>
      </c>
      <c r="AT497" t="s">
        <v>416</v>
      </c>
      <c r="AU497">
        <v>2012</v>
      </c>
      <c r="AV497">
        <v>14</v>
      </c>
      <c r="AW497">
        <v>2</v>
      </c>
      <c r="AX497" t="s">
        <v>74</v>
      </c>
      <c r="AY497" t="s">
        <v>74</v>
      </c>
      <c r="AZ497" t="s">
        <v>74</v>
      </c>
      <c r="BA497" t="s">
        <v>74</v>
      </c>
      <c r="BB497">
        <v>215</v>
      </c>
      <c r="BC497">
        <v>225</v>
      </c>
      <c r="BD497" t="s">
        <v>74</v>
      </c>
      <c r="BE497" t="s">
        <v>74</v>
      </c>
      <c r="BF497" t="s">
        <v>74</v>
      </c>
      <c r="BG497" t="s">
        <v>74</v>
      </c>
      <c r="BH497" t="s">
        <v>74</v>
      </c>
      <c r="BI497">
        <v>11</v>
      </c>
      <c r="BJ497" t="s">
        <v>9520</v>
      </c>
      <c r="BK497" t="s">
        <v>98</v>
      </c>
      <c r="BL497" t="s">
        <v>1929</v>
      </c>
      <c r="BM497" t="s">
        <v>9521</v>
      </c>
      <c r="BN497" t="s">
        <v>74</v>
      </c>
      <c r="BO497" t="s">
        <v>74</v>
      </c>
      <c r="BP497" t="s">
        <v>74</v>
      </c>
      <c r="BQ497" t="s">
        <v>74</v>
      </c>
      <c r="BR497" t="s">
        <v>102</v>
      </c>
      <c r="BS497" t="s">
        <v>9522</v>
      </c>
      <c r="BT497" t="str">
        <f>HYPERLINK("https%3A%2F%2Fwww.webofscience.com%2Fwos%2Fwoscc%2Ffull-record%2FWOS:000306825100004","View Full Record in Web of Science")</f>
        <v>View Full Record in Web of Science</v>
      </c>
    </row>
    <row r="498" spans="1:72" x14ac:dyDescent="0.2">
      <c r="A498" t="s">
        <v>72</v>
      </c>
      <c r="B498" t="s">
        <v>9523</v>
      </c>
      <c r="C498" t="s">
        <v>74</v>
      </c>
      <c r="D498" t="s">
        <v>74</v>
      </c>
      <c r="E498" t="s">
        <v>74</v>
      </c>
      <c r="F498" t="s">
        <v>9524</v>
      </c>
      <c r="G498" t="s">
        <v>74</v>
      </c>
      <c r="H498" t="s">
        <v>74</v>
      </c>
      <c r="I498" t="s">
        <v>9525</v>
      </c>
      <c r="J498" t="s">
        <v>4673</v>
      </c>
      <c r="K498" t="s">
        <v>74</v>
      </c>
      <c r="L498" t="s">
        <v>74</v>
      </c>
      <c r="M498" t="s">
        <v>78</v>
      </c>
      <c r="N498" t="s">
        <v>108</v>
      </c>
      <c r="O498" t="s">
        <v>74</v>
      </c>
      <c r="P498" t="s">
        <v>74</v>
      </c>
      <c r="Q498" t="s">
        <v>74</v>
      </c>
      <c r="R498" t="s">
        <v>74</v>
      </c>
      <c r="S498" t="s">
        <v>74</v>
      </c>
      <c r="T498" t="s">
        <v>9526</v>
      </c>
      <c r="U498" t="s">
        <v>9527</v>
      </c>
      <c r="V498" t="s">
        <v>9528</v>
      </c>
      <c r="W498" t="s">
        <v>9529</v>
      </c>
      <c r="X498" t="s">
        <v>2360</v>
      </c>
      <c r="Y498" t="s">
        <v>9530</v>
      </c>
      <c r="Z498" t="s">
        <v>9531</v>
      </c>
      <c r="AA498" t="s">
        <v>9532</v>
      </c>
      <c r="AB498" t="s">
        <v>9533</v>
      </c>
      <c r="AC498" t="s">
        <v>9534</v>
      </c>
      <c r="AD498" t="s">
        <v>9535</v>
      </c>
      <c r="AE498" t="s">
        <v>9536</v>
      </c>
      <c r="AF498" t="s">
        <v>74</v>
      </c>
      <c r="AG498">
        <v>36</v>
      </c>
      <c r="AH498">
        <v>230</v>
      </c>
      <c r="AI498">
        <v>278</v>
      </c>
      <c r="AJ498">
        <v>17</v>
      </c>
      <c r="AK498">
        <v>298</v>
      </c>
      <c r="AL498" t="s">
        <v>543</v>
      </c>
      <c r="AM498" t="s">
        <v>260</v>
      </c>
      <c r="AN498" t="s">
        <v>544</v>
      </c>
      <c r="AO498" t="s">
        <v>4682</v>
      </c>
      <c r="AP498" t="s">
        <v>6424</v>
      </c>
      <c r="AQ498" t="s">
        <v>74</v>
      </c>
      <c r="AR498" t="s">
        <v>4683</v>
      </c>
      <c r="AS498" t="s">
        <v>4684</v>
      </c>
      <c r="AT498" t="s">
        <v>372</v>
      </c>
      <c r="AU498">
        <v>2010</v>
      </c>
      <c r="AV498">
        <v>46</v>
      </c>
      <c r="AW498">
        <v>1</v>
      </c>
      <c r="AX498" t="s">
        <v>74</v>
      </c>
      <c r="AY498" t="s">
        <v>74</v>
      </c>
      <c r="AZ498" t="s">
        <v>74</v>
      </c>
      <c r="BA498" t="s">
        <v>74</v>
      </c>
      <c r="BB498">
        <v>1</v>
      </c>
      <c r="BC498">
        <v>17</v>
      </c>
      <c r="BD498" t="s">
        <v>74</v>
      </c>
      <c r="BE498" t="s">
        <v>9537</v>
      </c>
      <c r="BF498" t="str">
        <f>HYPERLINK("http://dx.doi.org/10.1016/j.tre.2009.07.005","http://dx.doi.org/10.1016/j.tre.2009.07.005")</f>
        <v>http://dx.doi.org/10.1016/j.tre.2009.07.005</v>
      </c>
      <c r="BG498" t="s">
        <v>74</v>
      </c>
      <c r="BH498" t="s">
        <v>74</v>
      </c>
      <c r="BI498">
        <v>17</v>
      </c>
      <c r="BJ498" t="s">
        <v>4686</v>
      </c>
      <c r="BK498" t="s">
        <v>147</v>
      </c>
      <c r="BL498" t="s">
        <v>4687</v>
      </c>
      <c r="BM498" t="s">
        <v>9538</v>
      </c>
      <c r="BN498" t="s">
        <v>74</v>
      </c>
      <c r="BO498" t="s">
        <v>74</v>
      </c>
      <c r="BP498" t="s">
        <v>74</v>
      </c>
      <c r="BQ498" t="s">
        <v>74</v>
      </c>
      <c r="BR498" t="s">
        <v>102</v>
      </c>
      <c r="BS498" t="s">
        <v>9539</v>
      </c>
      <c r="BT498" t="str">
        <f>HYPERLINK("https%3A%2F%2Fwww.webofscience.com%2Fwos%2Fwoscc%2Ffull-record%2FWOS:000271409100001","View Full Record in Web of Science")</f>
        <v>View Full Record in Web of Science</v>
      </c>
    </row>
    <row r="499" spans="1:72" x14ac:dyDescent="0.2">
      <c r="A499" t="s">
        <v>72</v>
      </c>
      <c r="B499" t="s">
        <v>9540</v>
      </c>
      <c r="C499" t="s">
        <v>74</v>
      </c>
      <c r="D499" t="s">
        <v>74</v>
      </c>
      <c r="E499" t="s">
        <v>74</v>
      </c>
      <c r="F499" t="s">
        <v>9541</v>
      </c>
      <c r="G499" t="s">
        <v>74</v>
      </c>
      <c r="H499" t="s">
        <v>74</v>
      </c>
      <c r="I499" t="s">
        <v>9542</v>
      </c>
      <c r="J499" t="s">
        <v>9543</v>
      </c>
      <c r="K499" t="s">
        <v>74</v>
      </c>
      <c r="L499" t="s">
        <v>74</v>
      </c>
      <c r="M499" t="s">
        <v>78</v>
      </c>
      <c r="N499" t="s">
        <v>108</v>
      </c>
      <c r="O499" t="s">
        <v>74</v>
      </c>
      <c r="P499" t="s">
        <v>74</v>
      </c>
      <c r="Q499" t="s">
        <v>74</v>
      </c>
      <c r="R499" t="s">
        <v>74</v>
      </c>
      <c r="S499" t="s">
        <v>74</v>
      </c>
      <c r="T499" t="s">
        <v>9544</v>
      </c>
      <c r="U499" t="s">
        <v>9545</v>
      </c>
      <c r="V499" t="s">
        <v>9546</v>
      </c>
      <c r="W499" t="s">
        <v>9547</v>
      </c>
      <c r="X499" t="s">
        <v>9548</v>
      </c>
      <c r="Y499" t="s">
        <v>9549</v>
      </c>
      <c r="Z499" t="s">
        <v>9550</v>
      </c>
      <c r="AA499" t="s">
        <v>9551</v>
      </c>
      <c r="AB499" t="s">
        <v>9552</v>
      </c>
      <c r="AC499" t="s">
        <v>9553</v>
      </c>
      <c r="AD499" t="s">
        <v>9554</v>
      </c>
      <c r="AE499" t="s">
        <v>9555</v>
      </c>
      <c r="AF499" t="s">
        <v>74</v>
      </c>
      <c r="AG499">
        <v>153</v>
      </c>
      <c r="AH499">
        <v>7</v>
      </c>
      <c r="AI499">
        <v>7</v>
      </c>
      <c r="AJ499">
        <v>11</v>
      </c>
      <c r="AK499">
        <v>50</v>
      </c>
      <c r="AL499" t="s">
        <v>259</v>
      </c>
      <c r="AM499" t="s">
        <v>260</v>
      </c>
      <c r="AN499" t="s">
        <v>261</v>
      </c>
      <c r="AO499" t="s">
        <v>9556</v>
      </c>
      <c r="AP499" t="s">
        <v>9557</v>
      </c>
      <c r="AQ499" t="s">
        <v>74</v>
      </c>
      <c r="AR499" t="s">
        <v>9558</v>
      </c>
      <c r="AS499" t="s">
        <v>9559</v>
      </c>
      <c r="AT499" t="s">
        <v>216</v>
      </c>
      <c r="AU499">
        <v>2022</v>
      </c>
      <c r="AV499">
        <v>203</v>
      </c>
      <c r="AW499" t="s">
        <v>74</v>
      </c>
      <c r="AX499" t="s">
        <v>74</v>
      </c>
      <c r="AY499" t="s">
        <v>74</v>
      </c>
      <c r="AZ499" t="s">
        <v>74</v>
      </c>
      <c r="BA499" t="s">
        <v>74</v>
      </c>
      <c r="BB499" t="s">
        <v>74</v>
      </c>
      <c r="BC499" t="s">
        <v>74</v>
      </c>
      <c r="BD499">
        <v>103520</v>
      </c>
      <c r="BE499" t="s">
        <v>9560</v>
      </c>
      <c r="BF499" t="str">
        <f>HYPERLINK("http://dx.doi.org/10.1016/j.agsy.2022.103520","http://dx.doi.org/10.1016/j.agsy.2022.103520")</f>
        <v>http://dx.doi.org/10.1016/j.agsy.2022.103520</v>
      </c>
      <c r="BG499" t="s">
        <v>74</v>
      </c>
      <c r="BH499" t="s">
        <v>4492</v>
      </c>
      <c r="BI499">
        <v>14</v>
      </c>
      <c r="BJ499" t="s">
        <v>9561</v>
      </c>
      <c r="BK499" t="s">
        <v>98</v>
      </c>
      <c r="BL499" t="s">
        <v>8268</v>
      </c>
      <c r="BM499" t="s">
        <v>9562</v>
      </c>
      <c r="BN499" t="s">
        <v>74</v>
      </c>
      <c r="BO499" t="s">
        <v>359</v>
      </c>
      <c r="BP499" t="s">
        <v>74</v>
      </c>
      <c r="BQ499" t="s">
        <v>74</v>
      </c>
      <c r="BR499" t="s">
        <v>102</v>
      </c>
      <c r="BS499" t="s">
        <v>9563</v>
      </c>
      <c r="BT499" t="str">
        <f>HYPERLINK("https%3A%2F%2Fwww.webofscience.com%2Fwos%2Fwoscc%2Ffull-record%2FWOS:000862373300004","View Full Record in Web of Science")</f>
        <v>View Full Record in Web of Science</v>
      </c>
    </row>
    <row r="500" spans="1:72" x14ac:dyDescent="0.2">
      <c r="A500" t="s">
        <v>72</v>
      </c>
      <c r="B500" t="s">
        <v>9564</v>
      </c>
      <c r="C500" t="s">
        <v>74</v>
      </c>
      <c r="D500" t="s">
        <v>74</v>
      </c>
      <c r="E500" t="s">
        <v>74</v>
      </c>
      <c r="F500" t="s">
        <v>9565</v>
      </c>
      <c r="G500" t="s">
        <v>74</v>
      </c>
      <c r="H500" t="s">
        <v>74</v>
      </c>
      <c r="I500" t="s">
        <v>9566</v>
      </c>
      <c r="J500" t="s">
        <v>8951</v>
      </c>
      <c r="K500" t="s">
        <v>74</v>
      </c>
      <c r="L500" t="s">
        <v>74</v>
      </c>
      <c r="M500" t="s">
        <v>78</v>
      </c>
      <c r="N500" t="s">
        <v>108</v>
      </c>
      <c r="O500" t="s">
        <v>74</v>
      </c>
      <c r="P500" t="s">
        <v>74</v>
      </c>
      <c r="Q500" t="s">
        <v>74</v>
      </c>
      <c r="R500" t="s">
        <v>74</v>
      </c>
      <c r="S500" t="s">
        <v>74</v>
      </c>
      <c r="T500" t="s">
        <v>9567</v>
      </c>
      <c r="U500" t="s">
        <v>74</v>
      </c>
      <c r="V500" t="s">
        <v>9568</v>
      </c>
      <c r="W500" t="s">
        <v>9569</v>
      </c>
      <c r="X500" t="s">
        <v>9570</v>
      </c>
      <c r="Y500" t="s">
        <v>9571</v>
      </c>
      <c r="Z500" t="s">
        <v>9572</v>
      </c>
      <c r="AA500" t="s">
        <v>74</v>
      </c>
      <c r="AB500" t="s">
        <v>9573</v>
      </c>
      <c r="AC500" t="s">
        <v>74</v>
      </c>
      <c r="AD500" t="s">
        <v>74</v>
      </c>
      <c r="AE500" t="s">
        <v>74</v>
      </c>
      <c r="AF500" t="s">
        <v>74</v>
      </c>
      <c r="AG500">
        <v>43</v>
      </c>
      <c r="AH500">
        <v>5</v>
      </c>
      <c r="AI500">
        <v>5</v>
      </c>
      <c r="AJ500">
        <v>2</v>
      </c>
      <c r="AK500">
        <v>14</v>
      </c>
      <c r="AL500" t="s">
        <v>167</v>
      </c>
      <c r="AM500" t="s">
        <v>168</v>
      </c>
      <c r="AN500" t="s">
        <v>169</v>
      </c>
      <c r="AO500" t="s">
        <v>8959</v>
      </c>
      <c r="AP500" t="s">
        <v>8960</v>
      </c>
      <c r="AQ500" t="s">
        <v>74</v>
      </c>
      <c r="AR500" t="s">
        <v>8961</v>
      </c>
      <c r="AS500" t="s">
        <v>8962</v>
      </c>
      <c r="AT500" t="s">
        <v>174</v>
      </c>
      <c r="AU500">
        <v>2022</v>
      </c>
      <c r="AV500">
        <v>30</v>
      </c>
      <c r="AW500">
        <v>10</v>
      </c>
      <c r="AX500" t="s">
        <v>74</v>
      </c>
      <c r="AY500" t="s">
        <v>74</v>
      </c>
      <c r="AZ500" t="s">
        <v>74</v>
      </c>
      <c r="BA500" t="s">
        <v>74</v>
      </c>
      <c r="BB500">
        <v>1401</v>
      </c>
      <c r="BC500">
        <v>1411</v>
      </c>
      <c r="BD500" t="s">
        <v>74</v>
      </c>
      <c r="BE500" t="s">
        <v>9574</v>
      </c>
      <c r="BF500" t="str">
        <f>HYPERLINK("http://dx.doi.org/10.1109/TVLSI.2022.3191683","http://dx.doi.org/10.1109/TVLSI.2022.3191683")</f>
        <v>http://dx.doi.org/10.1109/TVLSI.2022.3191683</v>
      </c>
      <c r="BG500" t="s">
        <v>74</v>
      </c>
      <c r="BH500" t="s">
        <v>698</v>
      </c>
      <c r="BI500">
        <v>11</v>
      </c>
      <c r="BJ500" t="s">
        <v>8964</v>
      </c>
      <c r="BK500" t="s">
        <v>98</v>
      </c>
      <c r="BL500" t="s">
        <v>269</v>
      </c>
      <c r="BM500" t="s">
        <v>9575</v>
      </c>
      <c r="BN500" t="s">
        <v>74</v>
      </c>
      <c r="BO500" t="s">
        <v>1833</v>
      </c>
      <c r="BP500" t="s">
        <v>74</v>
      </c>
      <c r="BQ500" t="s">
        <v>74</v>
      </c>
      <c r="BR500" t="s">
        <v>102</v>
      </c>
      <c r="BS500" t="s">
        <v>9576</v>
      </c>
      <c r="BT500" t="str">
        <f>HYPERLINK("https%3A%2F%2Fwww.webofscience.com%2Fwos%2Fwoscc%2Ffull-record%2FWOS:000833047500001","View Full Record in Web of Science")</f>
        <v>View Full Record in Web of Science</v>
      </c>
    </row>
    <row r="501" spans="1:72" x14ac:dyDescent="0.2">
      <c r="A501" t="s">
        <v>72</v>
      </c>
      <c r="B501" t="s">
        <v>9577</v>
      </c>
      <c r="C501" t="s">
        <v>74</v>
      </c>
      <c r="D501" t="s">
        <v>74</v>
      </c>
      <c r="E501" t="s">
        <v>74</v>
      </c>
      <c r="F501" t="s">
        <v>9578</v>
      </c>
      <c r="G501" t="s">
        <v>74</v>
      </c>
      <c r="H501" t="s">
        <v>74</v>
      </c>
      <c r="I501" t="s">
        <v>9579</v>
      </c>
      <c r="J501" t="s">
        <v>976</v>
      </c>
      <c r="K501" t="s">
        <v>74</v>
      </c>
      <c r="L501" t="s">
        <v>74</v>
      </c>
      <c r="M501" t="s">
        <v>78</v>
      </c>
      <c r="N501" t="s">
        <v>108</v>
      </c>
      <c r="O501" t="s">
        <v>74</v>
      </c>
      <c r="P501" t="s">
        <v>74</v>
      </c>
      <c r="Q501" t="s">
        <v>74</v>
      </c>
      <c r="R501" t="s">
        <v>74</v>
      </c>
      <c r="S501" t="s">
        <v>74</v>
      </c>
      <c r="T501" t="s">
        <v>9580</v>
      </c>
      <c r="U501" t="s">
        <v>9581</v>
      </c>
      <c r="V501" t="s">
        <v>9582</v>
      </c>
      <c r="W501" t="s">
        <v>9583</v>
      </c>
      <c r="X501" t="s">
        <v>74</v>
      </c>
      <c r="Y501" t="s">
        <v>9584</v>
      </c>
      <c r="Z501" t="s">
        <v>9585</v>
      </c>
      <c r="AA501" t="s">
        <v>74</v>
      </c>
      <c r="AB501" t="s">
        <v>74</v>
      </c>
      <c r="AC501" t="s">
        <v>74</v>
      </c>
      <c r="AD501" t="s">
        <v>74</v>
      </c>
      <c r="AE501" t="s">
        <v>74</v>
      </c>
      <c r="AF501" t="s">
        <v>74</v>
      </c>
      <c r="AG501">
        <v>114</v>
      </c>
      <c r="AH501">
        <v>59</v>
      </c>
      <c r="AI501">
        <v>59</v>
      </c>
      <c r="AJ501">
        <v>1</v>
      </c>
      <c r="AK501">
        <v>79</v>
      </c>
      <c r="AL501" t="s">
        <v>259</v>
      </c>
      <c r="AM501" t="s">
        <v>260</v>
      </c>
      <c r="AN501" t="s">
        <v>261</v>
      </c>
      <c r="AO501" t="s">
        <v>989</v>
      </c>
      <c r="AP501" t="s">
        <v>990</v>
      </c>
      <c r="AQ501" t="s">
        <v>74</v>
      </c>
      <c r="AR501" t="s">
        <v>991</v>
      </c>
      <c r="AS501" t="s">
        <v>992</v>
      </c>
      <c r="AT501" t="s">
        <v>9586</v>
      </c>
      <c r="AU501">
        <v>2020</v>
      </c>
      <c r="AV501">
        <v>245</v>
      </c>
      <c r="AW501" t="s">
        <v>74</v>
      </c>
      <c r="AX501" t="s">
        <v>74</v>
      </c>
      <c r="AY501" t="s">
        <v>74</v>
      </c>
      <c r="AZ501" t="s">
        <v>74</v>
      </c>
      <c r="BA501" t="s">
        <v>74</v>
      </c>
      <c r="BB501" t="s">
        <v>74</v>
      </c>
      <c r="BC501" t="s">
        <v>74</v>
      </c>
      <c r="BD501">
        <v>118609</v>
      </c>
      <c r="BE501" t="s">
        <v>9587</v>
      </c>
      <c r="BF501" t="str">
        <f>HYPERLINK("http://dx.doi.org/10.1016/j.jclepro.2019.118609","http://dx.doi.org/10.1016/j.jclepro.2019.118609")</f>
        <v>http://dx.doi.org/10.1016/j.jclepro.2019.118609</v>
      </c>
      <c r="BG501" t="s">
        <v>74</v>
      </c>
      <c r="BH501" t="s">
        <v>74</v>
      </c>
      <c r="BI501">
        <v>16</v>
      </c>
      <c r="BJ501" t="s">
        <v>995</v>
      </c>
      <c r="BK501" t="s">
        <v>147</v>
      </c>
      <c r="BL501" t="s">
        <v>996</v>
      </c>
      <c r="BM501" t="s">
        <v>9588</v>
      </c>
      <c r="BN501" t="s">
        <v>74</v>
      </c>
      <c r="BO501" t="s">
        <v>74</v>
      </c>
      <c r="BP501" t="s">
        <v>74</v>
      </c>
      <c r="BQ501" t="s">
        <v>74</v>
      </c>
      <c r="BR501" t="s">
        <v>102</v>
      </c>
      <c r="BS501" t="s">
        <v>9589</v>
      </c>
      <c r="BT501" t="str">
        <f>HYPERLINK("https%3A%2F%2Fwww.webofscience.com%2Fwos%2Fwoscc%2Ffull-record%2FWOS:000503739400116","View Full Record in Web of Science")</f>
        <v>View Full Record in Web of Science</v>
      </c>
    </row>
    <row r="502" spans="1:72" x14ac:dyDescent="0.2">
      <c r="A502" t="s">
        <v>72</v>
      </c>
      <c r="B502" t="s">
        <v>9590</v>
      </c>
      <c r="C502" t="s">
        <v>74</v>
      </c>
      <c r="D502" t="s">
        <v>74</v>
      </c>
      <c r="E502" t="s">
        <v>74</v>
      </c>
      <c r="F502" t="s">
        <v>9591</v>
      </c>
      <c r="G502" t="s">
        <v>74</v>
      </c>
      <c r="H502" t="s">
        <v>74</v>
      </c>
      <c r="I502" t="s">
        <v>9592</v>
      </c>
      <c r="J502" t="s">
        <v>3582</v>
      </c>
      <c r="K502" t="s">
        <v>74</v>
      </c>
      <c r="L502" t="s">
        <v>74</v>
      </c>
      <c r="M502" t="s">
        <v>78</v>
      </c>
      <c r="N502" t="s">
        <v>108</v>
      </c>
      <c r="O502" t="s">
        <v>74</v>
      </c>
      <c r="P502" t="s">
        <v>74</v>
      </c>
      <c r="Q502" t="s">
        <v>74</v>
      </c>
      <c r="R502" t="s">
        <v>74</v>
      </c>
      <c r="S502" t="s">
        <v>74</v>
      </c>
      <c r="T502" t="s">
        <v>9593</v>
      </c>
      <c r="U502" t="s">
        <v>9594</v>
      </c>
      <c r="V502" t="s">
        <v>9595</v>
      </c>
      <c r="W502" t="s">
        <v>9596</v>
      </c>
      <c r="X502" t="s">
        <v>9597</v>
      </c>
      <c r="Y502" t="s">
        <v>9598</v>
      </c>
      <c r="Z502" t="s">
        <v>9599</v>
      </c>
      <c r="AA502" t="s">
        <v>74</v>
      </c>
      <c r="AB502" t="s">
        <v>74</v>
      </c>
      <c r="AC502" t="s">
        <v>9600</v>
      </c>
      <c r="AD502" t="s">
        <v>9601</v>
      </c>
      <c r="AE502" t="s">
        <v>9602</v>
      </c>
      <c r="AF502" t="s">
        <v>74</v>
      </c>
      <c r="AG502">
        <v>30</v>
      </c>
      <c r="AH502">
        <v>9</v>
      </c>
      <c r="AI502">
        <v>10</v>
      </c>
      <c r="AJ502">
        <v>0</v>
      </c>
      <c r="AK502">
        <v>10</v>
      </c>
      <c r="AL502" t="s">
        <v>388</v>
      </c>
      <c r="AM502" t="s">
        <v>389</v>
      </c>
      <c r="AN502" t="s">
        <v>390</v>
      </c>
      <c r="AO502" t="s">
        <v>3590</v>
      </c>
      <c r="AP502" t="s">
        <v>3591</v>
      </c>
      <c r="AQ502" t="s">
        <v>74</v>
      </c>
      <c r="AR502" t="s">
        <v>3592</v>
      </c>
      <c r="AS502" t="s">
        <v>3593</v>
      </c>
      <c r="AT502" t="s">
        <v>239</v>
      </c>
      <c r="AU502">
        <v>2021</v>
      </c>
      <c r="AV502">
        <v>12</v>
      </c>
      <c r="AW502">
        <v>4</v>
      </c>
      <c r="AX502" t="s">
        <v>74</v>
      </c>
      <c r="AY502" t="s">
        <v>74</v>
      </c>
      <c r="AZ502" t="s">
        <v>570</v>
      </c>
      <c r="BA502" t="s">
        <v>74</v>
      </c>
      <c r="BB502">
        <v>813</v>
      </c>
      <c r="BC502">
        <v>823</v>
      </c>
      <c r="BD502" t="s">
        <v>74</v>
      </c>
      <c r="BE502" t="s">
        <v>9603</v>
      </c>
      <c r="BF502" t="str">
        <f>HYPERLINK("http://dx.doi.org/10.1007/s13198-021-01108-9","http://dx.doi.org/10.1007/s13198-021-01108-9")</f>
        <v>http://dx.doi.org/10.1007/s13198-021-01108-9</v>
      </c>
      <c r="BG502" t="s">
        <v>74</v>
      </c>
      <c r="BH502" t="s">
        <v>848</v>
      </c>
      <c r="BI502">
        <v>11</v>
      </c>
      <c r="BJ502" t="s">
        <v>2462</v>
      </c>
      <c r="BK502" t="s">
        <v>124</v>
      </c>
      <c r="BL502" t="s">
        <v>1292</v>
      </c>
      <c r="BM502" t="s">
        <v>9604</v>
      </c>
      <c r="BN502" t="s">
        <v>74</v>
      </c>
      <c r="BO502" t="s">
        <v>74</v>
      </c>
      <c r="BP502" t="s">
        <v>74</v>
      </c>
      <c r="BQ502" t="s">
        <v>74</v>
      </c>
      <c r="BR502" t="s">
        <v>102</v>
      </c>
      <c r="BS502" t="s">
        <v>9605</v>
      </c>
      <c r="BT502" t="str">
        <f>HYPERLINK("https%3A%2F%2Fwww.webofscience.com%2Fwos%2Fwoscc%2Ffull-record%2FWOS:000640961100001","View Full Record in Web of Science")</f>
        <v>View Full Record in Web of Science</v>
      </c>
    </row>
    <row r="503" spans="1:72" x14ac:dyDescent="0.2">
      <c r="A503" t="s">
        <v>72</v>
      </c>
      <c r="B503" t="s">
        <v>9606</v>
      </c>
      <c r="C503" t="s">
        <v>74</v>
      </c>
      <c r="D503" t="s">
        <v>74</v>
      </c>
      <c r="E503" t="s">
        <v>74</v>
      </c>
      <c r="F503" t="s">
        <v>9607</v>
      </c>
      <c r="G503" t="s">
        <v>74</v>
      </c>
      <c r="H503" t="s">
        <v>74</v>
      </c>
      <c r="I503" t="s">
        <v>9608</v>
      </c>
      <c r="J503" t="s">
        <v>9609</v>
      </c>
      <c r="K503" t="s">
        <v>74</v>
      </c>
      <c r="L503" t="s">
        <v>74</v>
      </c>
      <c r="M503" t="s">
        <v>78</v>
      </c>
      <c r="N503" t="s">
        <v>108</v>
      </c>
      <c r="O503" t="s">
        <v>74</v>
      </c>
      <c r="P503" t="s">
        <v>74</v>
      </c>
      <c r="Q503" t="s">
        <v>74</v>
      </c>
      <c r="R503" t="s">
        <v>74</v>
      </c>
      <c r="S503" t="s">
        <v>74</v>
      </c>
      <c r="T503" t="s">
        <v>9610</v>
      </c>
      <c r="U503" t="s">
        <v>9611</v>
      </c>
      <c r="V503" t="s">
        <v>9612</v>
      </c>
      <c r="W503" t="s">
        <v>9613</v>
      </c>
      <c r="X503" t="s">
        <v>9614</v>
      </c>
      <c r="Y503" t="s">
        <v>9615</v>
      </c>
      <c r="Z503" t="s">
        <v>9616</v>
      </c>
      <c r="AA503" t="s">
        <v>74</v>
      </c>
      <c r="AB503" t="s">
        <v>74</v>
      </c>
      <c r="AC503" t="s">
        <v>9617</v>
      </c>
      <c r="AD503" t="s">
        <v>987</v>
      </c>
      <c r="AE503" t="s">
        <v>9618</v>
      </c>
      <c r="AF503" t="s">
        <v>74</v>
      </c>
      <c r="AG503">
        <v>67</v>
      </c>
      <c r="AH503">
        <v>1</v>
      </c>
      <c r="AI503">
        <v>1</v>
      </c>
      <c r="AJ503">
        <v>12</v>
      </c>
      <c r="AK503">
        <v>12</v>
      </c>
      <c r="AL503" t="s">
        <v>167</v>
      </c>
      <c r="AM503" t="s">
        <v>168</v>
      </c>
      <c r="AN503" t="s">
        <v>169</v>
      </c>
      <c r="AO503" t="s">
        <v>9619</v>
      </c>
      <c r="AP503" t="s">
        <v>9620</v>
      </c>
      <c r="AQ503" t="s">
        <v>74</v>
      </c>
      <c r="AR503" t="s">
        <v>9621</v>
      </c>
      <c r="AS503" t="s">
        <v>9622</v>
      </c>
      <c r="AT503" t="s">
        <v>74</v>
      </c>
      <c r="AU503">
        <v>2023</v>
      </c>
      <c r="AV503">
        <v>61</v>
      </c>
      <c r="AW503" t="s">
        <v>74</v>
      </c>
      <c r="AX503" t="s">
        <v>74</v>
      </c>
      <c r="AY503" t="s">
        <v>74</v>
      </c>
      <c r="AZ503" t="s">
        <v>74</v>
      </c>
      <c r="BA503" t="s">
        <v>74</v>
      </c>
      <c r="BB503" t="s">
        <v>74</v>
      </c>
      <c r="BC503" t="s">
        <v>74</v>
      </c>
      <c r="BD503">
        <v>5908217</v>
      </c>
      <c r="BE503" t="s">
        <v>9623</v>
      </c>
      <c r="BF503" t="str">
        <f>HYPERLINK("http://dx.doi.org/10.1109/TGRS.2023.3268718","http://dx.doi.org/10.1109/TGRS.2023.3268718")</f>
        <v>http://dx.doi.org/10.1109/TGRS.2023.3268718</v>
      </c>
      <c r="BG503" t="s">
        <v>74</v>
      </c>
      <c r="BH503" t="s">
        <v>74</v>
      </c>
      <c r="BI503">
        <v>17</v>
      </c>
      <c r="BJ503" t="s">
        <v>9624</v>
      </c>
      <c r="BK503" t="s">
        <v>98</v>
      </c>
      <c r="BL503" t="s">
        <v>9625</v>
      </c>
      <c r="BM503" t="s">
        <v>9626</v>
      </c>
      <c r="BN503" t="s">
        <v>74</v>
      </c>
      <c r="BO503" t="s">
        <v>74</v>
      </c>
      <c r="BP503" t="s">
        <v>74</v>
      </c>
      <c r="BQ503" t="s">
        <v>74</v>
      </c>
      <c r="BR503" t="s">
        <v>102</v>
      </c>
      <c r="BS503" t="s">
        <v>9627</v>
      </c>
      <c r="BT503" t="str">
        <f>HYPERLINK("https%3A%2F%2Fwww.webofscience.com%2Fwos%2Fwoscc%2Ffull-record%2FWOS:000982478600013","View Full Record in Web of Science")</f>
        <v>View Full Record in Web of Science</v>
      </c>
    </row>
    <row r="504" spans="1:72" x14ac:dyDescent="0.2">
      <c r="A504" t="s">
        <v>72</v>
      </c>
      <c r="B504" t="s">
        <v>9628</v>
      </c>
      <c r="C504" t="s">
        <v>74</v>
      </c>
      <c r="D504" t="s">
        <v>74</v>
      </c>
      <c r="E504" t="s">
        <v>74</v>
      </c>
      <c r="F504" t="s">
        <v>9629</v>
      </c>
      <c r="G504" t="s">
        <v>74</v>
      </c>
      <c r="H504" t="s">
        <v>74</v>
      </c>
      <c r="I504" t="s">
        <v>9630</v>
      </c>
      <c r="J504" t="s">
        <v>9631</v>
      </c>
      <c r="K504" t="s">
        <v>74</v>
      </c>
      <c r="L504" t="s">
        <v>74</v>
      </c>
      <c r="M504" t="s">
        <v>78</v>
      </c>
      <c r="N504" t="s">
        <v>108</v>
      </c>
      <c r="O504" t="s">
        <v>74</v>
      </c>
      <c r="P504" t="s">
        <v>74</v>
      </c>
      <c r="Q504" t="s">
        <v>74</v>
      </c>
      <c r="R504" t="s">
        <v>74</v>
      </c>
      <c r="S504" t="s">
        <v>74</v>
      </c>
      <c r="T504" t="s">
        <v>9632</v>
      </c>
      <c r="U504" t="s">
        <v>74</v>
      </c>
      <c r="V504" t="s">
        <v>9633</v>
      </c>
      <c r="W504" t="s">
        <v>9634</v>
      </c>
      <c r="X504" t="s">
        <v>9635</v>
      </c>
      <c r="Y504" t="s">
        <v>9636</v>
      </c>
      <c r="Z504" t="s">
        <v>9637</v>
      </c>
      <c r="AA504" t="s">
        <v>74</v>
      </c>
      <c r="AB504" t="s">
        <v>74</v>
      </c>
      <c r="AC504" t="s">
        <v>9638</v>
      </c>
      <c r="AD504" t="s">
        <v>9639</v>
      </c>
      <c r="AE504" t="s">
        <v>9640</v>
      </c>
      <c r="AF504" t="s">
        <v>74</v>
      </c>
      <c r="AG504">
        <v>24</v>
      </c>
      <c r="AH504">
        <v>6</v>
      </c>
      <c r="AI504">
        <v>6</v>
      </c>
      <c r="AJ504">
        <v>8</v>
      </c>
      <c r="AK504">
        <v>65</v>
      </c>
      <c r="AL504" t="s">
        <v>462</v>
      </c>
      <c r="AM504" t="s">
        <v>280</v>
      </c>
      <c r="AN504" t="s">
        <v>463</v>
      </c>
      <c r="AO504" t="s">
        <v>9641</v>
      </c>
      <c r="AP504" t="s">
        <v>9642</v>
      </c>
      <c r="AQ504" t="s">
        <v>74</v>
      </c>
      <c r="AR504" t="s">
        <v>9643</v>
      </c>
      <c r="AS504" t="s">
        <v>9644</v>
      </c>
      <c r="AT504" t="s">
        <v>6024</v>
      </c>
      <c r="AU504">
        <v>2021</v>
      </c>
      <c r="AV504">
        <v>57</v>
      </c>
      <c r="AW504">
        <v>8</v>
      </c>
      <c r="AX504" t="s">
        <v>74</v>
      </c>
      <c r="AY504" t="s">
        <v>74</v>
      </c>
      <c r="AZ504" t="s">
        <v>74</v>
      </c>
      <c r="BA504" t="s">
        <v>74</v>
      </c>
      <c r="BB504">
        <v>2331</v>
      </c>
      <c r="BC504">
        <v>2355</v>
      </c>
      <c r="BD504" t="s">
        <v>74</v>
      </c>
      <c r="BE504" t="s">
        <v>9645</v>
      </c>
      <c r="BF504" t="str">
        <f>HYPERLINK("http://dx.doi.org/10.1080/1540496X.2020.1799782","http://dx.doi.org/10.1080/1540496X.2020.1799782")</f>
        <v>http://dx.doi.org/10.1080/1540496X.2020.1799782</v>
      </c>
      <c r="BG504" t="s">
        <v>74</v>
      </c>
      <c r="BH504" t="s">
        <v>826</v>
      </c>
      <c r="BI504">
        <v>25</v>
      </c>
      <c r="BJ504" t="s">
        <v>9646</v>
      </c>
      <c r="BK504" t="s">
        <v>242</v>
      </c>
      <c r="BL504" t="s">
        <v>9647</v>
      </c>
      <c r="BM504" t="s">
        <v>9648</v>
      </c>
      <c r="BN504" t="s">
        <v>74</v>
      </c>
      <c r="BO504" t="s">
        <v>74</v>
      </c>
      <c r="BP504" t="s">
        <v>74</v>
      </c>
      <c r="BQ504" t="s">
        <v>74</v>
      </c>
      <c r="BR504" t="s">
        <v>102</v>
      </c>
      <c r="BS504" t="s">
        <v>9649</v>
      </c>
      <c r="BT504" t="str">
        <f>HYPERLINK("https%3A%2F%2Fwww.webofscience.com%2Fwos%2Fwoscc%2Ffull-record%2FWOS:000558515500001","View Full Record in Web of Science")</f>
        <v>View Full Record in Web of Science</v>
      </c>
    </row>
    <row r="505" spans="1:72" x14ac:dyDescent="0.2">
      <c r="A505" t="s">
        <v>72</v>
      </c>
      <c r="B505" t="s">
        <v>9650</v>
      </c>
      <c r="C505" t="s">
        <v>74</v>
      </c>
      <c r="D505" t="s">
        <v>74</v>
      </c>
      <c r="E505" t="s">
        <v>74</v>
      </c>
      <c r="F505" t="s">
        <v>9651</v>
      </c>
      <c r="G505" t="s">
        <v>74</v>
      </c>
      <c r="H505" t="s">
        <v>74</v>
      </c>
      <c r="I505" t="s">
        <v>9652</v>
      </c>
      <c r="J505" t="s">
        <v>937</v>
      </c>
      <c r="K505" t="s">
        <v>74</v>
      </c>
      <c r="L505" t="s">
        <v>74</v>
      </c>
      <c r="M505" t="s">
        <v>78</v>
      </c>
      <c r="N505" t="s">
        <v>108</v>
      </c>
      <c r="O505" t="s">
        <v>74</v>
      </c>
      <c r="P505" t="s">
        <v>74</v>
      </c>
      <c r="Q505" t="s">
        <v>74</v>
      </c>
      <c r="R505" t="s">
        <v>74</v>
      </c>
      <c r="S505" t="s">
        <v>74</v>
      </c>
      <c r="T505" t="s">
        <v>74</v>
      </c>
      <c r="U505" t="s">
        <v>9653</v>
      </c>
      <c r="V505" t="s">
        <v>9654</v>
      </c>
      <c r="W505" t="s">
        <v>9655</v>
      </c>
      <c r="X505" t="s">
        <v>9656</v>
      </c>
      <c r="Y505" t="s">
        <v>9657</v>
      </c>
      <c r="Z505" t="s">
        <v>9658</v>
      </c>
      <c r="AA505" t="s">
        <v>74</v>
      </c>
      <c r="AB505" t="s">
        <v>74</v>
      </c>
      <c r="AC505" t="s">
        <v>74</v>
      </c>
      <c r="AD505" t="s">
        <v>74</v>
      </c>
      <c r="AE505" t="s">
        <v>74</v>
      </c>
      <c r="AF505" t="s">
        <v>74</v>
      </c>
      <c r="AG505">
        <v>37</v>
      </c>
      <c r="AH505">
        <v>0</v>
      </c>
      <c r="AI505">
        <v>0</v>
      </c>
      <c r="AJ505">
        <v>3</v>
      </c>
      <c r="AK505">
        <v>3</v>
      </c>
      <c r="AL505" t="s">
        <v>948</v>
      </c>
      <c r="AM505" t="s">
        <v>949</v>
      </c>
      <c r="AN505" t="s">
        <v>950</v>
      </c>
      <c r="AO505" t="s">
        <v>951</v>
      </c>
      <c r="AP505" t="s">
        <v>74</v>
      </c>
      <c r="AQ505" t="s">
        <v>74</v>
      </c>
      <c r="AR505" t="s">
        <v>937</v>
      </c>
      <c r="AS505" t="s">
        <v>952</v>
      </c>
      <c r="AT505" t="s">
        <v>9659</v>
      </c>
      <c r="AU505">
        <v>2023</v>
      </c>
      <c r="AV505">
        <v>18</v>
      </c>
      <c r="AW505">
        <v>1</v>
      </c>
      <c r="AX505" t="s">
        <v>74</v>
      </c>
      <c r="AY505" t="s">
        <v>74</v>
      </c>
      <c r="AZ505" t="s">
        <v>74</v>
      </c>
      <c r="BA505" t="s">
        <v>74</v>
      </c>
      <c r="BB505" t="s">
        <v>74</v>
      </c>
      <c r="BC505" t="s">
        <v>74</v>
      </c>
      <c r="BD505" t="s">
        <v>9660</v>
      </c>
      <c r="BE505" t="s">
        <v>9661</v>
      </c>
      <c r="BF505" t="str">
        <f>HYPERLINK("http://dx.doi.org/10.1371/journal.pone.0278750","http://dx.doi.org/10.1371/journal.pone.0278750")</f>
        <v>http://dx.doi.org/10.1371/journal.pone.0278750</v>
      </c>
      <c r="BG505" t="s">
        <v>74</v>
      </c>
      <c r="BH505" t="s">
        <v>74</v>
      </c>
      <c r="BI505">
        <v>27</v>
      </c>
      <c r="BJ505" t="s">
        <v>620</v>
      </c>
      <c r="BK505" t="s">
        <v>98</v>
      </c>
      <c r="BL505" t="s">
        <v>621</v>
      </c>
      <c r="BM505" t="s">
        <v>9662</v>
      </c>
      <c r="BN505">
        <v>36652458</v>
      </c>
      <c r="BO505" t="s">
        <v>623</v>
      </c>
      <c r="BP505" t="s">
        <v>74</v>
      </c>
      <c r="BQ505" t="s">
        <v>74</v>
      </c>
      <c r="BR505" t="s">
        <v>102</v>
      </c>
      <c r="BS505" t="s">
        <v>9663</v>
      </c>
      <c r="BT505" t="str">
        <f>HYPERLINK("https%3A%2F%2Fwww.webofscience.com%2Fwos%2Fwoscc%2Ffull-record%2FWOS:000945515100001","View Full Record in Web of Science")</f>
        <v>View Full Record in Web of Science</v>
      </c>
    </row>
    <row r="506" spans="1:72" x14ac:dyDescent="0.2">
      <c r="A506" t="s">
        <v>72</v>
      </c>
      <c r="B506" t="s">
        <v>9664</v>
      </c>
      <c r="C506" t="s">
        <v>74</v>
      </c>
      <c r="D506" t="s">
        <v>74</v>
      </c>
      <c r="E506" t="s">
        <v>74</v>
      </c>
      <c r="F506" t="s">
        <v>9665</v>
      </c>
      <c r="G506" t="s">
        <v>74</v>
      </c>
      <c r="H506" t="s">
        <v>74</v>
      </c>
      <c r="I506" t="s">
        <v>9666</v>
      </c>
      <c r="J506" t="s">
        <v>9667</v>
      </c>
      <c r="K506" t="s">
        <v>74</v>
      </c>
      <c r="L506" t="s">
        <v>74</v>
      </c>
      <c r="M506" t="s">
        <v>78</v>
      </c>
      <c r="N506" t="s">
        <v>108</v>
      </c>
      <c r="O506" t="s">
        <v>74</v>
      </c>
      <c r="P506" t="s">
        <v>74</v>
      </c>
      <c r="Q506" t="s">
        <v>74</v>
      </c>
      <c r="R506" t="s">
        <v>74</v>
      </c>
      <c r="S506" t="s">
        <v>74</v>
      </c>
      <c r="T506" t="s">
        <v>9668</v>
      </c>
      <c r="U506" t="s">
        <v>9669</v>
      </c>
      <c r="V506" t="s">
        <v>9670</v>
      </c>
      <c r="W506" t="s">
        <v>9671</v>
      </c>
      <c r="X506" t="s">
        <v>9672</v>
      </c>
      <c r="Y506" t="s">
        <v>9673</v>
      </c>
      <c r="Z506" t="s">
        <v>9674</v>
      </c>
      <c r="AA506" t="s">
        <v>9675</v>
      </c>
      <c r="AB506" t="s">
        <v>9676</v>
      </c>
      <c r="AC506" t="s">
        <v>9677</v>
      </c>
      <c r="AD506" t="s">
        <v>9678</v>
      </c>
      <c r="AE506" t="s">
        <v>9679</v>
      </c>
      <c r="AF506" t="s">
        <v>74</v>
      </c>
      <c r="AG506">
        <v>48</v>
      </c>
      <c r="AH506">
        <v>1</v>
      </c>
      <c r="AI506">
        <v>1</v>
      </c>
      <c r="AJ506">
        <v>7</v>
      </c>
      <c r="AK506">
        <v>33</v>
      </c>
      <c r="AL506" t="s">
        <v>321</v>
      </c>
      <c r="AM506" t="s">
        <v>322</v>
      </c>
      <c r="AN506" t="s">
        <v>323</v>
      </c>
      <c r="AO506" t="s">
        <v>9680</v>
      </c>
      <c r="AP506" t="s">
        <v>9681</v>
      </c>
      <c r="AQ506" t="s">
        <v>74</v>
      </c>
      <c r="AR506" t="s">
        <v>9682</v>
      </c>
      <c r="AS506" t="s">
        <v>9683</v>
      </c>
      <c r="AT506" t="s">
        <v>738</v>
      </c>
      <c r="AU506">
        <v>2023</v>
      </c>
      <c r="AV506">
        <v>24</v>
      </c>
      <c r="AW506">
        <v>1</v>
      </c>
      <c r="AX506" t="s">
        <v>74</v>
      </c>
      <c r="AY506" t="s">
        <v>74</v>
      </c>
      <c r="AZ506" t="s">
        <v>74</v>
      </c>
      <c r="BA506" t="s">
        <v>74</v>
      </c>
      <c r="BB506">
        <v>326</v>
      </c>
      <c r="BC506">
        <v>352</v>
      </c>
      <c r="BD506" t="s">
        <v>74</v>
      </c>
      <c r="BE506" t="s">
        <v>9684</v>
      </c>
      <c r="BF506" t="str">
        <f>HYPERLINK("http://dx.doi.org/10.1007/s11119-022-09947-7","http://dx.doi.org/10.1007/s11119-022-09947-7")</f>
        <v>http://dx.doi.org/10.1007/s11119-022-09947-7</v>
      </c>
      <c r="BG506" t="s">
        <v>74</v>
      </c>
      <c r="BH506" t="s">
        <v>572</v>
      </c>
      <c r="BI506">
        <v>27</v>
      </c>
      <c r="BJ506" t="s">
        <v>9561</v>
      </c>
      <c r="BK506" t="s">
        <v>98</v>
      </c>
      <c r="BL506" t="s">
        <v>8268</v>
      </c>
      <c r="BM506" t="s">
        <v>9685</v>
      </c>
      <c r="BN506" t="s">
        <v>74</v>
      </c>
      <c r="BO506" t="s">
        <v>74</v>
      </c>
      <c r="BP506" t="s">
        <v>74</v>
      </c>
      <c r="BQ506" t="s">
        <v>74</v>
      </c>
      <c r="BR506" t="s">
        <v>102</v>
      </c>
      <c r="BS506" t="s">
        <v>9686</v>
      </c>
      <c r="BT506" t="str">
        <f>HYPERLINK("https%3A%2F%2Fwww.webofscience.com%2Fwos%2Fwoscc%2Ffull-record%2FWOS:000844914800001","View Full Record in Web of Science")</f>
        <v>View Full Record in Web of Science</v>
      </c>
    </row>
    <row r="507" spans="1:72" x14ac:dyDescent="0.2">
      <c r="A507" t="s">
        <v>72</v>
      </c>
      <c r="B507" t="s">
        <v>9687</v>
      </c>
      <c r="C507" t="s">
        <v>74</v>
      </c>
      <c r="D507" t="s">
        <v>74</v>
      </c>
      <c r="E507" t="s">
        <v>74</v>
      </c>
      <c r="F507" t="s">
        <v>9688</v>
      </c>
      <c r="G507" t="s">
        <v>74</v>
      </c>
      <c r="H507" t="s">
        <v>74</v>
      </c>
      <c r="I507" t="s">
        <v>9689</v>
      </c>
      <c r="J507" t="s">
        <v>7679</v>
      </c>
      <c r="K507" t="s">
        <v>74</v>
      </c>
      <c r="L507" t="s">
        <v>74</v>
      </c>
      <c r="M507" t="s">
        <v>78</v>
      </c>
      <c r="N507" t="s">
        <v>108</v>
      </c>
      <c r="O507" t="s">
        <v>74</v>
      </c>
      <c r="P507" t="s">
        <v>74</v>
      </c>
      <c r="Q507" t="s">
        <v>74</v>
      </c>
      <c r="R507" t="s">
        <v>74</v>
      </c>
      <c r="S507" t="s">
        <v>74</v>
      </c>
      <c r="T507" t="s">
        <v>9690</v>
      </c>
      <c r="U507" t="s">
        <v>9691</v>
      </c>
      <c r="V507" t="s">
        <v>9692</v>
      </c>
      <c r="W507" t="s">
        <v>9693</v>
      </c>
      <c r="X507" t="s">
        <v>1044</v>
      </c>
      <c r="Y507" t="s">
        <v>9694</v>
      </c>
      <c r="Z507" t="s">
        <v>9695</v>
      </c>
      <c r="AA507" t="s">
        <v>8605</v>
      </c>
      <c r="AB507" t="s">
        <v>9696</v>
      </c>
      <c r="AC507" t="s">
        <v>74</v>
      </c>
      <c r="AD507" t="s">
        <v>74</v>
      </c>
      <c r="AE507" t="s">
        <v>74</v>
      </c>
      <c r="AF507" t="s">
        <v>74</v>
      </c>
      <c r="AG507">
        <v>204</v>
      </c>
      <c r="AH507">
        <v>15</v>
      </c>
      <c r="AI507">
        <v>15</v>
      </c>
      <c r="AJ507">
        <v>9</v>
      </c>
      <c r="AK507">
        <v>94</v>
      </c>
      <c r="AL507" t="s">
        <v>409</v>
      </c>
      <c r="AM507" t="s">
        <v>410</v>
      </c>
      <c r="AN507" t="s">
        <v>411</v>
      </c>
      <c r="AO507" t="s">
        <v>7687</v>
      </c>
      <c r="AP507" t="s">
        <v>7688</v>
      </c>
      <c r="AQ507" t="s">
        <v>74</v>
      </c>
      <c r="AR507" t="s">
        <v>7689</v>
      </c>
      <c r="AS507" t="s">
        <v>7690</v>
      </c>
      <c r="AT507" t="s">
        <v>216</v>
      </c>
      <c r="AU507">
        <v>2020</v>
      </c>
      <c r="AV507">
        <v>41</v>
      </c>
      <c r="AW507">
        <v>4</v>
      </c>
      <c r="AX507" t="s">
        <v>74</v>
      </c>
      <c r="AY507" t="s">
        <v>74</v>
      </c>
      <c r="AZ507" t="s">
        <v>74</v>
      </c>
      <c r="BA507" t="s">
        <v>74</v>
      </c>
      <c r="BB507">
        <v>356</v>
      </c>
      <c r="BC507">
        <v>383</v>
      </c>
      <c r="BD507" t="s">
        <v>74</v>
      </c>
      <c r="BE507" t="s">
        <v>9697</v>
      </c>
      <c r="BF507" t="str">
        <f>HYPERLINK("http://dx.doi.org/10.1111/jbl.12259","http://dx.doi.org/10.1111/jbl.12259")</f>
        <v>http://dx.doi.org/10.1111/jbl.12259</v>
      </c>
      <c r="BG507" t="s">
        <v>74</v>
      </c>
      <c r="BH507" t="s">
        <v>74</v>
      </c>
      <c r="BI507">
        <v>28</v>
      </c>
      <c r="BJ507" t="s">
        <v>418</v>
      </c>
      <c r="BK507" t="s">
        <v>242</v>
      </c>
      <c r="BL507" t="s">
        <v>419</v>
      </c>
      <c r="BM507" t="s">
        <v>9698</v>
      </c>
      <c r="BN507" t="s">
        <v>74</v>
      </c>
      <c r="BO507" t="s">
        <v>359</v>
      </c>
      <c r="BP507" t="s">
        <v>74</v>
      </c>
      <c r="BQ507" t="s">
        <v>74</v>
      </c>
      <c r="BR507" t="s">
        <v>102</v>
      </c>
      <c r="BS507" t="s">
        <v>9699</v>
      </c>
      <c r="BT507" t="str">
        <f>HYPERLINK("https%3A%2F%2Fwww.webofscience.com%2Fwos%2Fwoscc%2Ffull-record%2FWOS:000606384800006","View Full Record in Web of Science")</f>
        <v>View Full Record in Web of Science</v>
      </c>
    </row>
    <row r="508" spans="1:72" x14ac:dyDescent="0.2">
      <c r="A508" t="s">
        <v>72</v>
      </c>
      <c r="B508" t="s">
        <v>9700</v>
      </c>
      <c r="C508" t="s">
        <v>74</v>
      </c>
      <c r="D508" t="s">
        <v>74</v>
      </c>
      <c r="E508" t="s">
        <v>74</v>
      </c>
      <c r="F508" t="s">
        <v>9701</v>
      </c>
      <c r="G508" t="s">
        <v>74</v>
      </c>
      <c r="H508" t="s">
        <v>74</v>
      </c>
      <c r="I508" t="s">
        <v>9702</v>
      </c>
      <c r="J508" t="s">
        <v>762</v>
      </c>
      <c r="K508" t="s">
        <v>74</v>
      </c>
      <c r="L508" t="s">
        <v>74</v>
      </c>
      <c r="M508" t="s">
        <v>78</v>
      </c>
      <c r="N508" t="s">
        <v>917</v>
      </c>
      <c r="O508" t="s">
        <v>74</v>
      </c>
      <c r="P508" t="s">
        <v>74</v>
      </c>
      <c r="Q508" t="s">
        <v>74</v>
      </c>
      <c r="R508" t="s">
        <v>74</v>
      </c>
      <c r="S508" t="s">
        <v>74</v>
      </c>
      <c r="T508" t="s">
        <v>9703</v>
      </c>
      <c r="U508" t="s">
        <v>9704</v>
      </c>
      <c r="V508" t="s">
        <v>9705</v>
      </c>
      <c r="W508" t="s">
        <v>9706</v>
      </c>
      <c r="X508" t="s">
        <v>1715</v>
      </c>
      <c r="Y508" t="s">
        <v>9707</v>
      </c>
      <c r="Z508" t="s">
        <v>9708</v>
      </c>
      <c r="AA508" t="s">
        <v>9709</v>
      </c>
      <c r="AB508" t="s">
        <v>9710</v>
      </c>
      <c r="AC508" t="s">
        <v>74</v>
      </c>
      <c r="AD508" t="s">
        <v>74</v>
      </c>
      <c r="AE508" t="s">
        <v>74</v>
      </c>
      <c r="AF508" t="s">
        <v>74</v>
      </c>
      <c r="AG508">
        <v>88</v>
      </c>
      <c r="AH508">
        <v>0</v>
      </c>
      <c r="AI508">
        <v>0</v>
      </c>
      <c r="AJ508">
        <v>12</v>
      </c>
      <c r="AK508">
        <v>12</v>
      </c>
      <c r="AL508" t="s">
        <v>279</v>
      </c>
      <c r="AM508" t="s">
        <v>280</v>
      </c>
      <c r="AN508" t="s">
        <v>281</v>
      </c>
      <c r="AO508" t="s">
        <v>773</v>
      </c>
      <c r="AP508" t="s">
        <v>774</v>
      </c>
      <c r="AQ508" t="s">
        <v>74</v>
      </c>
      <c r="AR508" t="s">
        <v>775</v>
      </c>
      <c r="AS508" t="s">
        <v>776</v>
      </c>
      <c r="AT508" t="s">
        <v>9711</v>
      </c>
      <c r="AU508">
        <v>2023</v>
      </c>
      <c r="AV508" t="s">
        <v>74</v>
      </c>
      <c r="AW508" t="s">
        <v>74</v>
      </c>
      <c r="AX508" t="s">
        <v>74</v>
      </c>
      <c r="AY508" t="s">
        <v>74</v>
      </c>
      <c r="AZ508" t="s">
        <v>74</v>
      </c>
      <c r="BA508" t="s">
        <v>74</v>
      </c>
      <c r="BB508" t="s">
        <v>74</v>
      </c>
      <c r="BC508" t="s">
        <v>74</v>
      </c>
      <c r="BD508" t="s">
        <v>74</v>
      </c>
      <c r="BE508" t="s">
        <v>9712</v>
      </c>
      <c r="BF508" t="str">
        <f>HYPERLINK("http://dx.doi.org/10.1080/00207543.2023.2205969","http://dx.doi.org/10.1080/00207543.2023.2205969")</f>
        <v>http://dx.doi.org/10.1080/00207543.2023.2205969</v>
      </c>
      <c r="BG508" t="s">
        <v>74</v>
      </c>
      <c r="BH508" t="s">
        <v>930</v>
      </c>
      <c r="BI508">
        <v>19</v>
      </c>
      <c r="BJ508" t="s">
        <v>780</v>
      </c>
      <c r="BK508" t="s">
        <v>98</v>
      </c>
      <c r="BL508" t="s">
        <v>781</v>
      </c>
      <c r="BM508" t="s">
        <v>9713</v>
      </c>
      <c r="BN508" t="s">
        <v>74</v>
      </c>
      <c r="BO508" t="s">
        <v>74</v>
      </c>
      <c r="BP508" t="s">
        <v>74</v>
      </c>
      <c r="BQ508" t="s">
        <v>74</v>
      </c>
      <c r="BR508" t="s">
        <v>102</v>
      </c>
      <c r="BS508" t="s">
        <v>9714</v>
      </c>
      <c r="BT508" t="str">
        <f>HYPERLINK("https%3A%2F%2Fwww.webofscience.com%2Fwos%2Fwoscc%2Ffull-record%2FWOS:000987914800001","View Full Record in Web of Science")</f>
        <v>View Full Record in Web of Science</v>
      </c>
    </row>
    <row r="509" spans="1:72" x14ac:dyDescent="0.2">
      <c r="A509" t="s">
        <v>72</v>
      </c>
      <c r="B509" t="s">
        <v>9715</v>
      </c>
      <c r="C509" t="s">
        <v>74</v>
      </c>
      <c r="D509" t="s">
        <v>74</v>
      </c>
      <c r="E509" t="s">
        <v>74</v>
      </c>
      <c r="F509" t="s">
        <v>9716</v>
      </c>
      <c r="G509" t="s">
        <v>74</v>
      </c>
      <c r="H509" t="s">
        <v>74</v>
      </c>
      <c r="I509" t="s">
        <v>9717</v>
      </c>
      <c r="J509" t="s">
        <v>9718</v>
      </c>
      <c r="K509" t="s">
        <v>74</v>
      </c>
      <c r="L509" t="s">
        <v>74</v>
      </c>
      <c r="M509" t="s">
        <v>78</v>
      </c>
      <c r="N509" t="s">
        <v>79</v>
      </c>
      <c r="O509" t="s">
        <v>74</v>
      </c>
      <c r="P509" t="s">
        <v>74</v>
      </c>
      <c r="Q509" t="s">
        <v>74</v>
      </c>
      <c r="R509" t="s">
        <v>74</v>
      </c>
      <c r="S509" t="s">
        <v>74</v>
      </c>
      <c r="T509" t="s">
        <v>9719</v>
      </c>
      <c r="U509" t="s">
        <v>9720</v>
      </c>
      <c r="V509" t="s">
        <v>9721</v>
      </c>
      <c r="W509" t="s">
        <v>9722</v>
      </c>
      <c r="X509" t="s">
        <v>9723</v>
      </c>
      <c r="Y509" t="s">
        <v>9724</v>
      </c>
      <c r="Z509" t="s">
        <v>9725</v>
      </c>
      <c r="AA509" t="s">
        <v>74</v>
      </c>
      <c r="AB509" t="s">
        <v>74</v>
      </c>
      <c r="AC509" t="s">
        <v>9726</v>
      </c>
      <c r="AD509" t="s">
        <v>9727</v>
      </c>
      <c r="AE509" t="s">
        <v>9728</v>
      </c>
      <c r="AF509" t="s">
        <v>74</v>
      </c>
      <c r="AG509">
        <v>77</v>
      </c>
      <c r="AH509">
        <v>6</v>
      </c>
      <c r="AI509">
        <v>6</v>
      </c>
      <c r="AJ509">
        <v>22</v>
      </c>
      <c r="AK509">
        <v>124</v>
      </c>
      <c r="AL509" t="s">
        <v>209</v>
      </c>
      <c r="AM509" t="s">
        <v>210</v>
      </c>
      <c r="AN509" t="s">
        <v>211</v>
      </c>
      <c r="AO509" t="s">
        <v>9729</v>
      </c>
      <c r="AP509" t="s">
        <v>9730</v>
      </c>
      <c r="AQ509" t="s">
        <v>74</v>
      </c>
      <c r="AR509" t="s">
        <v>9731</v>
      </c>
      <c r="AS509" t="s">
        <v>9732</v>
      </c>
      <c r="AT509" t="s">
        <v>216</v>
      </c>
      <c r="AU509">
        <v>2022</v>
      </c>
      <c r="AV509">
        <v>61</v>
      </c>
      <c r="AW509">
        <v>12</v>
      </c>
      <c r="AX509" t="s">
        <v>74</v>
      </c>
      <c r="AY509" t="s">
        <v>74</v>
      </c>
      <c r="AZ509" t="s">
        <v>74</v>
      </c>
      <c r="BA509" t="s">
        <v>74</v>
      </c>
      <c r="BB509">
        <v>10837</v>
      </c>
      <c r="BC509">
        <v>10850</v>
      </c>
      <c r="BD509" t="s">
        <v>74</v>
      </c>
      <c r="BE509" t="s">
        <v>9733</v>
      </c>
      <c r="BF509" t="str">
        <f>HYPERLINK("http://dx.doi.org/10.1016/j.aej.2022.04.013","http://dx.doi.org/10.1016/j.aej.2022.04.013")</f>
        <v>http://dx.doi.org/10.1016/j.aej.2022.04.013</v>
      </c>
      <c r="BG509" t="s">
        <v>74</v>
      </c>
      <c r="BH509" t="s">
        <v>1099</v>
      </c>
      <c r="BI509">
        <v>14</v>
      </c>
      <c r="BJ509" t="s">
        <v>2462</v>
      </c>
      <c r="BK509" t="s">
        <v>98</v>
      </c>
      <c r="BL509" t="s">
        <v>1292</v>
      </c>
      <c r="BM509" t="s">
        <v>9734</v>
      </c>
      <c r="BN509" t="s">
        <v>74</v>
      </c>
      <c r="BO509" t="s">
        <v>74</v>
      </c>
      <c r="BP509" t="s">
        <v>74</v>
      </c>
      <c r="BQ509" t="s">
        <v>74</v>
      </c>
      <c r="BR509" t="s">
        <v>102</v>
      </c>
      <c r="BS509" t="s">
        <v>9735</v>
      </c>
      <c r="BT509" t="str">
        <f>HYPERLINK("https%3A%2F%2Fwww.webofscience.com%2Fwos%2Fwoscc%2Ffull-record%2FWOS:000799611500012","View Full Record in Web of Science")</f>
        <v>View Full Record in Web of Science</v>
      </c>
    </row>
    <row r="510" spans="1:72" x14ac:dyDescent="0.2">
      <c r="A510" t="s">
        <v>72</v>
      </c>
      <c r="B510" t="s">
        <v>9736</v>
      </c>
      <c r="C510" t="s">
        <v>74</v>
      </c>
      <c r="D510" t="s">
        <v>74</v>
      </c>
      <c r="E510" t="s">
        <v>74</v>
      </c>
      <c r="F510" t="s">
        <v>9737</v>
      </c>
      <c r="G510" t="s">
        <v>74</v>
      </c>
      <c r="H510" t="s">
        <v>74</v>
      </c>
      <c r="I510" t="s">
        <v>9738</v>
      </c>
      <c r="J510" t="s">
        <v>9739</v>
      </c>
      <c r="K510" t="s">
        <v>74</v>
      </c>
      <c r="L510" t="s">
        <v>74</v>
      </c>
      <c r="M510" t="s">
        <v>78</v>
      </c>
      <c r="N510" t="s">
        <v>108</v>
      </c>
      <c r="O510" t="s">
        <v>74</v>
      </c>
      <c r="P510" t="s">
        <v>74</v>
      </c>
      <c r="Q510" t="s">
        <v>74</v>
      </c>
      <c r="R510" t="s">
        <v>74</v>
      </c>
      <c r="S510" t="s">
        <v>74</v>
      </c>
      <c r="T510" t="s">
        <v>9740</v>
      </c>
      <c r="U510" t="s">
        <v>9741</v>
      </c>
      <c r="V510" t="s">
        <v>9742</v>
      </c>
      <c r="W510" t="s">
        <v>9743</v>
      </c>
      <c r="X510" t="s">
        <v>9744</v>
      </c>
      <c r="Y510" t="s">
        <v>9745</v>
      </c>
      <c r="Z510" t="s">
        <v>9746</v>
      </c>
      <c r="AA510" t="s">
        <v>9747</v>
      </c>
      <c r="AB510" t="s">
        <v>9748</v>
      </c>
      <c r="AC510" t="s">
        <v>74</v>
      </c>
      <c r="AD510" t="s">
        <v>74</v>
      </c>
      <c r="AE510" t="s">
        <v>74</v>
      </c>
      <c r="AF510" t="s">
        <v>74</v>
      </c>
      <c r="AG510">
        <v>134</v>
      </c>
      <c r="AH510">
        <v>10</v>
      </c>
      <c r="AI510">
        <v>10</v>
      </c>
      <c r="AJ510">
        <v>1</v>
      </c>
      <c r="AK510">
        <v>41</v>
      </c>
      <c r="AL510" t="s">
        <v>321</v>
      </c>
      <c r="AM510" t="s">
        <v>322</v>
      </c>
      <c r="AN510" t="s">
        <v>323</v>
      </c>
      <c r="AO510" t="s">
        <v>9749</v>
      </c>
      <c r="AP510" t="s">
        <v>9750</v>
      </c>
      <c r="AQ510" t="s">
        <v>74</v>
      </c>
      <c r="AR510" t="s">
        <v>9739</v>
      </c>
      <c r="AS510" t="s">
        <v>9751</v>
      </c>
      <c r="AT510" t="s">
        <v>174</v>
      </c>
      <c r="AU510">
        <v>2020</v>
      </c>
      <c r="AV510">
        <v>125</v>
      </c>
      <c r="AW510">
        <v>1</v>
      </c>
      <c r="AX510" t="s">
        <v>74</v>
      </c>
      <c r="AY510" t="s">
        <v>74</v>
      </c>
      <c r="AZ510" t="s">
        <v>74</v>
      </c>
      <c r="BA510" t="s">
        <v>74</v>
      </c>
      <c r="BB510">
        <v>233</v>
      </c>
      <c r="BC510">
        <v>269</v>
      </c>
      <c r="BD510" t="s">
        <v>74</v>
      </c>
      <c r="BE510" t="s">
        <v>9752</v>
      </c>
      <c r="BF510" t="str">
        <f>HYPERLINK("http://dx.doi.org/10.1007/s11192-020-03608-0","http://dx.doi.org/10.1007/s11192-020-03608-0")</f>
        <v>http://dx.doi.org/10.1007/s11192-020-03608-0</v>
      </c>
      <c r="BG510" t="s">
        <v>74</v>
      </c>
      <c r="BH510" t="s">
        <v>1215</v>
      </c>
      <c r="BI510">
        <v>37</v>
      </c>
      <c r="BJ510" t="s">
        <v>9753</v>
      </c>
      <c r="BK510" t="s">
        <v>147</v>
      </c>
      <c r="BL510" t="s">
        <v>9754</v>
      </c>
      <c r="BM510" t="s">
        <v>9755</v>
      </c>
      <c r="BN510" t="s">
        <v>74</v>
      </c>
      <c r="BO510" t="s">
        <v>74</v>
      </c>
      <c r="BP510" t="s">
        <v>74</v>
      </c>
      <c r="BQ510" t="s">
        <v>74</v>
      </c>
      <c r="BR510" t="s">
        <v>102</v>
      </c>
      <c r="BS510" t="s">
        <v>9756</v>
      </c>
      <c r="BT510" t="str">
        <f>HYPERLINK("https%3A%2F%2Fwww.webofscience.com%2Fwos%2Fwoscc%2Ffull-record%2FWOS:000550610700005","View Full Record in Web of Science")</f>
        <v>View Full Record in Web of Science</v>
      </c>
    </row>
    <row r="511" spans="1:72" x14ac:dyDescent="0.2">
      <c r="A511" t="s">
        <v>72</v>
      </c>
      <c r="B511" t="s">
        <v>9757</v>
      </c>
      <c r="C511" t="s">
        <v>74</v>
      </c>
      <c r="D511" t="s">
        <v>74</v>
      </c>
      <c r="E511" t="s">
        <v>74</v>
      </c>
      <c r="F511" t="s">
        <v>9758</v>
      </c>
      <c r="G511" t="s">
        <v>74</v>
      </c>
      <c r="H511" t="s">
        <v>74</v>
      </c>
      <c r="I511" t="s">
        <v>9759</v>
      </c>
      <c r="J511" t="s">
        <v>9760</v>
      </c>
      <c r="K511" t="s">
        <v>74</v>
      </c>
      <c r="L511" t="s">
        <v>74</v>
      </c>
      <c r="M511" t="s">
        <v>78</v>
      </c>
      <c r="N511" t="s">
        <v>108</v>
      </c>
      <c r="O511" t="s">
        <v>74</v>
      </c>
      <c r="P511" t="s">
        <v>74</v>
      </c>
      <c r="Q511" t="s">
        <v>74</v>
      </c>
      <c r="R511" t="s">
        <v>74</v>
      </c>
      <c r="S511" t="s">
        <v>74</v>
      </c>
      <c r="T511" t="s">
        <v>9761</v>
      </c>
      <c r="U511" t="s">
        <v>74</v>
      </c>
      <c r="V511" t="s">
        <v>9762</v>
      </c>
      <c r="W511" t="s">
        <v>9763</v>
      </c>
      <c r="X511" t="s">
        <v>8373</v>
      </c>
      <c r="Y511" t="s">
        <v>8374</v>
      </c>
      <c r="Z511" t="s">
        <v>9764</v>
      </c>
      <c r="AA511" t="s">
        <v>9765</v>
      </c>
      <c r="AB511" t="s">
        <v>8376</v>
      </c>
      <c r="AC511" t="s">
        <v>9766</v>
      </c>
      <c r="AD511" t="s">
        <v>9767</v>
      </c>
      <c r="AE511" t="s">
        <v>9768</v>
      </c>
      <c r="AF511" t="s">
        <v>74</v>
      </c>
      <c r="AG511">
        <v>27</v>
      </c>
      <c r="AH511">
        <v>1</v>
      </c>
      <c r="AI511">
        <v>1</v>
      </c>
      <c r="AJ511">
        <v>12</v>
      </c>
      <c r="AK511">
        <v>25</v>
      </c>
      <c r="AL511" t="s">
        <v>321</v>
      </c>
      <c r="AM511" t="s">
        <v>322</v>
      </c>
      <c r="AN511" t="s">
        <v>323</v>
      </c>
      <c r="AO511" t="s">
        <v>9769</v>
      </c>
      <c r="AP511" t="s">
        <v>9770</v>
      </c>
      <c r="AQ511" t="s">
        <v>74</v>
      </c>
      <c r="AR511" t="s">
        <v>9771</v>
      </c>
      <c r="AS511" t="s">
        <v>9772</v>
      </c>
      <c r="AT511" t="s">
        <v>194</v>
      </c>
      <c r="AU511">
        <v>2022</v>
      </c>
      <c r="AV511">
        <v>36</v>
      </c>
      <c r="AW511">
        <v>14</v>
      </c>
      <c r="AX511" t="s">
        <v>74</v>
      </c>
      <c r="AY511" t="s">
        <v>74</v>
      </c>
      <c r="AZ511" t="s">
        <v>74</v>
      </c>
      <c r="BA511" t="s">
        <v>74</v>
      </c>
      <c r="BB511">
        <v>5425</v>
      </c>
      <c r="BC511">
        <v>5442</v>
      </c>
      <c r="BD511" t="s">
        <v>74</v>
      </c>
      <c r="BE511" t="s">
        <v>9773</v>
      </c>
      <c r="BF511" t="str">
        <f>HYPERLINK("http://dx.doi.org/10.1007/s11269-022-03316-9","http://dx.doi.org/10.1007/s11269-022-03316-9")</f>
        <v>http://dx.doi.org/10.1007/s11269-022-03316-9</v>
      </c>
      <c r="BG511" t="s">
        <v>74</v>
      </c>
      <c r="BH511" t="s">
        <v>4492</v>
      </c>
      <c r="BI511">
        <v>18</v>
      </c>
      <c r="BJ511" t="s">
        <v>9774</v>
      </c>
      <c r="BK511" t="s">
        <v>98</v>
      </c>
      <c r="BL511" t="s">
        <v>3873</v>
      </c>
      <c r="BM511" t="s">
        <v>9775</v>
      </c>
      <c r="BN511" t="s">
        <v>74</v>
      </c>
      <c r="BO511" t="s">
        <v>74</v>
      </c>
      <c r="BP511" t="s">
        <v>74</v>
      </c>
      <c r="BQ511" t="s">
        <v>74</v>
      </c>
      <c r="BR511" t="s">
        <v>102</v>
      </c>
      <c r="BS511" t="s">
        <v>9776</v>
      </c>
      <c r="BT511" t="str">
        <f>HYPERLINK("https%3A%2F%2Fwww.webofscience.com%2Fwos%2Fwoscc%2Ffull-record%2FWOS:000852937500001","View Full Record in Web of Science")</f>
        <v>View Full Record in Web of Science</v>
      </c>
    </row>
    <row r="512" spans="1:72" x14ac:dyDescent="0.2">
      <c r="A512" t="s">
        <v>72</v>
      </c>
      <c r="B512" t="s">
        <v>9777</v>
      </c>
      <c r="C512" t="s">
        <v>74</v>
      </c>
      <c r="D512" t="s">
        <v>74</v>
      </c>
      <c r="E512" t="s">
        <v>74</v>
      </c>
      <c r="F512" t="s">
        <v>9778</v>
      </c>
      <c r="G512" t="s">
        <v>74</v>
      </c>
      <c r="H512" t="s">
        <v>74</v>
      </c>
      <c r="I512" t="s">
        <v>9779</v>
      </c>
      <c r="J512" t="s">
        <v>9780</v>
      </c>
      <c r="K512" t="s">
        <v>74</v>
      </c>
      <c r="L512" t="s">
        <v>74</v>
      </c>
      <c r="M512" t="s">
        <v>78</v>
      </c>
      <c r="N512" t="s">
        <v>108</v>
      </c>
      <c r="O512" t="s">
        <v>74</v>
      </c>
      <c r="P512" t="s">
        <v>74</v>
      </c>
      <c r="Q512" t="s">
        <v>74</v>
      </c>
      <c r="R512" t="s">
        <v>74</v>
      </c>
      <c r="S512" t="s">
        <v>74</v>
      </c>
      <c r="T512" t="s">
        <v>9781</v>
      </c>
      <c r="U512" t="s">
        <v>3029</v>
      </c>
      <c r="V512" t="s">
        <v>9782</v>
      </c>
      <c r="W512" t="s">
        <v>9783</v>
      </c>
      <c r="X512" t="s">
        <v>9784</v>
      </c>
      <c r="Y512" t="s">
        <v>9785</v>
      </c>
      <c r="Z512" t="s">
        <v>9786</v>
      </c>
      <c r="AA512" t="s">
        <v>74</v>
      </c>
      <c r="AB512" t="s">
        <v>9787</v>
      </c>
      <c r="AC512" t="s">
        <v>74</v>
      </c>
      <c r="AD512" t="s">
        <v>74</v>
      </c>
      <c r="AE512" t="s">
        <v>74</v>
      </c>
      <c r="AF512" t="s">
        <v>74</v>
      </c>
      <c r="AG512">
        <v>66</v>
      </c>
      <c r="AH512">
        <v>1</v>
      </c>
      <c r="AI512">
        <v>1</v>
      </c>
      <c r="AJ512">
        <v>7</v>
      </c>
      <c r="AK512">
        <v>7</v>
      </c>
      <c r="AL512" t="s">
        <v>116</v>
      </c>
      <c r="AM512" t="s">
        <v>117</v>
      </c>
      <c r="AN512" t="s">
        <v>118</v>
      </c>
      <c r="AO512" t="s">
        <v>74</v>
      </c>
      <c r="AP512" t="s">
        <v>9788</v>
      </c>
      <c r="AQ512" t="s">
        <v>74</v>
      </c>
      <c r="AR512" t="s">
        <v>9789</v>
      </c>
      <c r="AS512" t="s">
        <v>9789</v>
      </c>
      <c r="AT512" t="s">
        <v>738</v>
      </c>
      <c r="AU512">
        <v>2023</v>
      </c>
      <c r="AV512">
        <v>13</v>
      </c>
      <c r="AW512">
        <v>2</v>
      </c>
      <c r="AX512" t="s">
        <v>74</v>
      </c>
      <c r="AY512" t="s">
        <v>74</v>
      </c>
      <c r="AZ512" t="s">
        <v>74</v>
      </c>
      <c r="BA512" t="s">
        <v>74</v>
      </c>
      <c r="BB512" t="s">
        <v>74</v>
      </c>
      <c r="BC512" t="s">
        <v>74</v>
      </c>
      <c r="BD512">
        <v>447</v>
      </c>
      <c r="BE512" t="s">
        <v>9790</v>
      </c>
      <c r="BF512" t="str">
        <f>HYPERLINK("http://dx.doi.org/10.3390/buildings13020447","http://dx.doi.org/10.3390/buildings13020447")</f>
        <v>http://dx.doi.org/10.3390/buildings13020447</v>
      </c>
      <c r="BG512" t="s">
        <v>74</v>
      </c>
      <c r="BH512" t="s">
        <v>74</v>
      </c>
      <c r="BI512">
        <v>34</v>
      </c>
      <c r="BJ512" t="s">
        <v>9791</v>
      </c>
      <c r="BK512" t="s">
        <v>98</v>
      </c>
      <c r="BL512" t="s">
        <v>9792</v>
      </c>
      <c r="BM512" t="s">
        <v>9793</v>
      </c>
      <c r="BN512" t="s">
        <v>74</v>
      </c>
      <c r="BO512" t="s">
        <v>126</v>
      </c>
      <c r="BP512" t="s">
        <v>74</v>
      </c>
      <c r="BQ512" t="s">
        <v>74</v>
      </c>
      <c r="BR512" t="s">
        <v>102</v>
      </c>
      <c r="BS512" t="s">
        <v>9794</v>
      </c>
      <c r="BT512" t="str">
        <f>HYPERLINK("https%3A%2F%2Fwww.webofscience.com%2Fwos%2Fwoscc%2Ffull-record%2FWOS:000944789200001","View Full Record in Web of Science")</f>
        <v>View Full Record in Web of Science</v>
      </c>
    </row>
    <row r="513" spans="1:72" x14ac:dyDescent="0.2">
      <c r="A513" t="s">
        <v>72</v>
      </c>
      <c r="B513" t="s">
        <v>9795</v>
      </c>
      <c r="C513" t="s">
        <v>74</v>
      </c>
      <c r="D513" t="s">
        <v>74</v>
      </c>
      <c r="E513" t="s">
        <v>74</v>
      </c>
      <c r="F513" t="s">
        <v>9796</v>
      </c>
      <c r="G513" t="s">
        <v>74</v>
      </c>
      <c r="H513" t="s">
        <v>74</v>
      </c>
      <c r="I513" t="s">
        <v>9797</v>
      </c>
      <c r="J513" t="s">
        <v>4783</v>
      </c>
      <c r="K513" t="s">
        <v>74</v>
      </c>
      <c r="L513" t="s">
        <v>74</v>
      </c>
      <c r="M513" t="s">
        <v>78</v>
      </c>
      <c r="N513" t="s">
        <v>108</v>
      </c>
      <c r="O513" t="s">
        <v>74</v>
      </c>
      <c r="P513" t="s">
        <v>74</v>
      </c>
      <c r="Q513" t="s">
        <v>74</v>
      </c>
      <c r="R513" t="s">
        <v>74</v>
      </c>
      <c r="S513" t="s">
        <v>74</v>
      </c>
      <c r="T513" t="s">
        <v>9798</v>
      </c>
      <c r="U513" t="s">
        <v>9799</v>
      </c>
      <c r="V513" t="s">
        <v>9800</v>
      </c>
      <c r="W513" t="s">
        <v>9801</v>
      </c>
      <c r="X513" t="s">
        <v>9802</v>
      </c>
      <c r="Y513" t="s">
        <v>9803</v>
      </c>
      <c r="Z513" t="s">
        <v>9804</v>
      </c>
      <c r="AA513" t="s">
        <v>74</v>
      </c>
      <c r="AB513" t="s">
        <v>74</v>
      </c>
      <c r="AC513" t="s">
        <v>74</v>
      </c>
      <c r="AD513" t="s">
        <v>74</v>
      </c>
      <c r="AE513" t="s">
        <v>74</v>
      </c>
      <c r="AF513" t="s">
        <v>74</v>
      </c>
      <c r="AG513">
        <v>22</v>
      </c>
      <c r="AH513">
        <v>35</v>
      </c>
      <c r="AI513">
        <v>38</v>
      </c>
      <c r="AJ513">
        <v>0</v>
      </c>
      <c r="AK513">
        <v>11</v>
      </c>
      <c r="AL513" t="s">
        <v>543</v>
      </c>
      <c r="AM513" t="s">
        <v>260</v>
      </c>
      <c r="AN513" t="s">
        <v>544</v>
      </c>
      <c r="AO513" t="s">
        <v>4796</v>
      </c>
      <c r="AP513" t="s">
        <v>4797</v>
      </c>
      <c r="AQ513" t="s">
        <v>74</v>
      </c>
      <c r="AR513" t="s">
        <v>4798</v>
      </c>
      <c r="AS513" t="s">
        <v>4799</v>
      </c>
      <c r="AT513" t="s">
        <v>616</v>
      </c>
      <c r="AU513">
        <v>2007</v>
      </c>
      <c r="AV513">
        <v>20</v>
      </c>
      <c r="AW513">
        <v>2</v>
      </c>
      <c r="AX513" t="s">
        <v>74</v>
      </c>
      <c r="AY513" t="s">
        <v>74</v>
      </c>
      <c r="AZ513" t="s">
        <v>74</v>
      </c>
      <c r="BA513" t="s">
        <v>74</v>
      </c>
      <c r="BB513">
        <v>185</v>
      </c>
      <c r="BC513">
        <v>201</v>
      </c>
      <c r="BD513" t="s">
        <v>74</v>
      </c>
      <c r="BE513" t="s">
        <v>9805</v>
      </c>
      <c r="BF513" t="str">
        <f>HYPERLINK("http://dx.doi.org/10.1016/j.engappai.2006.06.018","http://dx.doi.org/10.1016/j.engappai.2006.06.018")</f>
        <v>http://dx.doi.org/10.1016/j.engappai.2006.06.018</v>
      </c>
      <c r="BG513" t="s">
        <v>74</v>
      </c>
      <c r="BH513" t="s">
        <v>74</v>
      </c>
      <c r="BI513">
        <v>17</v>
      </c>
      <c r="BJ513" t="s">
        <v>4801</v>
      </c>
      <c r="BK513" t="s">
        <v>98</v>
      </c>
      <c r="BL513" t="s">
        <v>4802</v>
      </c>
      <c r="BM513" t="s">
        <v>9806</v>
      </c>
      <c r="BN513" t="s">
        <v>74</v>
      </c>
      <c r="BO513" t="s">
        <v>74</v>
      </c>
      <c r="BP513" t="s">
        <v>74</v>
      </c>
      <c r="BQ513" t="s">
        <v>74</v>
      </c>
      <c r="BR513" t="s">
        <v>102</v>
      </c>
      <c r="BS513" t="s">
        <v>9807</v>
      </c>
      <c r="BT513" t="str">
        <f>HYPERLINK("https%3A%2F%2Fwww.webofscience.com%2Fwos%2Fwoscc%2Ffull-record%2FWOS:000243698100007","View Full Record in Web of Science")</f>
        <v>View Full Record in Web of Science</v>
      </c>
    </row>
    <row r="514" spans="1:72" x14ac:dyDescent="0.2">
      <c r="A514" t="s">
        <v>72</v>
      </c>
      <c r="B514" t="s">
        <v>9808</v>
      </c>
      <c r="C514" t="s">
        <v>74</v>
      </c>
      <c r="D514" t="s">
        <v>74</v>
      </c>
      <c r="E514" t="s">
        <v>74</v>
      </c>
      <c r="F514" t="s">
        <v>9808</v>
      </c>
      <c r="G514" t="s">
        <v>74</v>
      </c>
      <c r="H514" t="s">
        <v>74</v>
      </c>
      <c r="I514" t="s">
        <v>9809</v>
      </c>
      <c r="J514" t="s">
        <v>9810</v>
      </c>
      <c r="K514" t="s">
        <v>74</v>
      </c>
      <c r="L514" t="s">
        <v>74</v>
      </c>
      <c r="M514" t="s">
        <v>78</v>
      </c>
      <c r="N514" t="s">
        <v>108</v>
      </c>
      <c r="O514" t="s">
        <v>74</v>
      </c>
      <c r="P514" t="s">
        <v>74</v>
      </c>
      <c r="Q514" t="s">
        <v>74</v>
      </c>
      <c r="R514" t="s">
        <v>74</v>
      </c>
      <c r="S514" t="s">
        <v>74</v>
      </c>
      <c r="T514" t="s">
        <v>9811</v>
      </c>
      <c r="U514" t="s">
        <v>9812</v>
      </c>
      <c r="V514" t="s">
        <v>9813</v>
      </c>
      <c r="W514" t="s">
        <v>9814</v>
      </c>
      <c r="X514" t="s">
        <v>9815</v>
      </c>
      <c r="Y514" t="s">
        <v>9816</v>
      </c>
      <c r="Z514" t="s">
        <v>9817</v>
      </c>
      <c r="AA514" t="s">
        <v>9818</v>
      </c>
      <c r="AB514" t="s">
        <v>9819</v>
      </c>
      <c r="AC514" t="s">
        <v>74</v>
      </c>
      <c r="AD514" t="s">
        <v>74</v>
      </c>
      <c r="AE514" t="s">
        <v>74</v>
      </c>
      <c r="AF514" t="s">
        <v>74</v>
      </c>
      <c r="AG514">
        <v>61</v>
      </c>
      <c r="AH514">
        <v>126</v>
      </c>
      <c r="AI514">
        <v>134</v>
      </c>
      <c r="AJ514">
        <v>1</v>
      </c>
      <c r="AK514">
        <v>80</v>
      </c>
      <c r="AL514" t="s">
        <v>209</v>
      </c>
      <c r="AM514" t="s">
        <v>210</v>
      </c>
      <c r="AN514" t="s">
        <v>211</v>
      </c>
      <c r="AO514" t="s">
        <v>9820</v>
      </c>
      <c r="AP514" t="s">
        <v>9821</v>
      </c>
      <c r="AQ514" t="s">
        <v>74</v>
      </c>
      <c r="AR514" t="s">
        <v>9822</v>
      </c>
      <c r="AS514" t="s">
        <v>9823</v>
      </c>
      <c r="AT514" t="s">
        <v>239</v>
      </c>
      <c r="AU514">
        <v>2002</v>
      </c>
      <c r="AV514">
        <v>31</v>
      </c>
      <c r="AW514">
        <v>6</v>
      </c>
      <c r="AX514" t="s">
        <v>74</v>
      </c>
      <c r="AY514" t="s">
        <v>74</v>
      </c>
      <c r="AZ514" t="s">
        <v>74</v>
      </c>
      <c r="BA514" t="s">
        <v>74</v>
      </c>
      <c r="BB514">
        <v>849</v>
      </c>
      <c r="BC514">
        <v>858</v>
      </c>
      <c r="BD514" t="s">
        <v>9824</v>
      </c>
      <c r="BE514" t="s">
        <v>9825</v>
      </c>
      <c r="BF514" t="str">
        <f>HYPERLINK("http://dx.doi.org/10.1016/S0048-7333(01)00151-2","http://dx.doi.org/10.1016/S0048-7333(01)00151-2")</f>
        <v>http://dx.doi.org/10.1016/S0048-7333(01)00151-2</v>
      </c>
      <c r="BG514" t="s">
        <v>74</v>
      </c>
      <c r="BH514" t="s">
        <v>74</v>
      </c>
      <c r="BI514">
        <v>10</v>
      </c>
      <c r="BJ514" t="s">
        <v>418</v>
      </c>
      <c r="BK514" t="s">
        <v>242</v>
      </c>
      <c r="BL514" t="s">
        <v>419</v>
      </c>
      <c r="BM514" t="s">
        <v>9826</v>
      </c>
      <c r="BN514" t="s">
        <v>74</v>
      </c>
      <c r="BO514" t="s">
        <v>74</v>
      </c>
      <c r="BP514" t="s">
        <v>74</v>
      </c>
      <c r="BQ514" t="s">
        <v>74</v>
      </c>
      <c r="BR514" t="s">
        <v>102</v>
      </c>
      <c r="BS514" t="s">
        <v>9827</v>
      </c>
      <c r="BT514" t="str">
        <f>HYPERLINK("https%3A%2F%2Fwww.webofscience.com%2Fwos%2Fwoscc%2Ffull-record%2FWOS:000175969800001","View Full Record in Web of Science")</f>
        <v>View Full Record in Web of Science</v>
      </c>
    </row>
    <row r="515" spans="1:72" x14ac:dyDescent="0.2">
      <c r="A515" t="s">
        <v>72</v>
      </c>
      <c r="B515" t="s">
        <v>9828</v>
      </c>
      <c r="C515" t="s">
        <v>74</v>
      </c>
      <c r="D515" t="s">
        <v>74</v>
      </c>
      <c r="E515" t="s">
        <v>74</v>
      </c>
      <c r="F515" t="s">
        <v>9829</v>
      </c>
      <c r="G515" t="s">
        <v>74</v>
      </c>
      <c r="H515" t="s">
        <v>74</v>
      </c>
      <c r="I515" t="s">
        <v>9830</v>
      </c>
      <c r="J515" t="s">
        <v>7893</v>
      </c>
      <c r="K515" t="s">
        <v>74</v>
      </c>
      <c r="L515" t="s">
        <v>74</v>
      </c>
      <c r="M515" t="s">
        <v>78</v>
      </c>
      <c r="N515" t="s">
        <v>108</v>
      </c>
      <c r="O515" t="s">
        <v>74</v>
      </c>
      <c r="P515" t="s">
        <v>74</v>
      </c>
      <c r="Q515" t="s">
        <v>74</v>
      </c>
      <c r="R515" t="s">
        <v>74</v>
      </c>
      <c r="S515" t="s">
        <v>74</v>
      </c>
      <c r="T515" t="s">
        <v>9831</v>
      </c>
      <c r="U515" t="s">
        <v>9832</v>
      </c>
      <c r="V515" t="s">
        <v>9833</v>
      </c>
      <c r="W515" t="s">
        <v>9834</v>
      </c>
      <c r="X515" t="s">
        <v>9835</v>
      </c>
      <c r="Y515" t="s">
        <v>9836</v>
      </c>
      <c r="Z515" t="s">
        <v>9837</v>
      </c>
      <c r="AA515" t="s">
        <v>74</v>
      </c>
      <c r="AB515" t="s">
        <v>74</v>
      </c>
      <c r="AC515" t="s">
        <v>74</v>
      </c>
      <c r="AD515" t="s">
        <v>74</v>
      </c>
      <c r="AE515" t="s">
        <v>74</v>
      </c>
      <c r="AF515" t="s">
        <v>74</v>
      </c>
      <c r="AG515">
        <v>39</v>
      </c>
      <c r="AH515">
        <v>13</v>
      </c>
      <c r="AI515">
        <v>14</v>
      </c>
      <c r="AJ515">
        <v>0</v>
      </c>
      <c r="AK515">
        <v>42</v>
      </c>
      <c r="AL515" t="s">
        <v>437</v>
      </c>
      <c r="AM515" t="s">
        <v>438</v>
      </c>
      <c r="AN515" t="s">
        <v>439</v>
      </c>
      <c r="AO515" t="s">
        <v>7903</v>
      </c>
      <c r="AP515" t="s">
        <v>7904</v>
      </c>
      <c r="AQ515" t="s">
        <v>74</v>
      </c>
      <c r="AR515" t="s">
        <v>7905</v>
      </c>
      <c r="AS515" t="s">
        <v>7906</v>
      </c>
      <c r="AT515" t="s">
        <v>74</v>
      </c>
      <c r="AU515">
        <v>2009</v>
      </c>
      <c r="AV515">
        <v>39</v>
      </c>
      <c r="AW515">
        <v>5</v>
      </c>
      <c r="AX515" t="s">
        <v>74</v>
      </c>
      <c r="AY515" t="s">
        <v>74</v>
      </c>
      <c r="AZ515" t="s">
        <v>74</v>
      </c>
      <c r="BA515" t="s">
        <v>74</v>
      </c>
      <c r="BB515">
        <v>365</v>
      </c>
      <c r="BC515">
        <v>403</v>
      </c>
      <c r="BD515" t="s">
        <v>74</v>
      </c>
      <c r="BE515" t="s">
        <v>9838</v>
      </c>
      <c r="BF515" t="str">
        <f>HYPERLINK("http://dx.doi.org/10.1108/09600030910973733","http://dx.doi.org/10.1108/09600030910973733")</f>
        <v>http://dx.doi.org/10.1108/09600030910973733</v>
      </c>
      <c r="BG515" t="s">
        <v>74</v>
      </c>
      <c r="BH515" t="s">
        <v>74</v>
      </c>
      <c r="BI515">
        <v>39</v>
      </c>
      <c r="BJ515" t="s">
        <v>418</v>
      </c>
      <c r="BK515" t="s">
        <v>242</v>
      </c>
      <c r="BL515" t="s">
        <v>419</v>
      </c>
      <c r="BM515" t="s">
        <v>9839</v>
      </c>
      <c r="BN515" t="s">
        <v>74</v>
      </c>
      <c r="BO515" t="s">
        <v>74</v>
      </c>
      <c r="BP515" t="s">
        <v>74</v>
      </c>
      <c r="BQ515" t="s">
        <v>74</v>
      </c>
      <c r="BR515" t="s">
        <v>102</v>
      </c>
      <c r="BS515" t="s">
        <v>9840</v>
      </c>
      <c r="BT515" t="str">
        <f>HYPERLINK("https%3A%2F%2Fwww.webofscience.com%2Fwos%2Fwoscc%2Ffull-record%2FWOS:000284680900003","View Full Record in Web of Science")</f>
        <v>View Full Record in Web of Science</v>
      </c>
    </row>
    <row r="516" spans="1:72" x14ac:dyDescent="0.2">
      <c r="A516" t="s">
        <v>72</v>
      </c>
      <c r="B516" t="s">
        <v>9841</v>
      </c>
      <c r="C516" t="s">
        <v>74</v>
      </c>
      <c r="D516" t="s">
        <v>74</v>
      </c>
      <c r="E516" t="s">
        <v>74</v>
      </c>
      <c r="F516" t="s">
        <v>9842</v>
      </c>
      <c r="G516" t="s">
        <v>74</v>
      </c>
      <c r="H516" t="s">
        <v>74</v>
      </c>
      <c r="I516" t="s">
        <v>9843</v>
      </c>
      <c r="J516" t="s">
        <v>3226</v>
      </c>
      <c r="K516" t="s">
        <v>74</v>
      </c>
      <c r="L516" t="s">
        <v>74</v>
      </c>
      <c r="M516" t="s">
        <v>78</v>
      </c>
      <c r="N516" t="s">
        <v>108</v>
      </c>
      <c r="O516" t="s">
        <v>74</v>
      </c>
      <c r="P516" t="s">
        <v>74</v>
      </c>
      <c r="Q516" t="s">
        <v>74</v>
      </c>
      <c r="R516" t="s">
        <v>74</v>
      </c>
      <c r="S516" t="s">
        <v>74</v>
      </c>
      <c r="T516" t="s">
        <v>9844</v>
      </c>
      <c r="U516" t="s">
        <v>9845</v>
      </c>
      <c r="V516" t="s">
        <v>9846</v>
      </c>
      <c r="W516" t="s">
        <v>9847</v>
      </c>
      <c r="X516" t="s">
        <v>9848</v>
      </c>
      <c r="Y516" t="s">
        <v>9849</v>
      </c>
      <c r="Z516" t="s">
        <v>9850</v>
      </c>
      <c r="AA516" t="s">
        <v>9851</v>
      </c>
      <c r="AB516" t="s">
        <v>9852</v>
      </c>
      <c r="AC516" t="s">
        <v>74</v>
      </c>
      <c r="AD516" t="s">
        <v>74</v>
      </c>
      <c r="AE516" t="s">
        <v>74</v>
      </c>
      <c r="AF516" t="s">
        <v>74</v>
      </c>
      <c r="AG516">
        <v>39</v>
      </c>
      <c r="AH516">
        <v>5</v>
      </c>
      <c r="AI516">
        <v>5</v>
      </c>
      <c r="AJ516">
        <v>0</v>
      </c>
      <c r="AK516">
        <v>17</v>
      </c>
      <c r="AL516" t="s">
        <v>279</v>
      </c>
      <c r="AM516" t="s">
        <v>280</v>
      </c>
      <c r="AN516" t="s">
        <v>281</v>
      </c>
      <c r="AO516" t="s">
        <v>3233</v>
      </c>
      <c r="AP516" t="s">
        <v>3234</v>
      </c>
      <c r="AQ516" t="s">
        <v>74</v>
      </c>
      <c r="AR516" t="s">
        <v>3235</v>
      </c>
      <c r="AS516" t="s">
        <v>3236</v>
      </c>
      <c r="AT516" t="s">
        <v>74</v>
      </c>
      <c r="AU516">
        <v>2018</v>
      </c>
      <c r="AV516">
        <v>31</v>
      </c>
      <c r="AW516">
        <v>11</v>
      </c>
      <c r="AX516" t="s">
        <v>74</v>
      </c>
      <c r="AY516" t="s">
        <v>74</v>
      </c>
      <c r="AZ516" t="s">
        <v>74</v>
      </c>
      <c r="BA516" t="s">
        <v>74</v>
      </c>
      <c r="BB516">
        <v>1078</v>
      </c>
      <c r="BC516">
        <v>1096</v>
      </c>
      <c r="BD516" t="s">
        <v>74</v>
      </c>
      <c r="BE516" t="s">
        <v>9853</v>
      </c>
      <c r="BF516" t="str">
        <f>HYPERLINK("http://dx.doi.org/10.1080/0951192X.2018.1509129","http://dx.doi.org/10.1080/0951192X.2018.1509129")</f>
        <v>http://dx.doi.org/10.1080/0951192X.2018.1509129</v>
      </c>
      <c r="BG516" t="s">
        <v>74</v>
      </c>
      <c r="BH516" t="s">
        <v>74</v>
      </c>
      <c r="BI516">
        <v>19</v>
      </c>
      <c r="BJ516" t="s">
        <v>3240</v>
      </c>
      <c r="BK516" t="s">
        <v>98</v>
      </c>
      <c r="BL516" t="s">
        <v>2060</v>
      </c>
      <c r="BM516" t="s">
        <v>9854</v>
      </c>
      <c r="BN516" t="s">
        <v>74</v>
      </c>
      <c r="BO516" t="s">
        <v>74</v>
      </c>
      <c r="BP516" t="s">
        <v>74</v>
      </c>
      <c r="BQ516" t="s">
        <v>74</v>
      </c>
      <c r="BR516" t="s">
        <v>102</v>
      </c>
      <c r="BS516" t="s">
        <v>9855</v>
      </c>
      <c r="BT516" t="str">
        <f>HYPERLINK("https%3A%2F%2Fwww.webofscience.com%2Fwos%2Fwoscc%2Ffull-record%2FWOS:000443880500003","View Full Record in Web of Science")</f>
        <v>View Full Record in Web of Science</v>
      </c>
    </row>
    <row r="517" spans="1:72" x14ac:dyDescent="0.2">
      <c r="A517" t="s">
        <v>72</v>
      </c>
      <c r="B517" t="s">
        <v>9856</v>
      </c>
      <c r="C517" t="s">
        <v>74</v>
      </c>
      <c r="D517" t="s">
        <v>74</v>
      </c>
      <c r="E517" t="s">
        <v>74</v>
      </c>
      <c r="F517" t="s">
        <v>9857</v>
      </c>
      <c r="G517" t="s">
        <v>74</v>
      </c>
      <c r="H517" t="s">
        <v>74</v>
      </c>
      <c r="I517" t="s">
        <v>9858</v>
      </c>
      <c r="J517" t="s">
        <v>9859</v>
      </c>
      <c r="K517" t="s">
        <v>74</v>
      </c>
      <c r="L517" t="s">
        <v>74</v>
      </c>
      <c r="M517" t="s">
        <v>78</v>
      </c>
      <c r="N517" t="s">
        <v>108</v>
      </c>
      <c r="O517" t="s">
        <v>74</v>
      </c>
      <c r="P517" t="s">
        <v>74</v>
      </c>
      <c r="Q517" t="s">
        <v>74</v>
      </c>
      <c r="R517" t="s">
        <v>74</v>
      </c>
      <c r="S517" t="s">
        <v>74</v>
      </c>
      <c r="T517" t="s">
        <v>9860</v>
      </c>
      <c r="U517" t="s">
        <v>9861</v>
      </c>
      <c r="V517" t="s">
        <v>9862</v>
      </c>
      <c r="W517" t="s">
        <v>9863</v>
      </c>
      <c r="X517" t="s">
        <v>9864</v>
      </c>
      <c r="Y517" t="s">
        <v>9865</v>
      </c>
      <c r="Z517" t="s">
        <v>9866</v>
      </c>
      <c r="AA517" t="s">
        <v>9867</v>
      </c>
      <c r="AB517" t="s">
        <v>9868</v>
      </c>
      <c r="AC517" t="s">
        <v>74</v>
      </c>
      <c r="AD517" t="s">
        <v>74</v>
      </c>
      <c r="AE517" t="s">
        <v>74</v>
      </c>
      <c r="AF517" t="s">
        <v>74</v>
      </c>
      <c r="AG517">
        <v>61</v>
      </c>
      <c r="AH517">
        <v>2</v>
      </c>
      <c r="AI517">
        <v>2</v>
      </c>
      <c r="AJ517">
        <v>1</v>
      </c>
      <c r="AK517">
        <v>23</v>
      </c>
      <c r="AL517" t="s">
        <v>9869</v>
      </c>
      <c r="AM517" t="s">
        <v>9870</v>
      </c>
      <c r="AN517" t="s">
        <v>9871</v>
      </c>
      <c r="AO517" t="s">
        <v>9872</v>
      </c>
      <c r="AP517" t="s">
        <v>74</v>
      </c>
      <c r="AQ517" t="s">
        <v>74</v>
      </c>
      <c r="AR517" t="s">
        <v>9873</v>
      </c>
      <c r="AS517" t="s">
        <v>9874</v>
      </c>
      <c r="AT517" t="s">
        <v>216</v>
      </c>
      <c r="AU517">
        <v>2020</v>
      </c>
      <c r="AV517">
        <v>17</v>
      </c>
      <c r="AW517">
        <v>2</v>
      </c>
      <c r="AX517" t="s">
        <v>74</v>
      </c>
      <c r="AY517" t="s">
        <v>74</v>
      </c>
      <c r="AZ517" t="s">
        <v>74</v>
      </c>
      <c r="BA517" t="s">
        <v>74</v>
      </c>
      <c r="BB517">
        <v>105</v>
      </c>
      <c r="BC517">
        <v>118</v>
      </c>
      <c r="BD517" t="s">
        <v>74</v>
      </c>
      <c r="BE517" t="s">
        <v>9875</v>
      </c>
      <c r="BF517" t="str">
        <f>HYPERLINK("http://dx.doi.org/10.37801/ajad2020.17.2.7","http://dx.doi.org/10.37801/ajad2020.17.2.7")</f>
        <v>http://dx.doi.org/10.37801/ajad2020.17.2.7</v>
      </c>
      <c r="BG517" t="s">
        <v>74</v>
      </c>
      <c r="BH517" t="s">
        <v>74</v>
      </c>
      <c r="BI517">
        <v>14</v>
      </c>
      <c r="BJ517" t="s">
        <v>9876</v>
      </c>
      <c r="BK517" t="s">
        <v>124</v>
      </c>
      <c r="BL517" t="s">
        <v>8268</v>
      </c>
      <c r="BM517" t="s">
        <v>9877</v>
      </c>
      <c r="BN517" t="s">
        <v>74</v>
      </c>
      <c r="BO517" t="s">
        <v>1833</v>
      </c>
      <c r="BP517" t="s">
        <v>74</v>
      </c>
      <c r="BQ517" t="s">
        <v>74</v>
      </c>
      <c r="BR517" t="s">
        <v>102</v>
      </c>
      <c r="BS517" t="s">
        <v>9878</v>
      </c>
      <c r="BT517" t="str">
        <f>HYPERLINK("https%3A%2F%2Fwww.webofscience.com%2Fwos%2Fwoscc%2Ffull-record%2FWOS:000598172600007","View Full Record in Web of Science")</f>
        <v>View Full Record in Web of Science</v>
      </c>
    </row>
    <row r="518" spans="1:72" x14ac:dyDescent="0.2">
      <c r="A518" t="s">
        <v>72</v>
      </c>
      <c r="B518" t="s">
        <v>9879</v>
      </c>
      <c r="C518" t="s">
        <v>74</v>
      </c>
      <c r="D518" t="s">
        <v>74</v>
      </c>
      <c r="E518" t="s">
        <v>74</v>
      </c>
      <c r="F518" t="s">
        <v>9880</v>
      </c>
      <c r="G518" t="s">
        <v>74</v>
      </c>
      <c r="H518" t="s">
        <v>74</v>
      </c>
      <c r="I518" t="s">
        <v>9881</v>
      </c>
      <c r="J518" t="s">
        <v>556</v>
      </c>
      <c r="K518" t="s">
        <v>74</v>
      </c>
      <c r="L518" t="s">
        <v>74</v>
      </c>
      <c r="M518" t="s">
        <v>78</v>
      </c>
      <c r="N518" t="s">
        <v>108</v>
      </c>
      <c r="O518" t="s">
        <v>74</v>
      </c>
      <c r="P518" t="s">
        <v>74</v>
      </c>
      <c r="Q518" t="s">
        <v>74</v>
      </c>
      <c r="R518" t="s">
        <v>74</v>
      </c>
      <c r="S518" t="s">
        <v>74</v>
      </c>
      <c r="T518" t="s">
        <v>9882</v>
      </c>
      <c r="U518" t="s">
        <v>9883</v>
      </c>
      <c r="V518" t="s">
        <v>9884</v>
      </c>
      <c r="W518" t="s">
        <v>9885</v>
      </c>
      <c r="X518" t="s">
        <v>9886</v>
      </c>
      <c r="Y518" t="s">
        <v>9887</v>
      </c>
      <c r="Z518" t="s">
        <v>9888</v>
      </c>
      <c r="AA518" t="s">
        <v>9889</v>
      </c>
      <c r="AB518" t="s">
        <v>9890</v>
      </c>
      <c r="AC518" t="s">
        <v>74</v>
      </c>
      <c r="AD518" t="s">
        <v>74</v>
      </c>
      <c r="AE518" t="s">
        <v>74</v>
      </c>
      <c r="AF518" t="s">
        <v>74</v>
      </c>
      <c r="AG518">
        <v>50</v>
      </c>
      <c r="AH518">
        <v>1</v>
      </c>
      <c r="AI518">
        <v>1</v>
      </c>
      <c r="AJ518">
        <v>2</v>
      </c>
      <c r="AK518">
        <v>9</v>
      </c>
      <c r="AL518" t="s">
        <v>437</v>
      </c>
      <c r="AM518" t="s">
        <v>438</v>
      </c>
      <c r="AN518" t="s">
        <v>439</v>
      </c>
      <c r="AO518" t="s">
        <v>566</v>
      </c>
      <c r="AP518" t="s">
        <v>74</v>
      </c>
      <c r="AQ518" t="s">
        <v>74</v>
      </c>
      <c r="AR518" t="s">
        <v>567</v>
      </c>
      <c r="AS518" t="s">
        <v>568</v>
      </c>
      <c r="AT518" t="s">
        <v>74</v>
      </c>
      <c r="AU518">
        <v>2018</v>
      </c>
      <c r="AV518">
        <v>11</v>
      </c>
      <c r="AW518">
        <v>3</v>
      </c>
      <c r="AX518" t="s">
        <v>74</v>
      </c>
      <c r="AY518" t="s">
        <v>74</v>
      </c>
      <c r="AZ518" t="s">
        <v>74</v>
      </c>
      <c r="BA518" t="s">
        <v>74</v>
      </c>
      <c r="BB518">
        <v>274</v>
      </c>
      <c r="BC518">
        <v>300</v>
      </c>
      <c r="BD518" t="s">
        <v>74</v>
      </c>
      <c r="BE518" t="s">
        <v>9891</v>
      </c>
      <c r="BF518" t="str">
        <f>HYPERLINK("http://dx.doi.org/10.1108/JGOSS-11-2017-0056","http://dx.doi.org/10.1108/JGOSS-11-2017-0056")</f>
        <v>http://dx.doi.org/10.1108/JGOSS-11-2017-0056</v>
      </c>
      <c r="BG518" t="s">
        <v>74</v>
      </c>
      <c r="BH518" t="s">
        <v>74</v>
      </c>
      <c r="BI518">
        <v>27</v>
      </c>
      <c r="BJ518" t="s">
        <v>418</v>
      </c>
      <c r="BK518" t="s">
        <v>124</v>
      </c>
      <c r="BL518" t="s">
        <v>419</v>
      </c>
      <c r="BM518" t="s">
        <v>9892</v>
      </c>
      <c r="BN518" t="s">
        <v>74</v>
      </c>
      <c r="BO518" t="s">
        <v>1833</v>
      </c>
      <c r="BP518" t="s">
        <v>74</v>
      </c>
      <c r="BQ518" t="s">
        <v>74</v>
      </c>
      <c r="BR518" t="s">
        <v>102</v>
      </c>
      <c r="BS518" t="s">
        <v>9893</v>
      </c>
      <c r="BT518" t="str">
        <f>HYPERLINK("https%3A%2F%2Fwww.webofscience.com%2Fwos%2Fwoscc%2Ffull-record%2FWOS:000448812800001","View Full Record in Web of Science")</f>
        <v>View Full Record in Web of Science</v>
      </c>
    </row>
    <row r="519" spans="1:72" x14ac:dyDescent="0.2">
      <c r="A519" t="s">
        <v>72</v>
      </c>
      <c r="B519" t="s">
        <v>9894</v>
      </c>
      <c r="C519" t="s">
        <v>74</v>
      </c>
      <c r="D519" t="s">
        <v>74</v>
      </c>
      <c r="E519" t="s">
        <v>74</v>
      </c>
      <c r="F519" t="s">
        <v>9895</v>
      </c>
      <c r="G519" t="s">
        <v>74</v>
      </c>
      <c r="H519" t="s">
        <v>74</v>
      </c>
      <c r="I519" t="s">
        <v>9896</v>
      </c>
      <c r="J519" t="s">
        <v>7893</v>
      </c>
      <c r="K519" t="s">
        <v>74</v>
      </c>
      <c r="L519" t="s">
        <v>74</v>
      </c>
      <c r="M519" t="s">
        <v>78</v>
      </c>
      <c r="N519" t="s">
        <v>108</v>
      </c>
      <c r="O519" t="s">
        <v>74</v>
      </c>
      <c r="P519" t="s">
        <v>74</v>
      </c>
      <c r="Q519" t="s">
        <v>74</v>
      </c>
      <c r="R519" t="s">
        <v>74</v>
      </c>
      <c r="S519" t="s">
        <v>74</v>
      </c>
      <c r="T519" t="s">
        <v>9897</v>
      </c>
      <c r="U519" t="s">
        <v>9898</v>
      </c>
      <c r="V519" t="s">
        <v>9899</v>
      </c>
      <c r="W519" t="s">
        <v>9900</v>
      </c>
      <c r="X519" t="s">
        <v>9901</v>
      </c>
      <c r="Y519" t="s">
        <v>9902</v>
      </c>
      <c r="Z519" t="s">
        <v>9903</v>
      </c>
      <c r="AA519" t="s">
        <v>9904</v>
      </c>
      <c r="AB519" t="s">
        <v>9905</v>
      </c>
      <c r="AC519" t="s">
        <v>74</v>
      </c>
      <c r="AD519" t="s">
        <v>74</v>
      </c>
      <c r="AE519" t="s">
        <v>74</v>
      </c>
      <c r="AF519" t="s">
        <v>74</v>
      </c>
      <c r="AG519">
        <v>64</v>
      </c>
      <c r="AH519">
        <v>33</v>
      </c>
      <c r="AI519">
        <v>35</v>
      </c>
      <c r="AJ519">
        <v>3</v>
      </c>
      <c r="AK519">
        <v>58</v>
      </c>
      <c r="AL519" t="s">
        <v>437</v>
      </c>
      <c r="AM519" t="s">
        <v>438</v>
      </c>
      <c r="AN519" t="s">
        <v>439</v>
      </c>
      <c r="AO519" t="s">
        <v>7903</v>
      </c>
      <c r="AP519" t="s">
        <v>7904</v>
      </c>
      <c r="AQ519" t="s">
        <v>74</v>
      </c>
      <c r="AR519" t="s">
        <v>7905</v>
      </c>
      <c r="AS519" t="s">
        <v>7906</v>
      </c>
      <c r="AT519" t="s">
        <v>74</v>
      </c>
      <c r="AU519">
        <v>2016</v>
      </c>
      <c r="AV519">
        <v>46</v>
      </c>
      <c r="AW519">
        <v>3</v>
      </c>
      <c r="AX519" t="s">
        <v>74</v>
      </c>
      <c r="AY519" t="s">
        <v>74</v>
      </c>
      <c r="AZ519" t="s">
        <v>74</v>
      </c>
      <c r="BA519" t="s">
        <v>74</v>
      </c>
      <c r="BB519">
        <v>242</v>
      </c>
      <c r="BC519">
        <v>268</v>
      </c>
      <c r="BD519" t="s">
        <v>74</v>
      </c>
      <c r="BE519" t="s">
        <v>9906</v>
      </c>
      <c r="BF519" t="str">
        <f>HYPERLINK("http://dx.doi.org/10.1108/IJPDLM-10-2014-0243","http://dx.doi.org/10.1108/IJPDLM-10-2014-0243")</f>
        <v>http://dx.doi.org/10.1108/IJPDLM-10-2014-0243</v>
      </c>
      <c r="BG519" t="s">
        <v>74</v>
      </c>
      <c r="BH519" t="s">
        <v>74</v>
      </c>
      <c r="BI519">
        <v>27</v>
      </c>
      <c r="BJ519" t="s">
        <v>418</v>
      </c>
      <c r="BK519" t="s">
        <v>242</v>
      </c>
      <c r="BL519" t="s">
        <v>419</v>
      </c>
      <c r="BM519" t="s">
        <v>9907</v>
      </c>
      <c r="BN519" t="s">
        <v>74</v>
      </c>
      <c r="BO519" t="s">
        <v>74</v>
      </c>
      <c r="BP519" t="s">
        <v>74</v>
      </c>
      <c r="BQ519" t="s">
        <v>74</v>
      </c>
      <c r="BR519" t="s">
        <v>102</v>
      </c>
      <c r="BS519" t="s">
        <v>9908</v>
      </c>
      <c r="BT519" t="str">
        <f>HYPERLINK("https%3A%2F%2Fwww.webofscience.com%2Fwos%2Fwoscc%2Ffull-record%2FWOS:000374149800001","View Full Record in Web of Science")</f>
        <v>View Full Record in Web of Science</v>
      </c>
    </row>
    <row r="520" spans="1:72" x14ac:dyDescent="0.2">
      <c r="A520" t="s">
        <v>72</v>
      </c>
      <c r="B520" t="s">
        <v>9909</v>
      </c>
      <c r="C520" t="s">
        <v>74</v>
      </c>
      <c r="D520" t="s">
        <v>74</v>
      </c>
      <c r="E520" t="s">
        <v>74</v>
      </c>
      <c r="F520" t="s">
        <v>9910</v>
      </c>
      <c r="G520" t="s">
        <v>74</v>
      </c>
      <c r="H520" t="s">
        <v>74</v>
      </c>
      <c r="I520" t="s">
        <v>9911</v>
      </c>
      <c r="J520" t="s">
        <v>5431</v>
      </c>
      <c r="K520" t="s">
        <v>74</v>
      </c>
      <c r="L520" t="s">
        <v>74</v>
      </c>
      <c r="M520" t="s">
        <v>78</v>
      </c>
      <c r="N520" t="s">
        <v>108</v>
      </c>
      <c r="O520" t="s">
        <v>74</v>
      </c>
      <c r="P520" t="s">
        <v>74</v>
      </c>
      <c r="Q520" t="s">
        <v>74</v>
      </c>
      <c r="R520" t="s">
        <v>74</v>
      </c>
      <c r="S520" t="s">
        <v>74</v>
      </c>
      <c r="T520" t="s">
        <v>9912</v>
      </c>
      <c r="U520" t="s">
        <v>9913</v>
      </c>
      <c r="V520" t="s">
        <v>9914</v>
      </c>
      <c r="W520" t="s">
        <v>9915</v>
      </c>
      <c r="X520" t="s">
        <v>74</v>
      </c>
      <c r="Y520" t="s">
        <v>9916</v>
      </c>
      <c r="Z520" t="s">
        <v>9917</v>
      </c>
      <c r="AA520" t="s">
        <v>74</v>
      </c>
      <c r="AB520" t="s">
        <v>74</v>
      </c>
      <c r="AC520" t="s">
        <v>74</v>
      </c>
      <c r="AD520" t="s">
        <v>74</v>
      </c>
      <c r="AE520" t="s">
        <v>74</v>
      </c>
      <c r="AF520" t="s">
        <v>74</v>
      </c>
      <c r="AG520">
        <v>14</v>
      </c>
      <c r="AH520">
        <v>20</v>
      </c>
      <c r="AI520">
        <v>22</v>
      </c>
      <c r="AJ520">
        <v>0</v>
      </c>
      <c r="AK520">
        <v>14</v>
      </c>
      <c r="AL520" t="s">
        <v>347</v>
      </c>
      <c r="AM520" t="s">
        <v>348</v>
      </c>
      <c r="AN520" t="s">
        <v>9918</v>
      </c>
      <c r="AO520" t="s">
        <v>5438</v>
      </c>
      <c r="AP520" t="s">
        <v>5439</v>
      </c>
      <c r="AQ520" t="s">
        <v>74</v>
      </c>
      <c r="AR520" t="s">
        <v>5440</v>
      </c>
      <c r="AS520" t="s">
        <v>5441</v>
      </c>
      <c r="AT520" t="s">
        <v>5968</v>
      </c>
      <c r="AU520">
        <v>2013</v>
      </c>
      <c r="AV520">
        <v>37</v>
      </c>
      <c r="AW520">
        <v>24</v>
      </c>
      <c r="AX520" t="s">
        <v>74</v>
      </c>
      <c r="AY520" t="s">
        <v>74</v>
      </c>
      <c r="AZ520" t="s">
        <v>74</v>
      </c>
      <c r="BA520" t="s">
        <v>74</v>
      </c>
      <c r="BB520">
        <v>9846</v>
      </c>
      <c r="BC520">
        <v>9857</v>
      </c>
      <c r="BD520" t="s">
        <v>74</v>
      </c>
      <c r="BE520" t="s">
        <v>9919</v>
      </c>
      <c r="BF520" t="str">
        <f>HYPERLINK("http://dx.doi.org/10.1016/j.apm.2013.05.029","http://dx.doi.org/10.1016/j.apm.2013.05.029")</f>
        <v>http://dx.doi.org/10.1016/j.apm.2013.05.029</v>
      </c>
      <c r="BG520" t="s">
        <v>74</v>
      </c>
      <c r="BH520" t="s">
        <v>74</v>
      </c>
      <c r="BI520">
        <v>12</v>
      </c>
      <c r="BJ520" t="s">
        <v>5443</v>
      </c>
      <c r="BK520" t="s">
        <v>98</v>
      </c>
      <c r="BL520" t="s">
        <v>5444</v>
      </c>
      <c r="BM520" t="s">
        <v>9920</v>
      </c>
      <c r="BN520" t="s">
        <v>74</v>
      </c>
      <c r="BO520" t="s">
        <v>702</v>
      </c>
      <c r="BP520" t="s">
        <v>74</v>
      </c>
      <c r="BQ520" t="s">
        <v>74</v>
      </c>
      <c r="BR520" t="s">
        <v>102</v>
      </c>
      <c r="BS520" t="s">
        <v>9921</v>
      </c>
      <c r="BT520" t="str">
        <f>HYPERLINK("https%3A%2F%2Fwww.webofscience.com%2Fwos%2Fwoscc%2Ffull-record%2FWOS:000328806000003","View Full Record in Web of Science")</f>
        <v>View Full Record in Web of Science</v>
      </c>
    </row>
    <row r="521" spans="1:72" x14ac:dyDescent="0.2">
      <c r="A521" t="s">
        <v>72</v>
      </c>
      <c r="B521" t="s">
        <v>9922</v>
      </c>
      <c r="C521" t="s">
        <v>74</v>
      </c>
      <c r="D521" t="s">
        <v>74</v>
      </c>
      <c r="E521" t="s">
        <v>74</v>
      </c>
      <c r="F521" t="s">
        <v>9923</v>
      </c>
      <c r="G521" t="s">
        <v>74</v>
      </c>
      <c r="H521" t="s">
        <v>74</v>
      </c>
      <c r="I521" t="s">
        <v>9924</v>
      </c>
      <c r="J521" t="s">
        <v>9925</v>
      </c>
      <c r="K521" t="s">
        <v>74</v>
      </c>
      <c r="L521" t="s">
        <v>74</v>
      </c>
      <c r="M521" t="s">
        <v>78</v>
      </c>
      <c r="N521" t="s">
        <v>108</v>
      </c>
      <c r="O521" t="s">
        <v>74</v>
      </c>
      <c r="P521" t="s">
        <v>74</v>
      </c>
      <c r="Q521" t="s">
        <v>74</v>
      </c>
      <c r="R521" t="s">
        <v>74</v>
      </c>
      <c r="S521" t="s">
        <v>74</v>
      </c>
      <c r="T521" t="s">
        <v>9926</v>
      </c>
      <c r="U521" t="s">
        <v>9927</v>
      </c>
      <c r="V521" t="s">
        <v>9928</v>
      </c>
      <c r="W521" t="s">
        <v>9929</v>
      </c>
      <c r="X521" t="s">
        <v>9930</v>
      </c>
      <c r="Y521" t="s">
        <v>9931</v>
      </c>
      <c r="Z521" t="s">
        <v>9932</v>
      </c>
      <c r="AA521" t="s">
        <v>9933</v>
      </c>
      <c r="AB521" t="s">
        <v>9934</v>
      </c>
      <c r="AC521" t="s">
        <v>9935</v>
      </c>
      <c r="AD521" t="s">
        <v>9935</v>
      </c>
      <c r="AE521" t="s">
        <v>9936</v>
      </c>
      <c r="AF521" t="s">
        <v>74</v>
      </c>
      <c r="AG521">
        <v>40</v>
      </c>
      <c r="AH521">
        <v>5</v>
      </c>
      <c r="AI521">
        <v>5</v>
      </c>
      <c r="AJ521">
        <v>3</v>
      </c>
      <c r="AK521">
        <v>25</v>
      </c>
      <c r="AL521" t="s">
        <v>321</v>
      </c>
      <c r="AM521" t="s">
        <v>348</v>
      </c>
      <c r="AN521" t="s">
        <v>1454</v>
      </c>
      <c r="AO521" t="s">
        <v>9937</v>
      </c>
      <c r="AP521" t="s">
        <v>9938</v>
      </c>
      <c r="AQ521" t="s">
        <v>74</v>
      </c>
      <c r="AR521" t="s">
        <v>9939</v>
      </c>
      <c r="AS521" t="s">
        <v>9940</v>
      </c>
      <c r="AT521" t="s">
        <v>394</v>
      </c>
      <c r="AU521">
        <v>2021</v>
      </c>
      <c r="AV521">
        <v>14</v>
      </c>
      <c r="AW521">
        <v>5</v>
      </c>
      <c r="AX521" t="s">
        <v>74</v>
      </c>
      <c r="AY521" t="s">
        <v>74</v>
      </c>
      <c r="AZ521" t="s">
        <v>570</v>
      </c>
      <c r="BA521" t="s">
        <v>74</v>
      </c>
      <c r="BB521">
        <v>2600</v>
      </c>
      <c r="BC521">
        <v>2617</v>
      </c>
      <c r="BD521" t="s">
        <v>74</v>
      </c>
      <c r="BE521" t="s">
        <v>9941</v>
      </c>
      <c r="BF521" t="str">
        <f>HYPERLINK("http://dx.doi.org/10.1007/s12083-020-00960-z","http://dx.doi.org/10.1007/s12083-020-00960-z")</f>
        <v>http://dx.doi.org/10.1007/s12083-020-00960-z</v>
      </c>
      <c r="BG521" t="s">
        <v>74</v>
      </c>
      <c r="BH521" t="s">
        <v>1215</v>
      </c>
      <c r="BI521">
        <v>18</v>
      </c>
      <c r="BJ521" t="s">
        <v>503</v>
      </c>
      <c r="BK521" t="s">
        <v>147</v>
      </c>
      <c r="BL521" t="s">
        <v>505</v>
      </c>
      <c r="BM521" t="s">
        <v>9942</v>
      </c>
      <c r="BN521" t="s">
        <v>74</v>
      </c>
      <c r="BO521" t="s">
        <v>74</v>
      </c>
      <c r="BP521" t="s">
        <v>74</v>
      </c>
      <c r="BQ521" t="s">
        <v>74</v>
      </c>
      <c r="BR521" t="s">
        <v>102</v>
      </c>
      <c r="BS521" t="s">
        <v>9943</v>
      </c>
      <c r="BT521" t="str">
        <f>HYPERLINK("https%3A%2F%2Fwww.webofscience.com%2Fwos%2Fwoscc%2Ffull-record%2FWOS:000555067800001","View Full Record in Web of Science")</f>
        <v>View Full Record in Web of Science</v>
      </c>
    </row>
    <row r="522" spans="1:72" x14ac:dyDescent="0.2">
      <c r="A522" t="s">
        <v>72</v>
      </c>
      <c r="B522" t="s">
        <v>9944</v>
      </c>
      <c r="C522" t="s">
        <v>74</v>
      </c>
      <c r="D522" t="s">
        <v>74</v>
      </c>
      <c r="E522" t="s">
        <v>74</v>
      </c>
      <c r="F522" t="s">
        <v>9944</v>
      </c>
      <c r="G522" t="s">
        <v>74</v>
      </c>
      <c r="H522" t="s">
        <v>74</v>
      </c>
      <c r="I522" t="s">
        <v>9945</v>
      </c>
      <c r="J522" t="s">
        <v>9946</v>
      </c>
      <c r="K522" t="s">
        <v>74</v>
      </c>
      <c r="L522" t="s">
        <v>74</v>
      </c>
      <c r="M522" t="s">
        <v>78</v>
      </c>
      <c r="N522" t="s">
        <v>108</v>
      </c>
      <c r="O522" t="s">
        <v>74</v>
      </c>
      <c r="P522" t="s">
        <v>74</v>
      </c>
      <c r="Q522" t="s">
        <v>74</v>
      </c>
      <c r="R522" t="s">
        <v>74</v>
      </c>
      <c r="S522" t="s">
        <v>74</v>
      </c>
      <c r="T522" t="s">
        <v>9947</v>
      </c>
      <c r="U522" t="s">
        <v>9948</v>
      </c>
      <c r="V522" t="s">
        <v>9949</v>
      </c>
      <c r="W522" t="s">
        <v>9950</v>
      </c>
      <c r="X522" t="s">
        <v>9951</v>
      </c>
      <c r="Y522" t="s">
        <v>9952</v>
      </c>
      <c r="Z522" t="s">
        <v>74</v>
      </c>
      <c r="AA522" t="s">
        <v>9953</v>
      </c>
      <c r="AB522" t="s">
        <v>9954</v>
      </c>
      <c r="AC522" t="s">
        <v>74</v>
      </c>
      <c r="AD522" t="s">
        <v>74</v>
      </c>
      <c r="AE522" t="s">
        <v>74</v>
      </c>
      <c r="AF522" t="s">
        <v>74</v>
      </c>
      <c r="AG522">
        <v>31</v>
      </c>
      <c r="AH522">
        <v>38</v>
      </c>
      <c r="AI522">
        <v>39</v>
      </c>
      <c r="AJ522">
        <v>0</v>
      </c>
      <c r="AK522">
        <v>21</v>
      </c>
      <c r="AL522" t="s">
        <v>9955</v>
      </c>
      <c r="AM522" t="s">
        <v>260</v>
      </c>
      <c r="AN522" t="s">
        <v>9956</v>
      </c>
      <c r="AO522" t="s">
        <v>9957</v>
      </c>
      <c r="AP522" t="s">
        <v>74</v>
      </c>
      <c r="AQ522" t="s">
        <v>74</v>
      </c>
      <c r="AR522" t="s">
        <v>9958</v>
      </c>
      <c r="AS522" t="s">
        <v>9959</v>
      </c>
      <c r="AT522" t="s">
        <v>74</v>
      </c>
      <c r="AU522">
        <v>2001</v>
      </c>
      <c r="AV522">
        <v>92</v>
      </c>
      <c r="AW522">
        <v>4</v>
      </c>
      <c r="AX522" t="s">
        <v>74</v>
      </c>
      <c r="AY522" t="s">
        <v>74</v>
      </c>
      <c r="AZ522" t="s">
        <v>74</v>
      </c>
      <c r="BA522" t="s">
        <v>74</v>
      </c>
      <c r="BB522">
        <v>449</v>
      </c>
      <c r="BC522">
        <v>463</v>
      </c>
      <c r="BD522" t="s">
        <v>74</v>
      </c>
      <c r="BE522" t="s">
        <v>9960</v>
      </c>
      <c r="BF522" t="str">
        <f>HYPERLINK("http://dx.doi.org/10.1111/1467-9663.00171","http://dx.doi.org/10.1111/1467-9663.00171")</f>
        <v>http://dx.doi.org/10.1111/1467-9663.00171</v>
      </c>
      <c r="BG522" t="s">
        <v>74</v>
      </c>
      <c r="BH522" t="s">
        <v>74</v>
      </c>
      <c r="BI522">
        <v>15</v>
      </c>
      <c r="BJ522" t="s">
        <v>9961</v>
      </c>
      <c r="BK522" t="s">
        <v>242</v>
      </c>
      <c r="BL522" t="s">
        <v>9962</v>
      </c>
      <c r="BM522" t="s">
        <v>9963</v>
      </c>
      <c r="BN522" t="s">
        <v>74</v>
      </c>
      <c r="BO522" t="s">
        <v>74</v>
      </c>
      <c r="BP522" t="s">
        <v>74</v>
      </c>
      <c r="BQ522" t="s">
        <v>74</v>
      </c>
      <c r="BR522" t="s">
        <v>102</v>
      </c>
      <c r="BS522" t="s">
        <v>9964</v>
      </c>
      <c r="BT522" t="str">
        <f>HYPERLINK("https%3A%2F%2Fwww.webofscience.com%2Fwos%2Fwoscc%2Ffull-record%2FWOS:000172612200006","View Full Record in Web of Science")</f>
        <v>View Full Record in Web of Science</v>
      </c>
    </row>
    <row r="523" spans="1:72" x14ac:dyDescent="0.2">
      <c r="A523" t="s">
        <v>72</v>
      </c>
      <c r="B523" t="s">
        <v>9965</v>
      </c>
      <c r="C523" t="s">
        <v>74</v>
      </c>
      <c r="D523" t="s">
        <v>74</v>
      </c>
      <c r="E523" t="s">
        <v>74</v>
      </c>
      <c r="F523" t="s">
        <v>9966</v>
      </c>
      <c r="G523" t="s">
        <v>74</v>
      </c>
      <c r="H523" t="s">
        <v>74</v>
      </c>
      <c r="I523" t="s">
        <v>9967</v>
      </c>
      <c r="J523" t="s">
        <v>762</v>
      </c>
      <c r="K523" t="s">
        <v>74</v>
      </c>
      <c r="L523" t="s">
        <v>74</v>
      </c>
      <c r="M523" t="s">
        <v>78</v>
      </c>
      <c r="N523" t="s">
        <v>108</v>
      </c>
      <c r="O523" t="s">
        <v>74</v>
      </c>
      <c r="P523" t="s">
        <v>74</v>
      </c>
      <c r="Q523" t="s">
        <v>74</v>
      </c>
      <c r="R523" t="s">
        <v>74</v>
      </c>
      <c r="S523" t="s">
        <v>74</v>
      </c>
      <c r="T523" t="s">
        <v>9968</v>
      </c>
      <c r="U523" t="s">
        <v>9969</v>
      </c>
      <c r="V523" t="s">
        <v>9970</v>
      </c>
      <c r="W523" t="s">
        <v>9971</v>
      </c>
      <c r="X523" t="s">
        <v>9972</v>
      </c>
      <c r="Y523" t="s">
        <v>9973</v>
      </c>
      <c r="Z523" t="s">
        <v>9974</v>
      </c>
      <c r="AA523" t="s">
        <v>9975</v>
      </c>
      <c r="AB523" t="s">
        <v>9976</v>
      </c>
      <c r="AC523" t="s">
        <v>74</v>
      </c>
      <c r="AD523" t="s">
        <v>74</v>
      </c>
      <c r="AE523" t="s">
        <v>74</v>
      </c>
      <c r="AF523" t="s">
        <v>74</v>
      </c>
      <c r="AG523">
        <v>36</v>
      </c>
      <c r="AH523">
        <v>25</v>
      </c>
      <c r="AI523">
        <v>25</v>
      </c>
      <c r="AJ523">
        <v>1</v>
      </c>
      <c r="AK523">
        <v>72</v>
      </c>
      <c r="AL523" t="s">
        <v>279</v>
      </c>
      <c r="AM523" t="s">
        <v>280</v>
      </c>
      <c r="AN523" t="s">
        <v>281</v>
      </c>
      <c r="AO523" t="s">
        <v>773</v>
      </c>
      <c r="AP523" t="s">
        <v>774</v>
      </c>
      <c r="AQ523" t="s">
        <v>74</v>
      </c>
      <c r="AR523" t="s">
        <v>775</v>
      </c>
      <c r="AS523" t="s">
        <v>776</v>
      </c>
      <c r="AT523" t="s">
        <v>3700</v>
      </c>
      <c r="AU523">
        <v>2013</v>
      </c>
      <c r="AV523">
        <v>51</v>
      </c>
      <c r="AW523">
        <v>18</v>
      </c>
      <c r="AX523" t="s">
        <v>74</v>
      </c>
      <c r="AY523" t="s">
        <v>74</v>
      </c>
      <c r="AZ523" t="s">
        <v>74</v>
      </c>
      <c r="BA523" t="s">
        <v>74</v>
      </c>
      <c r="BB523">
        <v>5536</v>
      </c>
      <c r="BC523">
        <v>5548</v>
      </c>
      <c r="BD523" t="s">
        <v>74</v>
      </c>
      <c r="BE523" t="s">
        <v>9977</v>
      </c>
      <c r="BF523" t="str">
        <f>HYPERLINK("http://dx.doi.org/10.1080/00207543.2013.787168","http://dx.doi.org/10.1080/00207543.2013.787168")</f>
        <v>http://dx.doi.org/10.1080/00207543.2013.787168</v>
      </c>
      <c r="BG523" t="s">
        <v>74</v>
      </c>
      <c r="BH523" t="s">
        <v>74</v>
      </c>
      <c r="BI523">
        <v>13</v>
      </c>
      <c r="BJ523" t="s">
        <v>780</v>
      </c>
      <c r="BK523" t="s">
        <v>98</v>
      </c>
      <c r="BL523" t="s">
        <v>781</v>
      </c>
      <c r="BM523" t="s">
        <v>9978</v>
      </c>
      <c r="BN523" t="s">
        <v>74</v>
      </c>
      <c r="BO523" t="s">
        <v>74</v>
      </c>
      <c r="BP523" t="s">
        <v>74</v>
      </c>
      <c r="BQ523" t="s">
        <v>74</v>
      </c>
      <c r="BR523" t="s">
        <v>102</v>
      </c>
      <c r="BS523" t="s">
        <v>9979</v>
      </c>
      <c r="BT523" t="str">
        <f>HYPERLINK("https%3A%2F%2Fwww.webofscience.com%2Fwos%2Fwoscc%2Ffull-record%2FWOS:000324088400012","View Full Record in Web of Science")</f>
        <v>View Full Record in Web of Science</v>
      </c>
    </row>
    <row r="524" spans="1:72" x14ac:dyDescent="0.2">
      <c r="A524" t="s">
        <v>72</v>
      </c>
      <c r="B524" t="s">
        <v>9980</v>
      </c>
      <c r="C524" t="s">
        <v>74</v>
      </c>
      <c r="D524" t="s">
        <v>74</v>
      </c>
      <c r="E524" t="s">
        <v>74</v>
      </c>
      <c r="F524" t="s">
        <v>9981</v>
      </c>
      <c r="G524" t="s">
        <v>74</v>
      </c>
      <c r="H524" t="s">
        <v>74</v>
      </c>
      <c r="I524" t="s">
        <v>9982</v>
      </c>
      <c r="J524" t="s">
        <v>9983</v>
      </c>
      <c r="K524" t="s">
        <v>74</v>
      </c>
      <c r="L524" t="s">
        <v>74</v>
      </c>
      <c r="M524" t="s">
        <v>78</v>
      </c>
      <c r="N524" t="s">
        <v>108</v>
      </c>
      <c r="O524" t="s">
        <v>74</v>
      </c>
      <c r="P524" t="s">
        <v>74</v>
      </c>
      <c r="Q524" t="s">
        <v>74</v>
      </c>
      <c r="R524" t="s">
        <v>74</v>
      </c>
      <c r="S524" t="s">
        <v>74</v>
      </c>
      <c r="T524" t="s">
        <v>74</v>
      </c>
      <c r="U524" t="s">
        <v>9984</v>
      </c>
      <c r="V524" t="s">
        <v>9985</v>
      </c>
      <c r="W524" t="s">
        <v>9986</v>
      </c>
      <c r="X524" t="s">
        <v>9987</v>
      </c>
      <c r="Y524" t="s">
        <v>9988</v>
      </c>
      <c r="Z524" t="s">
        <v>9989</v>
      </c>
      <c r="AA524" t="s">
        <v>9990</v>
      </c>
      <c r="AB524" t="s">
        <v>9991</v>
      </c>
      <c r="AC524" t="s">
        <v>9992</v>
      </c>
      <c r="AD524" t="s">
        <v>9993</v>
      </c>
      <c r="AE524" t="s">
        <v>9994</v>
      </c>
      <c r="AF524" t="s">
        <v>74</v>
      </c>
      <c r="AG524">
        <v>55</v>
      </c>
      <c r="AH524">
        <v>4</v>
      </c>
      <c r="AI524">
        <v>4</v>
      </c>
      <c r="AJ524">
        <v>0</v>
      </c>
      <c r="AK524">
        <v>14</v>
      </c>
      <c r="AL524" t="s">
        <v>9995</v>
      </c>
      <c r="AM524" t="s">
        <v>90</v>
      </c>
      <c r="AN524" t="s">
        <v>9996</v>
      </c>
      <c r="AO524" t="s">
        <v>9997</v>
      </c>
      <c r="AP524" t="s">
        <v>74</v>
      </c>
      <c r="AQ524" t="s">
        <v>74</v>
      </c>
      <c r="AR524" t="s">
        <v>9998</v>
      </c>
      <c r="AS524" t="s">
        <v>9999</v>
      </c>
      <c r="AT524" t="s">
        <v>10000</v>
      </c>
      <c r="AU524">
        <v>2018</v>
      </c>
      <c r="AV524">
        <v>8</v>
      </c>
      <c r="AW524" t="s">
        <v>74</v>
      </c>
      <c r="AX524" t="s">
        <v>74</v>
      </c>
      <c r="AY524" t="s">
        <v>74</v>
      </c>
      <c r="AZ524" t="s">
        <v>74</v>
      </c>
      <c r="BA524" t="s">
        <v>74</v>
      </c>
      <c r="BB524" t="s">
        <v>74</v>
      </c>
      <c r="BC524" t="s">
        <v>74</v>
      </c>
      <c r="BD524">
        <v>5089</v>
      </c>
      <c r="BE524" t="s">
        <v>10001</v>
      </c>
      <c r="BF524" t="str">
        <f>HYPERLINK("http://dx.doi.org/10.1038/s41598-018-23409-z","http://dx.doi.org/10.1038/s41598-018-23409-z")</f>
        <v>http://dx.doi.org/10.1038/s41598-018-23409-z</v>
      </c>
      <c r="BG524" t="s">
        <v>74</v>
      </c>
      <c r="BH524" t="s">
        <v>74</v>
      </c>
      <c r="BI524">
        <v>10</v>
      </c>
      <c r="BJ524" t="s">
        <v>620</v>
      </c>
      <c r="BK524" t="s">
        <v>98</v>
      </c>
      <c r="BL524" t="s">
        <v>621</v>
      </c>
      <c r="BM524" t="s">
        <v>10002</v>
      </c>
      <c r="BN524">
        <v>29572496</v>
      </c>
      <c r="BO524" t="s">
        <v>623</v>
      </c>
      <c r="BP524" t="s">
        <v>74</v>
      </c>
      <c r="BQ524" t="s">
        <v>74</v>
      </c>
      <c r="BR524" t="s">
        <v>102</v>
      </c>
      <c r="BS524" t="s">
        <v>10003</v>
      </c>
      <c r="BT524" t="str">
        <f>HYPERLINK("https%3A%2F%2Fwww.webofscience.com%2Fwos%2Fwoscc%2Ffull-record%2FWOS:000428162000010","View Full Record in Web of Science")</f>
        <v>View Full Record in Web of Science</v>
      </c>
    </row>
    <row r="525" spans="1:72" x14ac:dyDescent="0.2">
      <c r="A525" t="s">
        <v>72</v>
      </c>
      <c r="B525" t="s">
        <v>10004</v>
      </c>
      <c r="C525" t="s">
        <v>74</v>
      </c>
      <c r="D525" t="s">
        <v>74</v>
      </c>
      <c r="E525" t="s">
        <v>74</v>
      </c>
      <c r="F525" t="s">
        <v>10005</v>
      </c>
      <c r="G525" t="s">
        <v>74</v>
      </c>
      <c r="H525" t="s">
        <v>74</v>
      </c>
      <c r="I525" t="s">
        <v>10006</v>
      </c>
      <c r="J525" t="s">
        <v>2721</v>
      </c>
      <c r="K525" t="s">
        <v>74</v>
      </c>
      <c r="L525" t="s">
        <v>74</v>
      </c>
      <c r="M525" t="s">
        <v>78</v>
      </c>
      <c r="N525" t="s">
        <v>108</v>
      </c>
      <c r="O525" t="s">
        <v>74</v>
      </c>
      <c r="P525" t="s">
        <v>74</v>
      </c>
      <c r="Q525" t="s">
        <v>74</v>
      </c>
      <c r="R525" t="s">
        <v>74</v>
      </c>
      <c r="S525" t="s">
        <v>74</v>
      </c>
      <c r="T525" t="s">
        <v>10007</v>
      </c>
      <c r="U525" t="s">
        <v>74</v>
      </c>
      <c r="V525" t="s">
        <v>10008</v>
      </c>
      <c r="W525" t="s">
        <v>10009</v>
      </c>
      <c r="X525" t="s">
        <v>10010</v>
      </c>
      <c r="Y525" t="s">
        <v>10011</v>
      </c>
      <c r="Z525" t="s">
        <v>10012</v>
      </c>
      <c r="AA525" t="s">
        <v>10013</v>
      </c>
      <c r="AB525" t="s">
        <v>10014</v>
      </c>
      <c r="AC525" t="s">
        <v>10015</v>
      </c>
      <c r="AD525" t="s">
        <v>10016</v>
      </c>
      <c r="AE525" t="s">
        <v>10017</v>
      </c>
      <c r="AF525" t="s">
        <v>74</v>
      </c>
      <c r="AG525">
        <v>24</v>
      </c>
      <c r="AH525">
        <v>1</v>
      </c>
      <c r="AI525">
        <v>1</v>
      </c>
      <c r="AJ525">
        <v>3</v>
      </c>
      <c r="AK525">
        <v>3</v>
      </c>
      <c r="AL525" t="s">
        <v>543</v>
      </c>
      <c r="AM525" t="s">
        <v>260</v>
      </c>
      <c r="AN525" t="s">
        <v>544</v>
      </c>
      <c r="AO525" t="s">
        <v>2734</v>
      </c>
      <c r="AP525" t="s">
        <v>2735</v>
      </c>
      <c r="AQ525" t="s">
        <v>74</v>
      </c>
      <c r="AR525" t="s">
        <v>2736</v>
      </c>
      <c r="AS525" t="s">
        <v>2737</v>
      </c>
      <c r="AT525" t="s">
        <v>846</v>
      </c>
      <c r="AU525">
        <v>2023</v>
      </c>
      <c r="AV525">
        <v>108</v>
      </c>
      <c r="AW525" t="s">
        <v>74</v>
      </c>
      <c r="AX525" t="s">
        <v>74</v>
      </c>
      <c r="AY525" t="s">
        <v>74</v>
      </c>
      <c r="AZ525" t="s">
        <v>74</v>
      </c>
      <c r="BA525" t="s">
        <v>74</v>
      </c>
      <c r="BB525" t="s">
        <v>74</v>
      </c>
      <c r="BC525" t="s">
        <v>74</v>
      </c>
      <c r="BD525">
        <v>108657</v>
      </c>
      <c r="BE525" t="s">
        <v>10018</v>
      </c>
      <c r="BF525" t="str">
        <f>HYPERLINK("http://dx.doi.org/10.1016/j.compeleceng.2023.108657","http://dx.doi.org/10.1016/j.compeleceng.2023.108657")</f>
        <v>http://dx.doi.org/10.1016/j.compeleceng.2023.108657</v>
      </c>
      <c r="BG525" t="s">
        <v>74</v>
      </c>
      <c r="BH525" t="s">
        <v>619</v>
      </c>
      <c r="BI525">
        <v>14</v>
      </c>
      <c r="BJ525" t="s">
        <v>2740</v>
      </c>
      <c r="BK525" t="s">
        <v>98</v>
      </c>
      <c r="BL525" t="s">
        <v>269</v>
      </c>
      <c r="BM525" t="s">
        <v>10019</v>
      </c>
      <c r="BN525" t="s">
        <v>74</v>
      </c>
      <c r="BO525" t="s">
        <v>74</v>
      </c>
      <c r="BP525" t="s">
        <v>74</v>
      </c>
      <c r="BQ525" t="s">
        <v>74</v>
      </c>
      <c r="BR525" t="s">
        <v>102</v>
      </c>
      <c r="BS525" t="s">
        <v>10020</v>
      </c>
      <c r="BT525" t="str">
        <f>HYPERLINK("https%3A%2F%2Fwww.webofscience.com%2Fwos%2Fwoscc%2Ffull-record%2FWOS:000954733700001","View Full Record in Web of Science")</f>
        <v>View Full Record in Web of Science</v>
      </c>
    </row>
    <row r="526" spans="1:72" x14ac:dyDescent="0.2">
      <c r="A526" t="s">
        <v>72</v>
      </c>
      <c r="B526" t="s">
        <v>10021</v>
      </c>
      <c r="C526" t="s">
        <v>74</v>
      </c>
      <c r="D526" t="s">
        <v>74</v>
      </c>
      <c r="E526" t="s">
        <v>74</v>
      </c>
      <c r="F526" t="s">
        <v>10022</v>
      </c>
      <c r="G526" t="s">
        <v>74</v>
      </c>
      <c r="H526" t="s">
        <v>74</v>
      </c>
      <c r="I526" t="s">
        <v>10023</v>
      </c>
      <c r="J526" t="s">
        <v>10024</v>
      </c>
      <c r="K526" t="s">
        <v>74</v>
      </c>
      <c r="L526" t="s">
        <v>74</v>
      </c>
      <c r="M526" t="s">
        <v>78</v>
      </c>
      <c r="N526" t="s">
        <v>108</v>
      </c>
      <c r="O526" t="s">
        <v>74</v>
      </c>
      <c r="P526" t="s">
        <v>74</v>
      </c>
      <c r="Q526" t="s">
        <v>74</v>
      </c>
      <c r="R526" t="s">
        <v>74</v>
      </c>
      <c r="S526" t="s">
        <v>74</v>
      </c>
      <c r="T526" t="s">
        <v>10025</v>
      </c>
      <c r="U526" t="s">
        <v>10026</v>
      </c>
      <c r="V526" t="s">
        <v>10027</v>
      </c>
      <c r="W526" t="s">
        <v>10028</v>
      </c>
      <c r="X526" t="s">
        <v>10029</v>
      </c>
      <c r="Y526" t="s">
        <v>10030</v>
      </c>
      <c r="Z526" t="s">
        <v>10031</v>
      </c>
      <c r="AA526" t="s">
        <v>10032</v>
      </c>
      <c r="AB526" t="s">
        <v>10033</v>
      </c>
      <c r="AC526" t="s">
        <v>74</v>
      </c>
      <c r="AD526" t="s">
        <v>74</v>
      </c>
      <c r="AE526" t="s">
        <v>74</v>
      </c>
      <c r="AF526" t="s">
        <v>74</v>
      </c>
      <c r="AG526">
        <v>44</v>
      </c>
      <c r="AH526">
        <v>8</v>
      </c>
      <c r="AI526">
        <v>8</v>
      </c>
      <c r="AJ526">
        <v>3</v>
      </c>
      <c r="AK526">
        <v>34</v>
      </c>
      <c r="AL526" t="s">
        <v>279</v>
      </c>
      <c r="AM526" t="s">
        <v>280</v>
      </c>
      <c r="AN526" t="s">
        <v>281</v>
      </c>
      <c r="AO526" t="s">
        <v>10034</v>
      </c>
      <c r="AP526" t="s">
        <v>10035</v>
      </c>
      <c r="AQ526" t="s">
        <v>74</v>
      </c>
      <c r="AR526" t="s">
        <v>10036</v>
      </c>
      <c r="AS526" t="s">
        <v>10037</v>
      </c>
      <c r="AT526" t="s">
        <v>10038</v>
      </c>
      <c r="AU526">
        <v>2022</v>
      </c>
      <c r="AV526">
        <v>14</v>
      </c>
      <c r="AW526">
        <v>2</v>
      </c>
      <c r="AX526" t="s">
        <v>74</v>
      </c>
      <c r="AY526" t="s">
        <v>74</v>
      </c>
      <c r="AZ526" t="s">
        <v>74</v>
      </c>
      <c r="BA526" t="s">
        <v>74</v>
      </c>
      <c r="BB526">
        <v>143</v>
      </c>
      <c r="BC526">
        <v>156</v>
      </c>
      <c r="BD526" t="s">
        <v>74</v>
      </c>
      <c r="BE526" t="s">
        <v>10039</v>
      </c>
      <c r="BF526" t="str">
        <f>HYPERLINK("http://dx.doi.org/10.1080/19427867.2020.1824311","http://dx.doi.org/10.1080/19427867.2020.1824311")</f>
        <v>http://dx.doi.org/10.1080/19427867.2020.1824311</v>
      </c>
      <c r="BG526" t="s">
        <v>74</v>
      </c>
      <c r="BH526" t="s">
        <v>10040</v>
      </c>
      <c r="BI526">
        <v>14</v>
      </c>
      <c r="BJ526" t="s">
        <v>10041</v>
      </c>
      <c r="BK526" t="s">
        <v>147</v>
      </c>
      <c r="BL526" t="s">
        <v>219</v>
      </c>
      <c r="BM526" t="s">
        <v>10042</v>
      </c>
      <c r="BN526" t="s">
        <v>74</v>
      </c>
      <c r="BO526" t="s">
        <v>74</v>
      </c>
      <c r="BP526" t="s">
        <v>74</v>
      </c>
      <c r="BQ526" t="s">
        <v>74</v>
      </c>
      <c r="BR526" t="s">
        <v>102</v>
      </c>
      <c r="BS526" t="s">
        <v>10043</v>
      </c>
      <c r="BT526" t="str">
        <f>HYPERLINK("https%3A%2F%2Fwww.webofscience.com%2Fwos%2Fwoscc%2Ffull-record%2FWOS:000574404600001","View Full Record in Web of Science")</f>
        <v>View Full Record in Web of Science</v>
      </c>
    </row>
    <row r="527" spans="1:72" x14ac:dyDescent="0.2">
      <c r="A527" t="s">
        <v>72</v>
      </c>
      <c r="B527" t="s">
        <v>10044</v>
      </c>
      <c r="C527" t="s">
        <v>74</v>
      </c>
      <c r="D527" t="s">
        <v>74</v>
      </c>
      <c r="E527" t="s">
        <v>74</v>
      </c>
      <c r="F527" t="s">
        <v>10045</v>
      </c>
      <c r="G527" t="s">
        <v>74</v>
      </c>
      <c r="H527" t="s">
        <v>74</v>
      </c>
      <c r="I527" t="s">
        <v>10046</v>
      </c>
      <c r="J527" t="s">
        <v>762</v>
      </c>
      <c r="K527" t="s">
        <v>74</v>
      </c>
      <c r="L527" t="s">
        <v>74</v>
      </c>
      <c r="M527" t="s">
        <v>78</v>
      </c>
      <c r="N527" t="s">
        <v>917</v>
      </c>
      <c r="O527" t="s">
        <v>74</v>
      </c>
      <c r="P527" t="s">
        <v>74</v>
      </c>
      <c r="Q527" t="s">
        <v>74</v>
      </c>
      <c r="R527" t="s">
        <v>74</v>
      </c>
      <c r="S527" t="s">
        <v>74</v>
      </c>
      <c r="T527" t="s">
        <v>10047</v>
      </c>
      <c r="U527" t="s">
        <v>9023</v>
      </c>
      <c r="V527" t="s">
        <v>10048</v>
      </c>
      <c r="W527" t="s">
        <v>10049</v>
      </c>
      <c r="X527" t="s">
        <v>10050</v>
      </c>
      <c r="Y527" t="s">
        <v>10051</v>
      </c>
      <c r="Z527" t="s">
        <v>10052</v>
      </c>
      <c r="AA527" t="s">
        <v>10053</v>
      </c>
      <c r="AB527" t="s">
        <v>10054</v>
      </c>
      <c r="AC527" t="s">
        <v>74</v>
      </c>
      <c r="AD527" t="s">
        <v>74</v>
      </c>
      <c r="AE527" t="s">
        <v>74</v>
      </c>
      <c r="AF527" t="s">
        <v>74</v>
      </c>
      <c r="AG527">
        <v>43</v>
      </c>
      <c r="AH527">
        <v>0</v>
      </c>
      <c r="AI527">
        <v>0</v>
      </c>
      <c r="AJ527">
        <v>4</v>
      </c>
      <c r="AK527">
        <v>4</v>
      </c>
      <c r="AL527" t="s">
        <v>279</v>
      </c>
      <c r="AM527" t="s">
        <v>280</v>
      </c>
      <c r="AN527" t="s">
        <v>281</v>
      </c>
      <c r="AO527" t="s">
        <v>773</v>
      </c>
      <c r="AP527" t="s">
        <v>774</v>
      </c>
      <c r="AQ527" t="s">
        <v>74</v>
      </c>
      <c r="AR527" t="s">
        <v>775</v>
      </c>
      <c r="AS527" t="s">
        <v>776</v>
      </c>
      <c r="AT527" t="s">
        <v>10055</v>
      </c>
      <c r="AU527">
        <v>2023</v>
      </c>
      <c r="AV527" t="s">
        <v>74</v>
      </c>
      <c r="AW527" t="s">
        <v>74</v>
      </c>
      <c r="AX527" t="s">
        <v>74</v>
      </c>
      <c r="AY527" t="s">
        <v>74</v>
      </c>
      <c r="AZ527" t="s">
        <v>74</v>
      </c>
      <c r="BA527" t="s">
        <v>74</v>
      </c>
      <c r="BB527" t="s">
        <v>74</v>
      </c>
      <c r="BC527" t="s">
        <v>74</v>
      </c>
      <c r="BD527" t="s">
        <v>74</v>
      </c>
      <c r="BE527" t="s">
        <v>10056</v>
      </c>
      <c r="BF527" t="str">
        <f>HYPERLINK("http://dx.doi.org/10.1080/00207543.2023.2231098","http://dx.doi.org/10.1080/00207543.2023.2231098")</f>
        <v>http://dx.doi.org/10.1080/00207543.2023.2231098</v>
      </c>
      <c r="BG527" t="s">
        <v>74</v>
      </c>
      <c r="BH527" t="s">
        <v>1331</v>
      </c>
      <c r="BI527">
        <v>13</v>
      </c>
      <c r="BJ527" t="s">
        <v>780</v>
      </c>
      <c r="BK527" t="s">
        <v>98</v>
      </c>
      <c r="BL527" t="s">
        <v>781</v>
      </c>
      <c r="BM527" t="s">
        <v>10057</v>
      </c>
      <c r="BN527" t="s">
        <v>74</v>
      </c>
      <c r="BO527" t="s">
        <v>74</v>
      </c>
      <c r="BP527" t="s">
        <v>74</v>
      </c>
      <c r="BQ527" t="s">
        <v>74</v>
      </c>
      <c r="BR527" t="s">
        <v>102</v>
      </c>
      <c r="BS527" t="s">
        <v>10058</v>
      </c>
      <c r="BT527" t="str">
        <f>HYPERLINK("https%3A%2F%2Fwww.webofscience.com%2Fwos%2Fwoscc%2Ffull-record%2FWOS:001021407600001","View Full Record in Web of Science")</f>
        <v>View Full Record in Web of Science</v>
      </c>
    </row>
    <row r="528" spans="1:72" x14ac:dyDescent="0.2">
      <c r="A528" t="s">
        <v>72</v>
      </c>
      <c r="B528" t="s">
        <v>10059</v>
      </c>
      <c r="C528" t="s">
        <v>74</v>
      </c>
      <c r="D528" t="s">
        <v>74</v>
      </c>
      <c r="E528" t="s">
        <v>74</v>
      </c>
      <c r="F528" t="s">
        <v>10060</v>
      </c>
      <c r="G528" t="s">
        <v>74</v>
      </c>
      <c r="H528" t="s">
        <v>74</v>
      </c>
      <c r="I528" t="s">
        <v>10061</v>
      </c>
      <c r="J528" t="s">
        <v>762</v>
      </c>
      <c r="K528" t="s">
        <v>74</v>
      </c>
      <c r="L528" t="s">
        <v>74</v>
      </c>
      <c r="M528" t="s">
        <v>78</v>
      </c>
      <c r="N528" t="s">
        <v>108</v>
      </c>
      <c r="O528" t="s">
        <v>74</v>
      </c>
      <c r="P528" t="s">
        <v>74</v>
      </c>
      <c r="Q528" t="s">
        <v>74</v>
      </c>
      <c r="R528" t="s">
        <v>74</v>
      </c>
      <c r="S528" t="s">
        <v>74</v>
      </c>
      <c r="T528" t="s">
        <v>10062</v>
      </c>
      <c r="U528" t="s">
        <v>10063</v>
      </c>
      <c r="V528" t="s">
        <v>10064</v>
      </c>
      <c r="W528" t="s">
        <v>10065</v>
      </c>
      <c r="X528" t="s">
        <v>10066</v>
      </c>
      <c r="Y528" t="s">
        <v>10067</v>
      </c>
      <c r="Z528" t="s">
        <v>9850</v>
      </c>
      <c r="AA528" t="s">
        <v>9851</v>
      </c>
      <c r="AB528" t="s">
        <v>10068</v>
      </c>
      <c r="AC528" t="s">
        <v>10069</v>
      </c>
      <c r="AD528" t="s">
        <v>987</v>
      </c>
      <c r="AE528" t="s">
        <v>10070</v>
      </c>
      <c r="AF528" t="s">
        <v>74</v>
      </c>
      <c r="AG528">
        <v>46</v>
      </c>
      <c r="AH528">
        <v>5</v>
      </c>
      <c r="AI528">
        <v>5</v>
      </c>
      <c r="AJ528">
        <v>1</v>
      </c>
      <c r="AK528">
        <v>21</v>
      </c>
      <c r="AL528" t="s">
        <v>279</v>
      </c>
      <c r="AM528" t="s">
        <v>280</v>
      </c>
      <c r="AN528" t="s">
        <v>281</v>
      </c>
      <c r="AO528" t="s">
        <v>773</v>
      </c>
      <c r="AP528" t="s">
        <v>774</v>
      </c>
      <c r="AQ528" t="s">
        <v>74</v>
      </c>
      <c r="AR528" t="s">
        <v>775</v>
      </c>
      <c r="AS528" t="s">
        <v>776</v>
      </c>
      <c r="AT528" t="s">
        <v>10071</v>
      </c>
      <c r="AU528">
        <v>2021</v>
      </c>
      <c r="AV528">
        <v>59</v>
      </c>
      <c r="AW528">
        <v>18</v>
      </c>
      <c r="AX528" t="s">
        <v>74</v>
      </c>
      <c r="AY528" t="s">
        <v>74</v>
      </c>
      <c r="AZ528" t="s">
        <v>74</v>
      </c>
      <c r="BA528" t="s">
        <v>74</v>
      </c>
      <c r="BB528">
        <v>5647</v>
      </c>
      <c r="BC528">
        <v>5660</v>
      </c>
      <c r="BD528" t="s">
        <v>74</v>
      </c>
      <c r="BE528" t="s">
        <v>10072</v>
      </c>
      <c r="BF528" t="str">
        <f>HYPERLINK("http://dx.doi.org/10.1080/00207543.2020.1788736","http://dx.doi.org/10.1080/00207543.2020.1788736")</f>
        <v>http://dx.doi.org/10.1080/00207543.2020.1788736</v>
      </c>
      <c r="BG528" t="s">
        <v>74</v>
      </c>
      <c r="BH528" t="s">
        <v>1215</v>
      </c>
      <c r="BI528">
        <v>14</v>
      </c>
      <c r="BJ528" t="s">
        <v>780</v>
      </c>
      <c r="BK528" t="s">
        <v>98</v>
      </c>
      <c r="BL528" t="s">
        <v>781</v>
      </c>
      <c r="BM528" t="s">
        <v>10073</v>
      </c>
      <c r="BN528" t="s">
        <v>74</v>
      </c>
      <c r="BO528" t="s">
        <v>74</v>
      </c>
      <c r="BP528" t="s">
        <v>74</v>
      </c>
      <c r="BQ528" t="s">
        <v>74</v>
      </c>
      <c r="BR528" t="s">
        <v>102</v>
      </c>
      <c r="BS528" t="s">
        <v>10074</v>
      </c>
      <c r="BT528" t="str">
        <f>HYPERLINK("https%3A%2F%2Fwww.webofscience.com%2Fwos%2Fwoscc%2Ffull-record%2FWOS:000547847400001","View Full Record in Web of Science")</f>
        <v>View Full Record in Web of Science</v>
      </c>
    </row>
    <row r="529" spans="1:72" x14ac:dyDescent="0.2">
      <c r="A529" t="s">
        <v>72</v>
      </c>
      <c r="B529" t="s">
        <v>10075</v>
      </c>
      <c r="C529" t="s">
        <v>74</v>
      </c>
      <c r="D529" t="s">
        <v>74</v>
      </c>
      <c r="E529" t="s">
        <v>74</v>
      </c>
      <c r="F529" t="s">
        <v>10076</v>
      </c>
      <c r="G529" t="s">
        <v>74</v>
      </c>
      <c r="H529" t="s">
        <v>74</v>
      </c>
      <c r="I529" t="s">
        <v>10077</v>
      </c>
      <c r="J529" t="s">
        <v>2544</v>
      </c>
      <c r="K529" t="s">
        <v>74</v>
      </c>
      <c r="L529" t="s">
        <v>74</v>
      </c>
      <c r="M529" t="s">
        <v>78</v>
      </c>
      <c r="N529" t="s">
        <v>108</v>
      </c>
      <c r="O529" t="s">
        <v>74</v>
      </c>
      <c r="P529" t="s">
        <v>74</v>
      </c>
      <c r="Q529" t="s">
        <v>74</v>
      </c>
      <c r="R529" t="s">
        <v>74</v>
      </c>
      <c r="S529" t="s">
        <v>74</v>
      </c>
      <c r="T529" t="s">
        <v>10078</v>
      </c>
      <c r="U529" t="s">
        <v>10079</v>
      </c>
      <c r="V529" t="s">
        <v>10080</v>
      </c>
      <c r="W529" t="s">
        <v>10081</v>
      </c>
      <c r="X529" t="s">
        <v>10082</v>
      </c>
      <c r="Y529" t="s">
        <v>10083</v>
      </c>
      <c r="Z529" t="s">
        <v>10084</v>
      </c>
      <c r="AA529" t="s">
        <v>10085</v>
      </c>
      <c r="AB529" t="s">
        <v>10086</v>
      </c>
      <c r="AC529" t="s">
        <v>10087</v>
      </c>
      <c r="AD529" t="s">
        <v>10088</v>
      </c>
      <c r="AE529" t="s">
        <v>10089</v>
      </c>
      <c r="AF529" t="s">
        <v>74</v>
      </c>
      <c r="AG529">
        <v>50</v>
      </c>
      <c r="AH529">
        <v>10</v>
      </c>
      <c r="AI529">
        <v>10</v>
      </c>
      <c r="AJ529">
        <v>2</v>
      </c>
      <c r="AK529">
        <v>9</v>
      </c>
      <c r="AL529" t="s">
        <v>321</v>
      </c>
      <c r="AM529" t="s">
        <v>348</v>
      </c>
      <c r="AN529" t="s">
        <v>1454</v>
      </c>
      <c r="AO529" t="s">
        <v>2556</v>
      </c>
      <c r="AP529" t="s">
        <v>2557</v>
      </c>
      <c r="AQ529" t="s">
        <v>74</v>
      </c>
      <c r="AR529" t="s">
        <v>2558</v>
      </c>
      <c r="AS529" t="s">
        <v>2559</v>
      </c>
      <c r="AT529" t="s">
        <v>174</v>
      </c>
      <c r="AU529">
        <v>2022</v>
      </c>
      <c r="AV529">
        <v>25</v>
      </c>
      <c r="AW529">
        <v>5</v>
      </c>
      <c r="AX529" t="s">
        <v>74</v>
      </c>
      <c r="AY529" t="s">
        <v>74</v>
      </c>
      <c r="AZ529" t="s">
        <v>74</v>
      </c>
      <c r="BA529" t="s">
        <v>74</v>
      </c>
      <c r="BB529">
        <v>3617</v>
      </c>
      <c r="BC529">
        <v>3627</v>
      </c>
      <c r="BD529" t="s">
        <v>74</v>
      </c>
      <c r="BE529" t="s">
        <v>10090</v>
      </c>
      <c r="BF529" t="str">
        <f>HYPERLINK("http://dx.doi.org/10.1007/s10586-022-03594-3","http://dx.doi.org/10.1007/s10586-022-03594-3")</f>
        <v>http://dx.doi.org/10.1007/s10586-022-03594-3</v>
      </c>
      <c r="BG529" t="s">
        <v>74</v>
      </c>
      <c r="BH529" t="s">
        <v>1099</v>
      </c>
      <c r="BI529">
        <v>11</v>
      </c>
      <c r="BJ529" t="s">
        <v>2563</v>
      </c>
      <c r="BK529" t="s">
        <v>98</v>
      </c>
      <c r="BL529" t="s">
        <v>99</v>
      </c>
      <c r="BM529" t="s">
        <v>10091</v>
      </c>
      <c r="BN529" t="s">
        <v>74</v>
      </c>
      <c r="BO529" t="s">
        <v>74</v>
      </c>
      <c r="BP529" t="s">
        <v>74</v>
      </c>
      <c r="BQ529" t="s">
        <v>74</v>
      </c>
      <c r="BR529" t="s">
        <v>102</v>
      </c>
      <c r="BS529" t="s">
        <v>10092</v>
      </c>
      <c r="BT529" t="str">
        <f>HYPERLINK("https%3A%2F%2Fwww.webofscience.com%2Fwos%2Fwoscc%2Ffull-record%2FWOS:000784840200001","View Full Record in Web of Science")</f>
        <v>View Full Record in Web of Science</v>
      </c>
    </row>
    <row r="530" spans="1:72" x14ac:dyDescent="0.2">
      <c r="A530" t="s">
        <v>72</v>
      </c>
      <c r="B530" t="s">
        <v>10093</v>
      </c>
      <c r="C530" t="s">
        <v>74</v>
      </c>
      <c r="D530" t="s">
        <v>74</v>
      </c>
      <c r="E530" t="s">
        <v>74</v>
      </c>
      <c r="F530" t="s">
        <v>10094</v>
      </c>
      <c r="G530" t="s">
        <v>74</v>
      </c>
      <c r="H530" t="s">
        <v>74</v>
      </c>
      <c r="I530" t="s">
        <v>10095</v>
      </c>
      <c r="J530" t="s">
        <v>311</v>
      </c>
      <c r="K530" t="s">
        <v>74</v>
      </c>
      <c r="L530" t="s">
        <v>74</v>
      </c>
      <c r="M530" t="s">
        <v>78</v>
      </c>
      <c r="N530" t="s">
        <v>763</v>
      </c>
      <c r="O530" t="s">
        <v>74</v>
      </c>
      <c r="P530" t="s">
        <v>74</v>
      </c>
      <c r="Q530" t="s">
        <v>74</v>
      </c>
      <c r="R530" t="s">
        <v>74</v>
      </c>
      <c r="S530" t="s">
        <v>74</v>
      </c>
      <c r="T530" t="s">
        <v>10096</v>
      </c>
      <c r="U530" t="s">
        <v>10097</v>
      </c>
      <c r="V530" t="s">
        <v>10098</v>
      </c>
      <c r="W530" t="s">
        <v>10099</v>
      </c>
      <c r="X530" t="s">
        <v>10100</v>
      </c>
      <c r="Y530" t="s">
        <v>10101</v>
      </c>
      <c r="Z530" t="s">
        <v>10102</v>
      </c>
      <c r="AA530" t="s">
        <v>74</v>
      </c>
      <c r="AB530" t="s">
        <v>10103</v>
      </c>
      <c r="AC530" t="s">
        <v>74</v>
      </c>
      <c r="AD530" t="s">
        <v>74</v>
      </c>
      <c r="AE530" t="s">
        <v>74</v>
      </c>
      <c r="AF530" t="s">
        <v>74</v>
      </c>
      <c r="AG530">
        <v>383</v>
      </c>
      <c r="AH530">
        <v>4</v>
      </c>
      <c r="AI530">
        <v>4</v>
      </c>
      <c r="AJ530">
        <v>28</v>
      </c>
      <c r="AK530">
        <v>28</v>
      </c>
      <c r="AL530" t="s">
        <v>321</v>
      </c>
      <c r="AM530" t="s">
        <v>322</v>
      </c>
      <c r="AN530" t="s">
        <v>323</v>
      </c>
      <c r="AO530" t="s">
        <v>324</v>
      </c>
      <c r="AP530" t="s">
        <v>325</v>
      </c>
      <c r="AQ530" t="s">
        <v>74</v>
      </c>
      <c r="AR530" t="s">
        <v>326</v>
      </c>
      <c r="AS530" t="s">
        <v>327</v>
      </c>
      <c r="AT530" t="s">
        <v>2128</v>
      </c>
      <c r="AU530">
        <v>2023</v>
      </c>
      <c r="AV530" t="s">
        <v>74</v>
      </c>
      <c r="AW530" t="s">
        <v>74</v>
      </c>
      <c r="AX530" t="s">
        <v>74</v>
      </c>
      <c r="AY530" t="s">
        <v>74</v>
      </c>
      <c r="AZ530" t="s">
        <v>74</v>
      </c>
      <c r="BA530" t="s">
        <v>74</v>
      </c>
      <c r="BB530" t="s">
        <v>74</v>
      </c>
      <c r="BC530" t="s">
        <v>74</v>
      </c>
      <c r="BD530" t="s">
        <v>74</v>
      </c>
      <c r="BE530" t="s">
        <v>10104</v>
      </c>
      <c r="BF530" t="str">
        <f>HYPERLINK("http://dx.doi.org/10.1007/s10479-023-05390-7","http://dx.doi.org/10.1007/s10479-023-05390-7")</f>
        <v>http://dx.doi.org/10.1007/s10479-023-05390-7</v>
      </c>
      <c r="BG530" t="s">
        <v>74</v>
      </c>
      <c r="BH530" t="s">
        <v>1331</v>
      </c>
      <c r="BI530">
        <v>58</v>
      </c>
      <c r="BJ530" t="s">
        <v>330</v>
      </c>
      <c r="BK530" t="s">
        <v>98</v>
      </c>
      <c r="BL530" t="s">
        <v>330</v>
      </c>
      <c r="BM530" t="s">
        <v>10105</v>
      </c>
      <c r="BN530" t="s">
        <v>74</v>
      </c>
      <c r="BO530" t="s">
        <v>702</v>
      </c>
      <c r="BP530" t="s">
        <v>74</v>
      </c>
      <c r="BQ530" t="s">
        <v>74</v>
      </c>
      <c r="BR530" t="s">
        <v>102</v>
      </c>
      <c r="BS530" t="s">
        <v>10106</v>
      </c>
      <c r="BT530" t="str">
        <f>HYPERLINK("https%3A%2F%2Fwww.webofscience.com%2Fwos%2Fwoscc%2Ffull-record%2FWOS:001026372400005","View Full Record in Web of Science")</f>
        <v>View Full Record in Web of Science</v>
      </c>
    </row>
    <row r="531" spans="1:72" x14ac:dyDescent="0.2">
      <c r="A531" t="s">
        <v>72</v>
      </c>
      <c r="B531" t="s">
        <v>10107</v>
      </c>
      <c r="C531" t="s">
        <v>74</v>
      </c>
      <c r="D531" t="s">
        <v>74</v>
      </c>
      <c r="E531" t="s">
        <v>74</v>
      </c>
      <c r="F531" t="s">
        <v>10108</v>
      </c>
      <c r="G531" t="s">
        <v>74</v>
      </c>
      <c r="H531" t="s">
        <v>74</v>
      </c>
      <c r="I531" t="s">
        <v>10109</v>
      </c>
      <c r="J531" t="s">
        <v>4172</v>
      </c>
      <c r="K531" t="s">
        <v>74</v>
      </c>
      <c r="L531" t="s">
        <v>74</v>
      </c>
      <c r="M531" t="s">
        <v>78</v>
      </c>
      <c r="N531" t="s">
        <v>108</v>
      </c>
      <c r="O531" t="s">
        <v>74</v>
      </c>
      <c r="P531" t="s">
        <v>74</v>
      </c>
      <c r="Q531" t="s">
        <v>74</v>
      </c>
      <c r="R531" t="s">
        <v>74</v>
      </c>
      <c r="S531" t="s">
        <v>74</v>
      </c>
      <c r="T531" t="s">
        <v>10110</v>
      </c>
      <c r="U531" t="s">
        <v>10111</v>
      </c>
      <c r="V531" t="s">
        <v>10112</v>
      </c>
      <c r="W531" t="s">
        <v>10113</v>
      </c>
      <c r="X531" t="s">
        <v>10114</v>
      </c>
      <c r="Y531" t="s">
        <v>10115</v>
      </c>
      <c r="Z531" t="s">
        <v>10116</v>
      </c>
      <c r="AA531" t="s">
        <v>10117</v>
      </c>
      <c r="AB531" t="s">
        <v>10118</v>
      </c>
      <c r="AC531" t="s">
        <v>10119</v>
      </c>
      <c r="AD531" t="s">
        <v>10120</v>
      </c>
      <c r="AE531" t="s">
        <v>10121</v>
      </c>
      <c r="AF531" t="s">
        <v>74</v>
      </c>
      <c r="AG531">
        <v>70</v>
      </c>
      <c r="AH531">
        <v>13</v>
      </c>
      <c r="AI531">
        <v>13</v>
      </c>
      <c r="AJ531">
        <v>0</v>
      </c>
      <c r="AK531">
        <v>33</v>
      </c>
      <c r="AL531" t="s">
        <v>543</v>
      </c>
      <c r="AM531" t="s">
        <v>260</v>
      </c>
      <c r="AN531" t="s">
        <v>544</v>
      </c>
      <c r="AO531" t="s">
        <v>4180</v>
      </c>
      <c r="AP531" t="s">
        <v>4181</v>
      </c>
      <c r="AQ531" t="s">
        <v>74</v>
      </c>
      <c r="AR531" t="s">
        <v>4182</v>
      </c>
      <c r="AS531" t="s">
        <v>4183</v>
      </c>
      <c r="AT531" t="s">
        <v>174</v>
      </c>
      <c r="AU531">
        <v>2018</v>
      </c>
      <c r="AV531">
        <v>98</v>
      </c>
      <c r="AW531" t="s">
        <v>74</v>
      </c>
      <c r="AX531" t="s">
        <v>74</v>
      </c>
      <c r="AY531" t="s">
        <v>74</v>
      </c>
      <c r="AZ531" t="s">
        <v>74</v>
      </c>
      <c r="BA531" t="s">
        <v>74</v>
      </c>
      <c r="BB531">
        <v>355</v>
      </c>
      <c r="BC531">
        <v>366</v>
      </c>
      <c r="BD531" t="s">
        <v>74</v>
      </c>
      <c r="BE531" t="s">
        <v>10122</v>
      </c>
      <c r="BF531" t="str">
        <f>HYPERLINK("http://dx.doi.org/10.1016/j.cor.2017.06.010","http://dx.doi.org/10.1016/j.cor.2017.06.010")</f>
        <v>http://dx.doi.org/10.1016/j.cor.2017.06.010</v>
      </c>
      <c r="BG531" t="s">
        <v>74</v>
      </c>
      <c r="BH531" t="s">
        <v>74</v>
      </c>
      <c r="BI531">
        <v>12</v>
      </c>
      <c r="BJ531" t="s">
        <v>4185</v>
      </c>
      <c r="BK531" t="s">
        <v>147</v>
      </c>
      <c r="BL531" t="s">
        <v>2060</v>
      </c>
      <c r="BM531" t="s">
        <v>7261</v>
      </c>
      <c r="BN531" t="s">
        <v>74</v>
      </c>
      <c r="BO531" t="s">
        <v>1019</v>
      </c>
      <c r="BP531" t="s">
        <v>74</v>
      </c>
      <c r="BQ531" t="s">
        <v>74</v>
      </c>
      <c r="BR531" t="s">
        <v>102</v>
      </c>
      <c r="BS531" t="s">
        <v>10123</v>
      </c>
      <c r="BT531" t="str">
        <f>HYPERLINK("https%3A%2F%2Fwww.webofscience.com%2Fwos%2Fwoscc%2Ffull-record%2FWOS:000440526800028","View Full Record in Web of Science")</f>
        <v>View Full Record in Web of Science</v>
      </c>
    </row>
    <row r="532" spans="1:72" x14ac:dyDescent="0.2">
      <c r="A532" t="s">
        <v>72</v>
      </c>
      <c r="B532" t="s">
        <v>10124</v>
      </c>
      <c r="C532" t="s">
        <v>74</v>
      </c>
      <c r="D532" t="s">
        <v>74</v>
      </c>
      <c r="E532" t="s">
        <v>74</v>
      </c>
      <c r="F532" t="s">
        <v>10125</v>
      </c>
      <c r="G532" t="s">
        <v>74</v>
      </c>
      <c r="H532" t="s">
        <v>74</v>
      </c>
      <c r="I532" t="s">
        <v>10126</v>
      </c>
      <c r="J532" t="s">
        <v>10127</v>
      </c>
      <c r="K532" t="s">
        <v>74</v>
      </c>
      <c r="L532" t="s">
        <v>74</v>
      </c>
      <c r="M532" t="s">
        <v>78</v>
      </c>
      <c r="N532" t="s">
        <v>108</v>
      </c>
      <c r="O532" t="s">
        <v>74</v>
      </c>
      <c r="P532" t="s">
        <v>74</v>
      </c>
      <c r="Q532" t="s">
        <v>74</v>
      </c>
      <c r="R532" t="s">
        <v>74</v>
      </c>
      <c r="S532" t="s">
        <v>74</v>
      </c>
      <c r="T532" t="s">
        <v>10128</v>
      </c>
      <c r="U532" t="s">
        <v>10129</v>
      </c>
      <c r="V532" t="s">
        <v>10130</v>
      </c>
      <c r="W532" t="s">
        <v>10131</v>
      </c>
      <c r="X532" t="s">
        <v>10132</v>
      </c>
      <c r="Y532" t="s">
        <v>10133</v>
      </c>
      <c r="Z532" t="s">
        <v>10134</v>
      </c>
      <c r="AA532" t="s">
        <v>10135</v>
      </c>
      <c r="AB532" t="s">
        <v>10136</v>
      </c>
      <c r="AC532" t="s">
        <v>10137</v>
      </c>
      <c r="AD532" t="s">
        <v>3695</v>
      </c>
      <c r="AE532" t="s">
        <v>74</v>
      </c>
      <c r="AF532" t="s">
        <v>74</v>
      </c>
      <c r="AG532">
        <v>44</v>
      </c>
      <c r="AH532">
        <v>8</v>
      </c>
      <c r="AI532">
        <v>8</v>
      </c>
      <c r="AJ532">
        <v>1</v>
      </c>
      <c r="AK532">
        <v>32</v>
      </c>
      <c r="AL532" t="s">
        <v>116</v>
      </c>
      <c r="AM532" t="s">
        <v>117</v>
      </c>
      <c r="AN532" t="s">
        <v>118</v>
      </c>
      <c r="AO532" t="s">
        <v>74</v>
      </c>
      <c r="AP532" t="s">
        <v>10138</v>
      </c>
      <c r="AQ532" t="s">
        <v>74</v>
      </c>
      <c r="AR532" t="s">
        <v>10139</v>
      </c>
      <c r="AS532" t="s">
        <v>10140</v>
      </c>
      <c r="AT532" t="s">
        <v>239</v>
      </c>
      <c r="AU532">
        <v>2017</v>
      </c>
      <c r="AV532">
        <v>19</v>
      </c>
      <c r="AW532">
        <v>8</v>
      </c>
      <c r="AX532" t="s">
        <v>74</v>
      </c>
      <c r="AY532" t="s">
        <v>74</v>
      </c>
      <c r="AZ532" t="s">
        <v>74</v>
      </c>
      <c r="BA532" t="s">
        <v>74</v>
      </c>
      <c r="BB532" t="s">
        <v>74</v>
      </c>
      <c r="BC532" t="s">
        <v>74</v>
      </c>
      <c r="BD532">
        <v>382</v>
      </c>
      <c r="BE532" t="s">
        <v>10141</v>
      </c>
      <c r="BF532" t="str">
        <f>HYPERLINK("http://dx.doi.org/10.3390/e19080382","http://dx.doi.org/10.3390/e19080382")</f>
        <v>http://dx.doi.org/10.3390/e19080382</v>
      </c>
      <c r="BG532" t="s">
        <v>74</v>
      </c>
      <c r="BH532" t="s">
        <v>74</v>
      </c>
      <c r="BI532">
        <v>23</v>
      </c>
      <c r="BJ532" t="s">
        <v>6758</v>
      </c>
      <c r="BK532" t="s">
        <v>147</v>
      </c>
      <c r="BL532" t="s">
        <v>6759</v>
      </c>
      <c r="BM532" t="s">
        <v>10142</v>
      </c>
      <c r="BN532" t="s">
        <v>74</v>
      </c>
      <c r="BO532" t="s">
        <v>306</v>
      </c>
      <c r="BP532" t="s">
        <v>74</v>
      </c>
      <c r="BQ532" t="s">
        <v>74</v>
      </c>
      <c r="BR532" t="s">
        <v>102</v>
      </c>
      <c r="BS532" t="s">
        <v>10143</v>
      </c>
      <c r="BT532" t="str">
        <f>HYPERLINK("https%3A%2F%2Fwww.webofscience.com%2Fwos%2Fwoscc%2Ffull-record%2FWOS:000408739700007","View Full Record in Web of Science")</f>
        <v>View Full Record in Web of Science</v>
      </c>
    </row>
    <row r="533" spans="1:72" x14ac:dyDescent="0.2">
      <c r="A533" t="s">
        <v>72</v>
      </c>
      <c r="B533" t="s">
        <v>10144</v>
      </c>
      <c r="C533" t="s">
        <v>74</v>
      </c>
      <c r="D533" t="s">
        <v>74</v>
      </c>
      <c r="E533" t="s">
        <v>74</v>
      </c>
      <c r="F533" t="s">
        <v>10145</v>
      </c>
      <c r="G533" t="s">
        <v>74</v>
      </c>
      <c r="H533" t="s">
        <v>74</v>
      </c>
      <c r="I533" t="s">
        <v>10146</v>
      </c>
      <c r="J533" t="s">
        <v>10147</v>
      </c>
      <c r="K533" t="s">
        <v>74</v>
      </c>
      <c r="L533" t="s">
        <v>74</v>
      </c>
      <c r="M533" t="s">
        <v>78</v>
      </c>
      <c r="N533" t="s">
        <v>108</v>
      </c>
      <c r="O533" t="s">
        <v>74</v>
      </c>
      <c r="P533" t="s">
        <v>74</v>
      </c>
      <c r="Q533" t="s">
        <v>74</v>
      </c>
      <c r="R533" t="s">
        <v>74</v>
      </c>
      <c r="S533" t="s">
        <v>74</v>
      </c>
      <c r="T533" t="s">
        <v>10148</v>
      </c>
      <c r="U533" t="s">
        <v>74</v>
      </c>
      <c r="V533" t="s">
        <v>10149</v>
      </c>
      <c r="W533" t="s">
        <v>10150</v>
      </c>
      <c r="X533" t="s">
        <v>10151</v>
      </c>
      <c r="Y533" t="s">
        <v>10152</v>
      </c>
      <c r="Z533" t="s">
        <v>10153</v>
      </c>
      <c r="AA533" t="s">
        <v>10154</v>
      </c>
      <c r="AB533" t="s">
        <v>10155</v>
      </c>
      <c r="AC533" t="s">
        <v>10156</v>
      </c>
      <c r="AD533" t="s">
        <v>10156</v>
      </c>
      <c r="AE533" t="s">
        <v>10157</v>
      </c>
      <c r="AF533" t="s">
        <v>74</v>
      </c>
      <c r="AG533">
        <v>41</v>
      </c>
      <c r="AH533">
        <v>3</v>
      </c>
      <c r="AI533">
        <v>3</v>
      </c>
      <c r="AJ533">
        <v>0</v>
      </c>
      <c r="AK533">
        <v>1</v>
      </c>
      <c r="AL533" t="s">
        <v>6000</v>
      </c>
      <c r="AM533" t="s">
        <v>348</v>
      </c>
      <c r="AN533" t="s">
        <v>10158</v>
      </c>
      <c r="AO533" t="s">
        <v>10159</v>
      </c>
      <c r="AP533" t="s">
        <v>10160</v>
      </c>
      <c r="AQ533" t="s">
        <v>74</v>
      </c>
      <c r="AR533" t="s">
        <v>10161</v>
      </c>
      <c r="AS533" t="s">
        <v>10162</v>
      </c>
      <c r="AT533" t="s">
        <v>174</v>
      </c>
      <c r="AU533">
        <v>2019</v>
      </c>
      <c r="AV533">
        <v>24</v>
      </c>
      <c r="AW533">
        <v>5</v>
      </c>
      <c r="AX533" t="s">
        <v>74</v>
      </c>
      <c r="AY533" t="s">
        <v>74</v>
      </c>
      <c r="AZ533" t="s">
        <v>74</v>
      </c>
      <c r="BA533" t="s">
        <v>74</v>
      </c>
      <c r="BB533" t="s">
        <v>74</v>
      </c>
      <c r="BC533" t="s">
        <v>74</v>
      </c>
      <c r="BD533">
        <v>50</v>
      </c>
      <c r="BE533" t="s">
        <v>10163</v>
      </c>
      <c r="BF533" t="str">
        <f>HYPERLINK("http://dx.doi.org/10.1145/3329081","http://dx.doi.org/10.1145/3329081")</f>
        <v>http://dx.doi.org/10.1145/3329081</v>
      </c>
      <c r="BG533" t="s">
        <v>74</v>
      </c>
      <c r="BH533" t="s">
        <v>74</v>
      </c>
      <c r="BI533">
        <v>19</v>
      </c>
      <c r="BJ533" t="s">
        <v>10164</v>
      </c>
      <c r="BK533" t="s">
        <v>98</v>
      </c>
      <c r="BL533" t="s">
        <v>99</v>
      </c>
      <c r="BM533" t="s">
        <v>10165</v>
      </c>
      <c r="BN533" t="s">
        <v>74</v>
      </c>
      <c r="BO533" t="s">
        <v>74</v>
      </c>
      <c r="BP533" t="s">
        <v>74</v>
      </c>
      <c r="BQ533" t="s">
        <v>74</v>
      </c>
      <c r="BR533" t="s">
        <v>102</v>
      </c>
      <c r="BS533" t="s">
        <v>10166</v>
      </c>
      <c r="BT533" t="str">
        <f>HYPERLINK("https%3A%2F%2Fwww.webofscience.com%2Fwos%2Fwoscc%2Ffull-record%2FWOS:000496741600003","View Full Record in Web of Science")</f>
        <v>View Full Record in Web of Science</v>
      </c>
    </row>
    <row r="534" spans="1:72" x14ac:dyDescent="0.2">
      <c r="A534" t="s">
        <v>72</v>
      </c>
      <c r="B534" t="s">
        <v>10167</v>
      </c>
      <c r="C534" t="s">
        <v>74</v>
      </c>
      <c r="D534" t="s">
        <v>74</v>
      </c>
      <c r="E534" t="s">
        <v>74</v>
      </c>
      <c r="F534" t="s">
        <v>10168</v>
      </c>
      <c r="G534" t="s">
        <v>74</v>
      </c>
      <c r="H534" t="s">
        <v>74</v>
      </c>
      <c r="I534" t="s">
        <v>10169</v>
      </c>
      <c r="J534" t="s">
        <v>599</v>
      </c>
      <c r="K534" t="s">
        <v>74</v>
      </c>
      <c r="L534" t="s">
        <v>74</v>
      </c>
      <c r="M534" t="s">
        <v>78</v>
      </c>
      <c r="N534" t="s">
        <v>108</v>
      </c>
      <c r="O534" t="s">
        <v>74</v>
      </c>
      <c r="P534" t="s">
        <v>74</v>
      </c>
      <c r="Q534" t="s">
        <v>74</v>
      </c>
      <c r="R534" t="s">
        <v>74</v>
      </c>
      <c r="S534" t="s">
        <v>74</v>
      </c>
      <c r="T534" t="s">
        <v>74</v>
      </c>
      <c r="U534" t="s">
        <v>10170</v>
      </c>
      <c r="V534" t="s">
        <v>10171</v>
      </c>
      <c r="W534" t="s">
        <v>10172</v>
      </c>
      <c r="X534" t="s">
        <v>10173</v>
      </c>
      <c r="Y534" t="s">
        <v>10174</v>
      </c>
      <c r="Z534" t="s">
        <v>10175</v>
      </c>
      <c r="AA534" t="s">
        <v>10176</v>
      </c>
      <c r="AB534" t="s">
        <v>10177</v>
      </c>
      <c r="AC534" t="s">
        <v>74</v>
      </c>
      <c r="AD534" t="s">
        <v>74</v>
      </c>
      <c r="AE534" t="s">
        <v>74</v>
      </c>
      <c r="AF534" t="s">
        <v>74</v>
      </c>
      <c r="AG534">
        <v>70</v>
      </c>
      <c r="AH534">
        <v>0</v>
      </c>
      <c r="AI534">
        <v>0</v>
      </c>
      <c r="AJ534">
        <v>0</v>
      </c>
      <c r="AK534">
        <v>0</v>
      </c>
      <c r="AL534" t="s">
        <v>611</v>
      </c>
      <c r="AM534" t="s">
        <v>612</v>
      </c>
      <c r="AN534" t="s">
        <v>613</v>
      </c>
      <c r="AO534" t="s">
        <v>74</v>
      </c>
      <c r="AP534" t="s">
        <v>614</v>
      </c>
      <c r="AQ534" t="s">
        <v>74</v>
      </c>
      <c r="AR534" t="s">
        <v>599</v>
      </c>
      <c r="AS534" t="s">
        <v>615</v>
      </c>
      <c r="AT534" t="s">
        <v>121</v>
      </c>
      <c r="AU534">
        <v>2023</v>
      </c>
      <c r="AV534">
        <v>9</v>
      </c>
      <c r="AW534">
        <v>7</v>
      </c>
      <c r="AX534" t="s">
        <v>74</v>
      </c>
      <c r="AY534" t="s">
        <v>74</v>
      </c>
      <c r="AZ534" t="s">
        <v>74</v>
      </c>
      <c r="BA534" t="s">
        <v>74</v>
      </c>
      <c r="BB534" t="s">
        <v>74</v>
      </c>
      <c r="BC534" t="s">
        <v>74</v>
      </c>
      <c r="BD534" t="s">
        <v>10178</v>
      </c>
      <c r="BE534" t="s">
        <v>10179</v>
      </c>
      <c r="BF534" t="str">
        <f>HYPERLINK("http://dx.doi.org/10.1016/j.heliyon.2023.e17489","http://dx.doi.org/10.1016/j.heliyon.2023.e17489")</f>
        <v>http://dx.doi.org/10.1016/j.heliyon.2023.e17489</v>
      </c>
      <c r="BG534" t="s">
        <v>74</v>
      </c>
      <c r="BH534" t="s">
        <v>74</v>
      </c>
      <c r="BI534">
        <v>16</v>
      </c>
      <c r="BJ534" t="s">
        <v>620</v>
      </c>
      <c r="BK534" t="s">
        <v>98</v>
      </c>
      <c r="BL534" t="s">
        <v>621</v>
      </c>
      <c r="BM534" t="s">
        <v>10180</v>
      </c>
      <c r="BN534">
        <v>37449119</v>
      </c>
      <c r="BO534" t="s">
        <v>101</v>
      </c>
      <c r="BP534" t="s">
        <v>74</v>
      </c>
      <c r="BQ534" t="s">
        <v>74</v>
      </c>
      <c r="BR534" t="s">
        <v>102</v>
      </c>
      <c r="BS534" t="s">
        <v>10181</v>
      </c>
      <c r="BT534" t="str">
        <f>HYPERLINK("https%3A%2F%2Fwww.webofscience.com%2Fwos%2Fwoscc%2Ffull-record%2FWOS:001055780000001","View Full Record in Web of Science")</f>
        <v>View Full Record in Web of Science</v>
      </c>
    </row>
    <row r="535" spans="1:72" x14ac:dyDescent="0.2">
      <c r="A535" t="s">
        <v>72</v>
      </c>
      <c r="B535" t="s">
        <v>10182</v>
      </c>
      <c r="C535" t="s">
        <v>74</v>
      </c>
      <c r="D535" t="s">
        <v>74</v>
      </c>
      <c r="E535" t="s">
        <v>74</v>
      </c>
      <c r="F535" t="s">
        <v>10183</v>
      </c>
      <c r="G535" t="s">
        <v>74</v>
      </c>
      <c r="H535" t="s">
        <v>74</v>
      </c>
      <c r="I535" t="s">
        <v>10184</v>
      </c>
      <c r="J535" t="s">
        <v>531</v>
      </c>
      <c r="K535" t="s">
        <v>74</v>
      </c>
      <c r="L535" t="s">
        <v>74</v>
      </c>
      <c r="M535" t="s">
        <v>78</v>
      </c>
      <c r="N535" t="s">
        <v>108</v>
      </c>
      <c r="O535" t="s">
        <v>74</v>
      </c>
      <c r="P535" t="s">
        <v>74</v>
      </c>
      <c r="Q535" t="s">
        <v>74</v>
      </c>
      <c r="R535" t="s">
        <v>74</v>
      </c>
      <c r="S535" t="s">
        <v>74</v>
      </c>
      <c r="T535" t="s">
        <v>10185</v>
      </c>
      <c r="U535" t="s">
        <v>10186</v>
      </c>
      <c r="V535" t="s">
        <v>10187</v>
      </c>
      <c r="W535" t="s">
        <v>10188</v>
      </c>
      <c r="X535" t="s">
        <v>10189</v>
      </c>
      <c r="Y535" t="s">
        <v>10190</v>
      </c>
      <c r="Z535" t="s">
        <v>10191</v>
      </c>
      <c r="AA535" t="s">
        <v>74</v>
      </c>
      <c r="AB535" t="s">
        <v>10192</v>
      </c>
      <c r="AC535" t="s">
        <v>10193</v>
      </c>
      <c r="AD535" t="s">
        <v>10194</v>
      </c>
      <c r="AE535" t="s">
        <v>10195</v>
      </c>
      <c r="AF535" t="s">
        <v>74</v>
      </c>
      <c r="AG535">
        <v>36</v>
      </c>
      <c r="AH535">
        <v>17</v>
      </c>
      <c r="AI535">
        <v>18</v>
      </c>
      <c r="AJ535">
        <v>0</v>
      </c>
      <c r="AK535">
        <v>17</v>
      </c>
      <c r="AL535" t="s">
        <v>543</v>
      </c>
      <c r="AM535" t="s">
        <v>260</v>
      </c>
      <c r="AN535" t="s">
        <v>544</v>
      </c>
      <c r="AO535" t="s">
        <v>545</v>
      </c>
      <c r="AP535" t="s">
        <v>546</v>
      </c>
      <c r="AQ535" t="s">
        <v>74</v>
      </c>
      <c r="AR535" t="s">
        <v>547</v>
      </c>
      <c r="AS535" t="s">
        <v>548</v>
      </c>
      <c r="AT535" t="s">
        <v>239</v>
      </c>
      <c r="AU535">
        <v>2016</v>
      </c>
      <c r="AV535">
        <v>98</v>
      </c>
      <c r="AW535" t="s">
        <v>74</v>
      </c>
      <c r="AX535" t="s">
        <v>74</v>
      </c>
      <c r="AY535" t="s">
        <v>74</v>
      </c>
      <c r="AZ535" t="s">
        <v>74</v>
      </c>
      <c r="BA535" t="s">
        <v>74</v>
      </c>
      <c r="BB535">
        <v>446</v>
      </c>
      <c r="BC535">
        <v>461</v>
      </c>
      <c r="BD535" t="s">
        <v>74</v>
      </c>
      <c r="BE535" t="s">
        <v>10196</v>
      </c>
      <c r="BF535" t="str">
        <f>HYPERLINK("http://dx.doi.org/10.1016/j.cie.2016.06.022","http://dx.doi.org/10.1016/j.cie.2016.06.022")</f>
        <v>http://dx.doi.org/10.1016/j.cie.2016.06.022</v>
      </c>
      <c r="BG535" t="s">
        <v>74</v>
      </c>
      <c r="BH535" t="s">
        <v>74</v>
      </c>
      <c r="BI535">
        <v>16</v>
      </c>
      <c r="BJ535" t="s">
        <v>550</v>
      </c>
      <c r="BK535" t="s">
        <v>98</v>
      </c>
      <c r="BL535" t="s">
        <v>269</v>
      </c>
      <c r="BM535" t="s">
        <v>10197</v>
      </c>
      <c r="BN535" t="s">
        <v>74</v>
      </c>
      <c r="BO535" t="s">
        <v>1833</v>
      </c>
      <c r="BP535" t="s">
        <v>74</v>
      </c>
      <c r="BQ535" t="s">
        <v>74</v>
      </c>
      <c r="BR535" t="s">
        <v>102</v>
      </c>
      <c r="BS535" t="s">
        <v>10198</v>
      </c>
      <c r="BT535" t="str">
        <f>HYPERLINK("https%3A%2F%2Fwww.webofscience.com%2Fwos%2Fwoscc%2Ffull-record%2FWOS:000381949800038","View Full Record in Web of Science")</f>
        <v>View Full Record in Web of Science</v>
      </c>
    </row>
    <row r="536" spans="1:72" x14ac:dyDescent="0.2">
      <c r="A536" t="s">
        <v>72</v>
      </c>
      <c r="B536" t="s">
        <v>10199</v>
      </c>
      <c r="C536" t="s">
        <v>74</v>
      </c>
      <c r="D536" t="s">
        <v>74</v>
      </c>
      <c r="E536" t="s">
        <v>74</v>
      </c>
      <c r="F536" t="s">
        <v>10200</v>
      </c>
      <c r="G536" t="s">
        <v>74</v>
      </c>
      <c r="H536" t="s">
        <v>74</v>
      </c>
      <c r="I536" t="s">
        <v>10201</v>
      </c>
      <c r="J536" t="s">
        <v>7039</v>
      </c>
      <c r="K536" t="s">
        <v>74</v>
      </c>
      <c r="L536" t="s">
        <v>74</v>
      </c>
      <c r="M536" t="s">
        <v>78</v>
      </c>
      <c r="N536" t="s">
        <v>108</v>
      </c>
      <c r="O536" t="s">
        <v>74</v>
      </c>
      <c r="P536" t="s">
        <v>74</v>
      </c>
      <c r="Q536" t="s">
        <v>74</v>
      </c>
      <c r="R536" t="s">
        <v>74</v>
      </c>
      <c r="S536" t="s">
        <v>74</v>
      </c>
      <c r="T536" t="s">
        <v>10202</v>
      </c>
      <c r="U536" t="s">
        <v>1938</v>
      </c>
      <c r="V536" t="s">
        <v>10203</v>
      </c>
      <c r="W536" t="s">
        <v>10204</v>
      </c>
      <c r="X536" t="s">
        <v>10205</v>
      </c>
      <c r="Y536" t="s">
        <v>10206</v>
      </c>
      <c r="Z536" t="s">
        <v>10207</v>
      </c>
      <c r="AA536" t="s">
        <v>10208</v>
      </c>
      <c r="AB536" t="s">
        <v>10209</v>
      </c>
      <c r="AC536" t="s">
        <v>10210</v>
      </c>
      <c r="AD536" t="s">
        <v>10211</v>
      </c>
      <c r="AE536" t="s">
        <v>10212</v>
      </c>
      <c r="AF536" t="s">
        <v>74</v>
      </c>
      <c r="AG536">
        <v>29</v>
      </c>
      <c r="AH536">
        <v>4</v>
      </c>
      <c r="AI536">
        <v>4</v>
      </c>
      <c r="AJ536">
        <v>8</v>
      </c>
      <c r="AK536">
        <v>8</v>
      </c>
      <c r="AL536" t="s">
        <v>167</v>
      </c>
      <c r="AM536" t="s">
        <v>168</v>
      </c>
      <c r="AN536" t="s">
        <v>169</v>
      </c>
      <c r="AO536" t="s">
        <v>7051</v>
      </c>
      <c r="AP536" t="s">
        <v>7052</v>
      </c>
      <c r="AQ536" t="s">
        <v>74</v>
      </c>
      <c r="AR536" t="s">
        <v>7053</v>
      </c>
      <c r="AS536" t="s">
        <v>7054</v>
      </c>
      <c r="AT536" t="s">
        <v>800</v>
      </c>
      <c r="AU536">
        <v>2023</v>
      </c>
      <c r="AV536">
        <v>19</v>
      </c>
      <c r="AW536">
        <v>4</v>
      </c>
      <c r="AX536" t="s">
        <v>74</v>
      </c>
      <c r="AY536" t="s">
        <v>74</v>
      </c>
      <c r="AZ536" t="s">
        <v>74</v>
      </c>
      <c r="BA536" t="s">
        <v>74</v>
      </c>
      <c r="BB536">
        <v>5485</v>
      </c>
      <c r="BC536">
        <v>5494</v>
      </c>
      <c r="BD536" t="s">
        <v>74</v>
      </c>
      <c r="BE536" t="s">
        <v>10213</v>
      </c>
      <c r="BF536" t="str">
        <f>HYPERLINK("http://dx.doi.org/10.1109/TII.2022.3190380","http://dx.doi.org/10.1109/TII.2022.3190380")</f>
        <v>http://dx.doi.org/10.1109/TII.2022.3190380</v>
      </c>
      <c r="BG536" t="s">
        <v>74</v>
      </c>
      <c r="BH536" t="s">
        <v>74</v>
      </c>
      <c r="BI536">
        <v>10</v>
      </c>
      <c r="BJ536" t="s">
        <v>7056</v>
      </c>
      <c r="BK536" t="s">
        <v>98</v>
      </c>
      <c r="BL536" t="s">
        <v>4802</v>
      </c>
      <c r="BM536" t="s">
        <v>10214</v>
      </c>
      <c r="BN536" t="s">
        <v>74</v>
      </c>
      <c r="BO536" t="s">
        <v>74</v>
      </c>
      <c r="BP536" t="s">
        <v>74</v>
      </c>
      <c r="BQ536" t="s">
        <v>74</v>
      </c>
      <c r="BR536" t="s">
        <v>102</v>
      </c>
      <c r="BS536" t="s">
        <v>10215</v>
      </c>
      <c r="BT536" t="str">
        <f>HYPERLINK("https%3A%2F%2Fwww.webofscience.com%2Fwos%2Fwoscc%2Ffull-record%2FWOS:000965932300001","View Full Record in Web of Science")</f>
        <v>View Full Record in Web of Science</v>
      </c>
    </row>
    <row r="537" spans="1:72" x14ac:dyDescent="0.2">
      <c r="A537" t="s">
        <v>72</v>
      </c>
      <c r="B537" t="s">
        <v>10216</v>
      </c>
      <c r="C537" t="s">
        <v>74</v>
      </c>
      <c r="D537" t="s">
        <v>74</v>
      </c>
      <c r="E537" t="s">
        <v>74</v>
      </c>
      <c r="F537" t="s">
        <v>10217</v>
      </c>
      <c r="G537" t="s">
        <v>74</v>
      </c>
      <c r="H537" t="s">
        <v>74</v>
      </c>
      <c r="I537" t="s">
        <v>10218</v>
      </c>
      <c r="J537" t="s">
        <v>2042</v>
      </c>
      <c r="K537" t="s">
        <v>74</v>
      </c>
      <c r="L537" t="s">
        <v>74</v>
      </c>
      <c r="M537" t="s">
        <v>78</v>
      </c>
      <c r="N537" t="s">
        <v>108</v>
      </c>
      <c r="O537" t="s">
        <v>74</v>
      </c>
      <c r="P537" t="s">
        <v>74</v>
      </c>
      <c r="Q537" t="s">
        <v>74</v>
      </c>
      <c r="R537" t="s">
        <v>74</v>
      </c>
      <c r="S537" t="s">
        <v>74</v>
      </c>
      <c r="T537" t="s">
        <v>10219</v>
      </c>
      <c r="U537" t="s">
        <v>10220</v>
      </c>
      <c r="V537" t="s">
        <v>10221</v>
      </c>
      <c r="W537" t="s">
        <v>10222</v>
      </c>
      <c r="X537" t="s">
        <v>10223</v>
      </c>
      <c r="Y537" t="s">
        <v>10224</v>
      </c>
      <c r="Z537" t="s">
        <v>10225</v>
      </c>
      <c r="AA537" t="s">
        <v>10226</v>
      </c>
      <c r="AB537" t="s">
        <v>10227</v>
      </c>
      <c r="AC537" t="s">
        <v>10228</v>
      </c>
      <c r="AD537" t="s">
        <v>987</v>
      </c>
      <c r="AE537" t="s">
        <v>10229</v>
      </c>
      <c r="AF537" t="s">
        <v>74</v>
      </c>
      <c r="AG537">
        <v>54</v>
      </c>
      <c r="AH537">
        <v>84</v>
      </c>
      <c r="AI537">
        <v>95</v>
      </c>
      <c r="AJ537">
        <v>2</v>
      </c>
      <c r="AK537">
        <v>151</v>
      </c>
      <c r="AL537" t="s">
        <v>543</v>
      </c>
      <c r="AM537" t="s">
        <v>260</v>
      </c>
      <c r="AN537" t="s">
        <v>544</v>
      </c>
      <c r="AO537" t="s">
        <v>2054</v>
      </c>
      <c r="AP537" t="s">
        <v>2055</v>
      </c>
      <c r="AQ537" t="s">
        <v>74</v>
      </c>
      <c r="AR537" t="s">
        <v>2056</v>
      </c>
      <c r="AS537" t="s">
        <v>2057</v>
      </c>
      <c r="AT537" t="s">
        <v>9586</v>
      </c>
      <c r="AU537">
        <v>2014</v>
      </c>
      <c r="AV537">
        <v>41</v>
      </c>
      <c r="AW537">
        <v>2</v>
      </c>
      <c r="AX537" t="s">
        <v>74</v>
      </c>
      <c r="AY537" t="s">
        <v>74</v>
      </c>
      <c r="AZ537" t="s">
        <v>74</v>
      </c>
      <c r="BA537" t="s">
        <v>74</v>
      </c>
      <c r="BB537">
        <v>521</v>
      </c>
      <c r="BC537">
        <v>534</v>
      </c>
      <c r="BD537" t="s">
        <v>74</v>
      </c>
      <c r="BE537" t="s">
        <v>10230</v>
      </c>
      <c r="BF537" t="str">
        <f>HYPERLINK("http://dx.doi.org/10.1016/j.eswa.2013.07.078","http://dx.doi.org/10.1016/j.eswa.2013.07.078")</f>
        <v>http://dx.doi.org/10.1016/j.eswa.2013.07.078</v>
      </c>
      <c r="BG537" t="s">
        <v>74</v>
      </c>
      <c r="BH537" t="s">
        <v>74</v>
      </c>
      <c r="BI537">
        <v>14</v>
      </c>
      <c r="BJ537" t="s">
        <v>2059</v>
      </c>
      <c r="BK537" t="s">
        <v>98</v>
      </c>
      <c r="BL537" t="s">
        <v>2060</v>
      </c>
      <c r="BM537" t="s">
        <v>10231</v>
      </c>
      <c r="BN537" t="s">
        <v>74</v>
      </c>
      <c r="BO537" t="s">
        <v>74</v>
      </c>
      <c r="BP537" t="s">
        <v>74</v>
      </c>
      <c r="BQ537" t="s">
        <v>74</v>
      </c>
      <c r="BR537" t="s">
        <v>102</v>
      </c>
      <c r="BS537" t="s">
        <v>10232</v>
      </c>
      <c r="BT537" t="str">
        <f>HYPERLINK("https%3A%2F%2Fwww.webofscience.com%2Fwos%2Fwoscc%2Ffull-record%2FWOS:000327279900028","View Full Record in Web of Science")</f>
        <v>View Full Record in Web of Science</v>
      </c>
    </row>
    <row r="538" spans="1:72" x14ac:dyDescent="0.2">
      <c r="A538" t="s">
        <v>72</v>
      </c>
      <c r="B538" t="s">
        <v>10233</v>
      </c>
      <c r="C538" t="s">
        <v>74</v>
      </c>
      <c r="D538" t="s">
        <v>74</v>
      </c>
      <c r="E538" t="s">
        <v>74</v>
      </c>
      <c r="F538" t="s">
        <v>10234</v>
      </c>
      <c r="G538" t="s">
        <v>74</v>
      </c>
      <c r="H538" t="s">
        <v>74</v>
      </c>
      <c r="I538" t="s">
        <v>10235</v>
      </c>
      <c r="J538" t="s">
        <v>10236</v>
      </c>
      <c r="K538" t="s">
        <v>74</v>
      </c>
      <c r="L538" t="s">
        <v>74</v>
      </c>
      <c r="M538" t="s">
        <v>78</v>
      </c>
      <c r="N538" t="s">
        <v>108</v>
      </c>
      <c r="O538" t="s">
        <v>74</v>
      </c>
      <c r="P538" t="s">
        <v>74</v>
      </c>
      <c r="Q538" t="s">
        <v>74</v>
      </c>
      <c r="R538" t="s">
        <v>74</v>
      </c>
      <c r="S538" t="s">
        <v>74</v>
      </c>
      <c r="T538" t="s">
        <v>10237</v>
      </c>
      <c r="U538" t="s">
        <v>10238</v>
      </c>
      <c r="V538" t="s">
        <v>10239</v>
      </c>
      <c r="W538" t="s">
        <v>10240</v>
      </c>
      <c r="X538" t="s">
        <v>10241</v>
      </c>
      <c r="Y538" t="s">
        <v>10242</v>
      </c>
      <c r="Z538" t="s">
        <v>10243</v>
      </c>
      <c r="AA538" t="s">
        <v>10244</v>
      </c>
      <c r="AB538" t="s">
        <v>10245</v>
      </c>
      <c r="AC538" t="s">
        <v>74</v>
      </c>
      <c r="AD538" t="s">
        <v>74</v>
      </c>
      <c r="AE538" t="s">
        <v>74</v>
      </c>
      <c r="AF538" t="s">
        <v>74</v>
      </c>
      <c r="AG538">
        <v>17</v>
      </c>
      <c r="AH538">
        <v>1</v>
      </c>
      <c r="AI538">
        <v>1</v>
      </c>
      <c r="AJ538">
        <v>0</v>
      </c>
      <c r="AK538">
        <v>5</v>
      </c>
      <c r="AL538" t="s">
        <v>409</v>
      </c>
      <c r="AM538" t="s">
        <v>410</v>
      </c>
      <c r="AN538" t="s">
        <v>411</v>
      </c>
      <c r="AO538" t="s">
        <v>10246</v>
      </c>
      <c r="AP538" t="s">
        <v>10247</v>
      </c>
      <c r="AQ538" t="s">
        <v>74</v>
      </c>
      <c r="AR538" t="s">
        <v>10248</v>
      </c>
      <c r="AS538" t="s">
        <v>10249</v>
      </c>
      <c r="AT538" t="s">
        <v>6330</v>
      </c>
      <c r="AU538">
        <v>2019</v>
      </c>
      <c r="AV538">
        <v>34</v>
      </c>
      <c r="AW538">
        <v>1</v>
      </c>
      <c r="AX538" t="s">
        <v>74</v>
      </c>
      <c r="AY538" t="s">
        <v>74</v>
      </c>
      <c r="AZ538" t="s">
        <v>74</v>
      </c>
      <c r="BA538" t="s">
        <v>74</v>
      </c>
      <c r="BB538" t="s">
        <v>10250</v>
      </c>
      <c r="BC538" t="s">
        <v>10251</v>
      </c>
      <c r="BD538" t="s">
        <v>74</v>
      </c>
      <c r="BE538" t="s">
        <v>10252</v>
      </c>
      <c r="BF538" t="str">
        <f>HYPERLINK("http://dx.doi.org/10.1002/hpm.2690","http://dx.doi.org/10.1002/hpm.2690")</f>
        <v>http://dx.doi.org/10.1002/hpm.2690</v>
      </c>
      <c r="BG538" t="s">
        <v>74</v>
      </c>
      <c r="BH538" t="s">
        <v>74</v>
      </c>
      <c r="BI538">
        <v>13</v>
      </c>
      <c r="BJ538" t="s">
        <v>10253</v>
      </c>
      <c r="BK538" t="s">
        <v>242</v>
      </c>
      <c r="BL538" t="s">
        <v>10254</v>
      </c>
      <c r="BM538" t="s">
        <v>10255</v>
      </c>
      <c r="BN538">
        <v>30370553</v>
      </c>
      <c r="BO538" t="s">
        <v>804</v>
      </c>
      <c r="BP538" t="s">
        <v>74</v>
      </c>
      <c r="BQ538" t="s">
        <v>74</v>
      </c>
      <c r="BR538" t="s">
        <v>102</v>
      </c>
      <c r="BS538" t="s">
        <v>10256</v>
      </c>
      <c r="BT538" t="str">
        <f>HYPERLINK("https%3A%2F%2Fwww.webofscience.com%2Fwos%2Fwoscc%2Ffull-record%2FWOS:000464099700087","View Full Record in Web of Science")</f>
        <v>View Full Record in Web of Science</v>
      </c>
    </row>
    <row r="539" spans="1:72" x14ac:dyDescent="0.2">
      <c r="A539" t="s">
        <v>72</v>
      </c>
      <c r="B539" t="s">
        <v>10257</v>
      </c>
      <c r="C539" t="s">
        <v>74</v>
      </c>
      <c r="D539" t="s">
        <v>74</v>
      </c>
      <c r="E539" t="s">
        <v>74</v>
      </c>
      <c r="F539" t="s">
        <v>10258</v>
      </c>
      <c r="G539" t="s">
        <v>74</v>
      </c>
      <c r="H539" t="s">
        <v>74</v>
      </c>
      <c r="I539" t="s">
        <v>10259</v>
      </c>
      <c r="J539" t="s">
        <v>2826</v>
      </c>
      <c r="K539" t="s">
        <v>74</v>
      </c>
      <c r="L539" t="s">
        <v>74</v>
      </c>
      <c r="M539" t="s">
        <v>78</v>
      </c>
      <c r="N539" t="s">
        <v>108</v>
      </c>
      <c r="O539" t="s">
        <v>74</v>
      </c>
      <c r="P539" t="s">
        <v>74</v>
      </c>
      <c r="Q539" t="s">
        <v>74</v>
      </c>
      <c r="R539" t="s">
        <v>74</v>
      </c>
      <c r="S539" t="s">
        <v>74</v>
      </c>
      <c r="T539" t="s">
        <v>10260</v>
      </c>
      <c r="U539" t="s">
        <v>10261</v>
      </c>
      <c r="V539" t="s">
        <v>10262</v>
      </c>
      <c r="W539" t="s">
        <v>10263</v>
      </c>
      <c r="X539" t="s">
        <v>10264</v>
      </c>
      <c r="Y539" t="s">
        <v>10265</v>
      </c>
      <c r="Z539" t="s">
        <v>10266</v>
      </c>
      <c r="AA539" t="s">
        <v>10267</v>
      </c>
      <c r="AB539" t="s">
        <v>10268</v>
      </c>
      <c r="AC539" t="s">
        <v>74</v>
      </c>
      <c r="AD539" t="s">
        <v>74</v>
      </c>
      <c r="AE539" t="s">
        <v>74</v>
      </c>
      <c r="AF539" t="s">
        <v>74</v>
      </c>
      <c r="AG539">
        <v>176</v>
      </c>
      <c r="AH539">
        <v>3</v>
      </c>
      <c r="AI539">
        <v>3</v>
      </c>
      <c r="AJ539">
        <v>17</v>
      </c>
      <c r="AK539">
        <v>21</v>
      </c>
      <c r="AL539" t="s">
        <v>437</v>
      </c>
      <c r="AM539" t="s">
        <v>438</v>
      </c>
      <c r="AN539" t="s">
        <v>439</v>
      </c>
      <c r="AO539" t="s">
        <v>2836</v>
      </c>
      <c r="AP539" t="s">
        <v>2837</v>
      </c>
      <c r="AQ539" t="s">
        <v>74</v>
      </c>
      <c r="AR539" t="s">
        <v>2838</v>
      </c>
      <c r="AS539" t="s">
        <v>2839</v>
      </c>
      <c r="AT539" t="s">
        <v>10269</v>
      </c>
      <c r="AU539">
        <v>2023</v>
      </c>
      <c r="AV539">
        <v>61</v>
      </c>
      <c r="AW539">
        <v>3</v>
      </c>
      <c r="AX539" t="s">
        <v>74</v>
      </c>
      <c r="AY539" t="s">
        <v>74</v>
      </c>
      <c r="AZ539" t="s">
        <v>74</v>
      </c>
      <c r="BA539" t="s">
        <v>74</v>
      </c>
      <c r="BB539">
        <v>786</v>
      </c>
      <c r="BC539">
        <v>814</v>
      </c>
      <c r="BD539" t="s">
        <v>74</v>
      </c>
      <c r="BE539" t="s">
        <v>10270</v>
      </c>
      <c r="BF539" t="str">
        <f>HYPERLINK("http://dx.doi.org/10.1108/MD-03-2021-0400","http://dx.doi.org/10.1108/MD-03-2021-0400")</f>
        <v>http://dx.doi.org/10.1108/MD-03-2021-0400</v>
      </c>
      <c r="BG539" t="s">
        <v>74</v>
      </c>
      <c r="BH539" t="s">
        <v>6185</v>
      </c>
      <c r="BI539">
        <v>29</v>
      </c>
      <c r="BJ539" t="s">
        <v>849</v>
      </c>
      <c r="BK539" t="s">
        <v>242</v>
      </c>
      <c r="BL539" t="s">
        <v>419</v>
      </c>
      <c r="BM539" t="s">
        <v>10271</v>
      </c>
      <c r="BN539" t="s">
        <v>74</v>
      </c>
      <c r="BO539" t="s">
        <v>889</v>
      </c>
      <c r="BP539" t="s">
        <v>74</v>
      </c>
      <c r="BQ539" t="s">
        <v>74</v>
      </c>
      <c r="BR539" t="s">
        <v>102</v>
      </c>
      <c r="BS539" t="s">
        <v>10272</v>
      </c>
      <c r="BT539" t="str">
        <f>HYPERLINK("https%3A%2F%2Fwww.webofscience.com%2Fwos%2Fwoscc%2Ffull-record%2FWOS:000935042900001","View Full Record in Web of Science")</f>
        <v>View Full Record in Web of Science</v>
      </c>
    </row>
    <row r="540" spans="1:72" x14ac:dyDescent="0.2">
      <c r="A540" t="s">
        <v>72</v>
      </c>
      <c r="B540" t="s">
        <v>10273</v>
      </c>
      <c r="C540" t="s">
        <v>74</v>
      </c>
      <c r="D540" t="s">
        <v>74</v>
      </c>
      <c r="E540" t="s">
        <v>74</v>
      </c>
      <c r="F540" t="s">
        <v>10274</v>
      </c>
      <c r="G540" t="s">
        <v>74</v>
      </c>
      <c r="H540" t="s">
        <v>74</v>
      </c>
      <c r="I540" t="s">
        <v>10275</v>
      </c>
      <c r="J540" t="s">
        <v>10276</v>
      </c>
      <c r="K540" t="s">
        <v>74</v>
      </c>
      <c r="L540" t="s">
        <v>74</v>
      </c>
      <c r="M540" t="s">
        <v>78</v>
      </c>
      <c r="N540" t="s">
        <v>108</v>
      </c>
      <c r="O540" t="s">
        <v>74</v>
      </c>
      <c r="P540" t="s">
        <v>74</v>
      </c>
      <c r="Q540" t="s">
        <v>74</v>
      </c>
      <c r="R540" t="s">
        <v>74</v>
      </c>
      <c r="S540" t="s">
        <v>74</v>
      </c>
      <c r="T540" t="s">
        <v>10277</v>
      </c>
      <c r="U540" t="s">
        <v>10278</v>
      </c>
      <c r="V540" t="s">
        <v>10279</v>
      </c>
      <c r="W540" t="s">
        <v>10280</v>
      </c>
      <c r="X540" t="s">
        <v>10281</v>
      </c>
      <c r="Y540" t="s">
        <v>10282</v>
      </c>
      <c r="Z540" t="s">
        <v>10283</v>
      </c>
      <c r="AA540" t="s">
        <v>10284</v>
      </c>
      <c r="AB540" t="s">
        <v>10285</v>
      </c>
      <c r="AC540" t="s">
        <v>10286</v>
      </c>
      <c r="AD540" t="s">
        <v>10286</v>
      </c>
      <c r="AE540" t="s">
        <v>10287</v>
      </c>
      <c r="AF540" t="s">
        <v>74</v>
      </c>
      <c r="AG540">
        <v>58</v>
      </c>
      <c r="AH540">
        <v>31</v>
      </c>
      <c r="AI540">
        <v>32</v>
      </c>
      <c r="AJ540">
        <v>2</v>
      </c>
      <c r="AK540">
        <v>42</v>
      </c>
      <c r="AL540" t="s">
        <v>209</v>
      </c>
      <c r="AM540" t="s">
        <v>210</v>
      </c>
      <c r="AN540" t="s">
        <v>211</v>
      </c>
      <c r="AO540" t="s">
        <v>10288</v>
      </c>
      <c r="AP540" t="s">
        <v>10289</v>
      </c>
      <c r="AQ540" t="s">
        <v>74</v>
      </c>
      <c r="AR540" t="s">
        <v>10276</v>
      </c>
      <c r="AS540" t="s">
        <v>10290</v>
      </c>
      <c r="AT540" t="s">
        <v>6781</v>
      </c>
      <c r="AU540">
        <v>2013</v>
      </c>
      <c r="AV540">
        <v>388</v>
      </c>
      <c r="AW540" t="s">
        <v>74</v>
      </c>
      <c r="AX540" t="s">
        <v>74</v>
      </c>
      <c r="AY540" t="s">
        <v>74</v>
      </c>
      <c r="AZ540" t="s">
        <v>74</v>
      </c>
      <c r="BA540" t="s">
        <v>74</v>
      </c>
      <c r="BB540">
        <v>89</v>
      </c>
      <c r="BC540">
        <v>98</v>
      </c>
      <c r="BD540" t="s">
        <v>74</v>
      </c>
      <c r="BE540" t="s">
        <v>10291</v>
      </c>
      <c r="BF540" t="str">
        <f>HYPERLINK("http://dx.doi.org/10.1016/j.aquaculture.2013.01.011","http://dx.doi.org/10.1016/j.aquaculture.2013.01.011")</f>
        <v>http://dx.doi.org/10.1016/j.aquaculture.2013.01.011</v>
      </c>
      <c r="BG540" t="s">
        <v>74</v>
      </c>
      <c r="BH540" t="s">
        <v>74</v>
      </c>
      <c r="BI540">
        <v>10</v>
      </c>
      <c r="BJ540" t="s">
        <v>10292</v>
      </c>
      <c r="BK540" t="s">
        <v>147</v>
      </c>
      <c r="BL540" t="s">
        <v>10292</v>
      </c>
      <c r="BM540" t="s">
        <v>10293</v>
      </c>
      <c r="BN540" t="s">
        <v>74</v>
      </c>
      <c r="BO540" t="s">
        <v>74</v>
      </c>
      <c r="BP540" t="s">
        <v>74</v>
      </c>
      <c r="BQ540" t="s">
        <v>74</v>
      </c>
      <c r="BR540" t="s">
        <v>102</v>
      </c>
      <c r="BS540" t="s">
        <v>10294</v>
      </c>
      <c r="BT540" t="str">
        <f>HYPERLINK("https%3A%2F%2Fwww.webofscience.com%2Fwos%2Fwoscc%2Ffull-record%2FWOS:000316195600013","View Full Record in Web of Science")</f>
        <v>View Full Record in Web of Science</v>
      </c>
    </row>
    <row r="541" spans="1:72" x14ac:dyDescent="0.2">
      <c r="A541" t="s">
        <v>72</v>
      </c>
      <c r="B541" t="s">
        <v>10295</v>
      </c>
      <c r="C541" t="s">
        <v>74</v>
      </c>
      <c r="D541" t="s">
        <v>74</v>
      </c>
      <c r="E541" t="s">
        <v>74</v>
      </c>
      <c r="F541" t="s">
        <v>10296</v>
      </c>
      <c r="G541" t="s">
        <v>74</v>
      </c>
      <c r="H541" t="s">
        <v>74</v>
      </c>
      <c r="I541" t="s">
        <v>10297</v>
      </c>
      <c r="J541" t="s">
        <v>10298</v>
      </c>
      <c r="K541" t="s">
        <v>74</v>
      </c>
      <c r="L541" t="s">
        <v>74</v>
      </c>
      <c r="M541" t="s">
        <v>78</v>
      </c>
      <c r="N541" t="s">
        <v>917</v>
      </c>
      <c r="O541" t="s">
        <v>74</v>
      </c>
      <c r="P541" t="s">
        <v>74</v>
      </c>
      <c r="Q541" t="s">
        <v>74</v>
      </c>
      <c r="R541" t="s">
        <v>74</v>
      </c>
      <c r="S541" t="s">
        <v>74</v>
      </c>
      <c r="T541" t="s">
        <v>10299</v>
      </c>
      <c r="U541" t="s">
        <v>10300</v>
      </c>
      <c r="V541" t="s">
        <v>10301</v>
      </c>
      <c r="W541" t="s">
        <v>10302</v>
      </c>
      <c r="X541" t="s">
        <v>10303</v>
      </c>
      <c r="Y541" t="s">
        <v>10304</v>
      </c>
      <c r="Z541" t="s">
        <v>10305</v>
      </c>
      <c r="AA541" t="s">
        <v>74</v>
      </c>
      <c r="AB541" t="s">
        <v>74</v>
      </c>
      <c r="AC541" t="s">
        <v>10306</v>
      </c>
      <c r="AD541" t="s">
        <v>10307</v>
      </c>
      <c r="AE541" t="s">
        <v>10308</v>
      </c>
      <c r="AF541" t="s">
        <v>74</v>
      </c>
      <c r="AG541">
        <v>57</v>
      </c>
      <c r="AH541">
        <v>2</v>
      </c>
      <c r="AI541">
        <v>2</v>
      </c>
      <c r="AJ541">
        <v>18</v>
      </c>
      <c r="AK541">
        <v>38</v>
      </c>
      <c r="AL541" t="s">
        <v>462</v>
      </c>
      <c r="AM541" t="s">
        <v>280</v>
      </c>
      <c r="AN541" t="s">
        <v>463</v>
      </c>
      <c r="AO541" t="s">
        <v>10309</v>
      </c>
      <c r="AP541" t="s">
        <v>10310</v>
      </c>
      <c r="AQ541" t="s">
        <v>74</v>
      </c>
      <c r="AR541" t="s">
        <v>10311</v>
      </c>
      <c r="AS541" t="s">
        <v>10312</v>
      </c>
      <c r="AT541" t="s">
        <v>10313</v>
      </c>
      <c r="AU541">
        <v>2022</v>
      </c>
      <c r="AV541" t="s">
        <v>74</v>
      </c>
      <c r="AW541" t="s">
        <v>74</v>
      </c>
      <c r="AX541" t="s">
        <v>74</v>
      </c>
      <c r="AY541" t="s">
        <v>74</v>
      </c>
      <c r="AZ541" t="s">
        <v>74</v>
      </c>
      <c r="BA541" t="s">
        <v>74</v>
      </c>
      <c r="BB541" t="s">
        <v>74</v>
      </c>
      <c r="BC541" t="s">
        <v>74</v>
      </c>
      <c r="BD541" t="s">
        <v>74</v>
      </c>
      <c r="BE541" t="s">
        <v>10314</v>
      </c>
      <c r="BF541" t="str">
        <f>HYPERLINK("http://dx.doi.org/10.1080/03088839.2022.2135036","http://dx.doi.org/10.1080/03088839.2022.2135036")</f>
        <v>http://dx.doi.org/10.1080/03088839.2022.2135036</v>
      </c>
      <c r="BG541" t="s">
        <v>74</v>
      </c>
      <c r="BH541" t="s">
        <v>590</v>
      </c>
      <c r="BI541">
        <v>18</v>
      </c>
      <c r="BJ541" t="s">
        <v>219</v>
      </c>
      <c r="BK541" t="s">
        <v>242</v>
      </c>
      <c r="BL541" t="s">
        <v>219</v>
      </c>
      <c r="BM541" t="s">
        <v>10315</v>
      </c>
      <c r="BN541" t="s">
        <v>74</v>
      </c>
      <c r="BO541" t="s">
        <v>74</v>
      </c>
      <c r="BP541" t="s">
        <v>74</v>
      </c>
      <c r="BQ541" t="s">
        <v>74</v>
      </c>
      <c r="BR541" t="s">
        <v>102</v>
      </c>
      <c r="BS541" t="s">
        <v>10316</v>
      </c>
      <c r="BT541" t="str">
        <f>HYPERLINK("https%3A%2F%2Fwww.webofscience.com%2Fwos%2Fwoscc%2Ffull-record%2FWOS:000869624000001","View Full Record in Web of Science")</f>
        <v>View Full Record in Web of Science</v>
      </c>
    </row>
    <row r="542" spans="1:72" x14ac:dyDescent="0.2">
      <c r="A542" t="s">
        <v>72</v>
      </c>
      <c r="B542" t="s">
        <v>10317</v>
      </c>
      <c r="C542" t="s">
        <v>74</v>
      </c>
      <c r="D542" t="s">
        <v>74</v>
      </c>
      <c r="E542" t="s">
        <v>74</v>
      </c>
      <c r="F542" t="s">
        <v>10318</v>
      </c>
      <c r="G542" t="s">
        <v>74</v>
      </c>
      <c r="H542" t="s">
        <v>74</v>
      </c>
      <c r="I542" t="s">
        <v>10319</v>
      </c>
      <c r="J542" t="s">
        <v>10320</v>
      </c>
      <c r="K542" t="s">
        <v>74</v>
      </c>
      <c r="L542" t="s">
        <v>74</v>
      </c>
      <c r="M542" t="s">
        <v>78</v>
      </c>
      <c r="N542" t="s">
        <v>108</v>
      </c>
      <c r="O542" t="s">
        <v>74</v>
      </c>
      <c r="P542" t="s">
        <v>74</v>
      </c>
      <c r="Q542" t="s">
        <v>74</v>
      </c>
      <c r="R542" t="s">
        <v>74</v>
      </c>
      <c r="S542" t="s">
        <v>74</v>
      </c>
      <c r="T542" t="s">
        <v>10321</v>
      </c>
      <c r="U542" t="s">
        <v>10322</v>
      </c>
      <c r="V542" t="s">
        <v>10323</v>
      </c>
      <c r="W542" t="s">
        <v>10324</v>
      </c>
      <c r="X542" t="s">
        <v>10325</v>
      </c>
      <c r="Y542" t="s">
        <v>10326</v>
      </c>
      <c r="Z542" t="s">
        <v>10327</v>
      </c>
      <c r="AA542" t="s">
        <v>74</v>
      </c>
      <c r="AB542" t="s">
        <v>74</v>
      </c>
      <c r="AC542" t="s">
        <v>74</v>
      </c>
      <c r="AD542" t="s">
        <v>74</v>
      </c>
      <c r="AE542" t="s">
        <v>74</v>
      </c>
      <c r="AF542" t="s">
        <v>74</v>
      </c>
      <c r="AG542">
        <v>35</v>
      </c>
      <c r="AH542">
        <v>3</v>
      </c>
      <c r="AI542">
        <v>3</v>
      </c>
      <c r="AJ542">
        <v>0</v>
      </c>
      <c r="AK542">
        <v>12</v>
      </c>
      <c r="AL542" t="s">
        <v>10328</v>
      </c>
      <c r="AM542" t="s">
        <v>10329</v>
      </c>
      <c r="AN542" t="s">
        <v>10330</v>
      </c>
      <c r="AO542" t="s">
        <v>10331</v>
      </c>
      <c r="AP542" t="s">
        <v>74</v>
      </c>
      <c r="AQ542" t="s">
        <v>74</v>
      </c>
      <c r="AR542" t="s">
        <v>10332</v>
      </c>
      <c r="AS542" t="s">
        <v>10333</v>
      </c>
      <c r="AT542" t="s">
        <v>10334</v>
      </c>
      <c r="AU542">
        <v>2011</v>
      </c>
      <c r="AV542">
        <v>5</v>
      </c>
      <c r="AW542">
        <v>22</v>
      </c>
      <c r="AX542" t="s">
        <v>74</v>
      </c>
      <c r="AY542" t="s">
        <v>74</v>
      </c>
      <c r="AZ542" t="s">
        <v>74</v>
      </c>
      <c r="BA542" t="s">
        <v>74</v>
      </c>
      <c r="BB542">
        <v>9125</v>
      </c>
      <c r="BC542">
        <v>9136</v>
      </c>
      <c r="BD542" t="s">
        <v>74</v>
      </c>
      <c r="BE542" t="s">
        <v>74</v>
      </c>
      <c r="BF542" t="s">
        <v>74</v>
      </c>
      <c r="BG542" t="s">
        <v>74</v>
      </c>
      <c r="BH542" t="s">
        <v>74</v>
      </c>
      <c r="BI542">
        <v>12</v>
      </c>
      <c r="BJ542" t="s">
        <v>849</v>
      </c>
      <c r="BK542" t="s">
        <v>242</v>
      </c>
      <c r="BL542" t="s">
        <v>419</v>
      </c>
      <c r="BM542" t="s">
        <v>10335</v>
      </c>
      <c r="BN542" t="s">
        <v>74</v>
      </c>
      <c r="BO542" t="s">
        <v>74</v>
      </c>
      <c r="BP542" t="s">
        <v>74</v>
      </c>
      <c r="BQ542" t="s">
        <v>74</v>
      </c>
      <c r="BR542" t="s">
        <v>102</v>
      </c>
      <c r="BS542" t="s">
        <v>10336</v>
      </c>
      <c r="BT542" t="str">
        <f>HYPERLINK("https%3A%2F%2Fwww.webofscience.com%2Fwos%2Fwoscc%2Ffull-record%2FWOS:000297654600040","View Full Record in Web of Science")</f>
        <v>View Full Record in Web of Science</v>
      </c>
    </row>
    <row r="543" spans="1:72" x14ac:dyDescent="0.2">
      <c r="A543" t="s">
        <v>72</v>
      </c>
      <c r="B543" t="s">
        <v>10337</v>
      </c>
      <c r="C543" t="s">
        <v>74</v>
      </c>
      <c r="D543" t="s">
        <v>74</v>
      </c>
      <c r="E543" t="s">
        <v>74</v>
      </c>
      <c r="F543" t="s">
        <v>10338</v>
      </c>
      <c r="G543" t="s">
        <v>74</v>
      </c>
      <c r="H543" t="s">
        <v>74</v>
      </c>
      <c r="I543" t="s">
        <v>10339</v>
      </c>
      <c r="J543" t="s">
        <v>2042</v>
      </c>
      <c r="K543" t="s">
        <v>74</v>
      </c>
      <c r="L543" t="s">
        <v>74</v>
      </c>
      <c r="M543" t="s">
        <v>78</v>
      </c>
      <c r="N543" t="s">
        <v>108</v>
      </c>
      <c r="O543" t="s">
        <v>74</v>
      </c>
      <c r="P543" t="s">
        <v>74</v>
      </c>
      <c r="Q543" t="s">
        <v>74</v>
      </c>
      <c r="R543" t="s">
        <v>74</v>
      </c>
      <c r="S543" t="s">
        <v>74</v>
      </c>
      <c r="T543" t="s">
        <v>10340</v>
      </c>
      <c r="U543" t="s">
        <v>10341</v>
      </c>
      <c r="V543" t="s">
        <v>10342</v>
      </c>
      <c r="W543" t="s">
        <v>10343</v>
      </c>
      <c r="X543" t="s">
        <v>74</v>
      </c>
      <c r="Y543" t="s">
        <v>10344</v>
      </c>
      <c r="Z543" t="s">
        <v>10345</v>
      </c>
      <c r="AA543" t="s">
        <v>10346</v>
      </c>
      <c r="AB543" t="s">
        <v>10347</v>
      </c>
      <c r="AC543" t="s">
        <v>10348</v>
      </c>
      <c r="AD543" t="s">
        <v>10349</v>
      </c>
      <c r="AE543" t="s">
        <v>10350</v>
      </c>
      <c r="AF543" t="s">
        <v>74</v>
      </c>
      <c r="AG543">
        <v>34</v>
      </c>
      <c r="AH543">
        <v>12</v>
      </c>
      <c r="AI543">
        <v>12</v>
      </c>
      <c r="AJ543">
        <v>2</v>
      </c>
      <c r="AK543">
        <v>12</v>
      </c>
      <c r="AL543" t="s">
        <v>543</v>
      </c>
      <c r="AM543" t="s">
        <v>260</v>
      </c>
      <c r="AN543" t="s">
        <v>544</v>
      </c>
      <c r="AO543" t="s">
        <v>2054</v>
      </c>
      <c r="AP543" t="s">
        <v>2055</v>
      </c>
      <c r="AQ543" t="s">
        <v>74</v>
      </c>
      <c r="AR543" t="s">
        <v>2056</v>
      </c>
      <c r="AS543" t="s">
        <v>2057</v>
      </c>
      <c r="AT543" t="s">
        <v>5968</v>
      </c>
      <c r="AU543">
        <v>2021</v>
      </c>
      <c r="AV543">
        <v>185</v>
      </c>
      <c r="AW543" t="s">
        <v>74</v>
      </c>
      <c r="AX543" t="s">
        <v>74</v>
      </c>
      <c r="AY543" t="s">
        <v>74</v>
      </c>
      <c r="AZ543" t="s">
        <v>74</v>
      </c>
      <c r="BA543" t="s">
        <v>74</v>
      </c>
      <c r="BB543" t="s">
        <v>74</v>
      </c>
      <c r="BC543" t="s">
        <v>74</v>
      </c>
      <c r="BD543">
        <v>115501</v>
      </c>
      <c r="BE543" t="s">
        <v>10351</v>
      </c>
      <c r="BF543" t="str">
        <f>HYPERLINK("http://dx.doi.org/10.1016/j.eswa.2021.115501","http://dx.doi.org/10.1016/j.eswa.2021.115501")</f>
        <v>http://dx.doi.org/10.1016/j.eswa.2021.115501</v>
      </c>
      <c r="BG543" t="s">
        <v>74</v>
      </c>
      <c r="BH543" t="s">
        <v>1056</v>
      </c>
      <c r="BI543">
        <v>12</v>
      </c>
      <c r="BJ543" t="s">
        <v>2059</v>
      </c>
      <c r="BK543" t="s">
        <v>98</v>
      </c>
      <c r="BL543" t="s">
        <v>2060</v>
      </c>
      <c r="BM543" t="s">
        <v>10352</v>
      </c>
      <c r="BN543" t="s">
        <v>74</v>
      </c>
      <c r="BO543" t="s">
        <v>74</v>
      </c>
      <c r="BP543" t="s">
        <v>74</v>
      </c>
      <c r="BQ543" t="s">
        <v>74</v>
      </c>
      <c r="BR543" t="s">
        <v>102</v>
      </c>
      <c r="BS543" t="s">
        <v>10353</v>
      </c>
      <c r="BT543" t="str">
        <f>HYPERLINK("https%3A%2F%2Fwww.webofscience.com%2Fwos%2Fwoscc%2Ffull-record%2FWOS:000707156100004","View Full Record in Web of Science")</f>
        <v>View Full Record in Web of Science</v>
      </c>
    </row>
    <row r="544" spans="1:72" x14ac:dyDescent="0.2">
      <c r="A544" t="s">
        <v>72</v>
      </c>
      <c r="B544" t="s">
        <v>10354</v>
      </c>
      <c r="C544" t="s">
        <v>74</v>
      </c>
      <c r="D544" t="s">
        <v>74</v>
      </c>
      <c r="E544" t="s">
        <v>74</v>
      </c>
      <c r="F544" t="s">
        <v>10355</v>
      </c>
      <c r="G544" t="s">
        <v>74</v>
      </c>
      <c r="H544" t="s">
        <v>74</v>
      </c>
      <c r="I544" t="s">
        <v>10356</v>
      </c>
      <c r="J544" t="s">
        <v>10357</v>
      </c>
      <c r="K544" t="s">
        <v>74</v>
      </c>
      <c r="L544" t="s">
        <v>74</v>
      </c>
      <c r="M544" t="s">
        <v>78</v>
      </c>
      <c r="N544" t="s">
        <v>108</v>
      </c>
      <c r="O544" t="s">
        <v>74</v>
      </c>
      <c r="P544" t="s">
        <v>74</v>
      </c>
      <c r="Q544" t="s">
        <v>74</v>
      </c>
      <c r="R544" t="s">
        <v>74</v>
      </c>
      <c r="S544" t="s">
        <v>74</v>
      </c>
      <c r="T544" t="s">
        <v>10358</v>
      </c>
      <c r="U544" t="s">
        <v>10359</v>
      </c>
      <c r="V544" t="s">
        <v>10360</v>
      </c>
      <c r="W544" t="s">
        <v>10361</v>
      </c>
      <c r="X544" t="s">
        <v>10362</v>
      </c>
      <c r="Y544" t="s">
        <v>10363</v>
      </c>
      <c r="Z544" t="s">
        <v>10364</v>
      </c>
      <c r="AA544" t="s">
        <v>74</v>
      </c>
      <c r="AB544" t="s">
        <v>10365</v>
      </c>
      <c r="AC544" t="s">
        <v>10366</v>
      </c>
      <c r="AD544" t="s">
        <v>10366</v>
      </c>
      <c r="AE544" t="s">
        <v>10367</v>
      </c>
      <c r="AF544" t="s">
        <v>74</v>
      </c>
      <c r="AG544">
        <v>36</v>
      </c>
      <c r="AH544">
        <v>0</v>
      </c>
      <c r="AI544">
        <v>0</v>
      </c>
      <c r="AJ544">
        <v>0</v>
      </c>
      <c r="AK544">
        <v>2</v>
      </c>
      <c r="AL544" t="s">
        <v>116</v>
      </c>
      <c r="AM544" t="s">
        <v>117</v>
      </c>
      <c r="AN544" t="s">
        <v>118</v>
      </c>
      <c r="AO544" t="s">
        <v>74</v>
      </c>
      <c r="AP544" t="s">
        <v>10368</v>
      </c>
      <c r="AQ544" t="s">
        <v>74</v>
      </c>
      <c r="AR544" t="s">
        <v>10357</v>
      </c>
      <c r="AS544" t="s">
        <v>10369</v>
      </c>
      <c r="AT544" t="s">
        <v>738</v>
      </c>
      <c r="AU544">
        <v>2022</v>
      </c>
      <c r="AV544">
        <v>10</v>
      </c>
      <c r="AW544">
        <v>2</v>
      </c>
      <c r="AX544" t="s">
        <v>74</v>
      </c>
      <c r="AY544" t="s">
        <v>74</v>
      </c>
      <c r="AZ544" t="s">
        <v>74</v>
      </c>
      <c r="BA544" t="s">
        <v>74</v>
      </c>
      <c r="BB544" t="s">
        <v>74</v>
      </c>
      <c r="BC544" t="s">
        <v>74</v>
      </c>
      <c r="BD544">
        <v>23</v>
      </c>
      <c r="BE544" t="s">
        <v>10370</v>
      </c>
      <c r="BF544" t="str">
        <f>HYPERLINK("http://dx.doi.org/10.3390/computation10020023","http://dx.doi.org/10.3390/computation10020023")</f>
        <v>http://dx.doi.org/10.3390/computation10020023</v>
      </c>
      <c r="BG544" t="s">
        <v>74</v>
      </c>
      <c r="BH544" t="s">
        <v>74</v>
      </c>
      <c r="BI544">
        <v>16</v>
      </c>
      <c r="BJ544" t="s">
        <v>10371</v>
      </c>
      <c r="BK544" t="s">
        <v>124</v>
      </c>
      <c r="BL544" t="s">
        <v>1611</v>
      </c>
      <c r="BM544" t="s">
        <v>10372</v>
      </c>
      <c r="BN544" t="s">
        <v>74</v>
      </c>
      <c r="BO544" t="s">
        <v>126</v>
      </c>
      <c r="BP544" t="s">
        <v>74</v>
      </c>
      <c r="BQ544" t="s">
        <v>74</v>
      </c>
      <c r="BR544" t="s">
        <v>102</v>
      </c>
      <c r="BS544" t="s">
        <v>10373</v>
      </c>
      <c r="BT544" t="str">
        <f>HYPERLINK("https%3A%2F%2Fwww.webofscience.com%2Fwos%2Fwoscc%2Ffull-record%2FWOS:000763032800001","View Full Record in Web of Science")</f>
        <v>View Full Record in Web of Science</v>
      </c>
    </row>
    <row r="545" spans="1:72" x14ac:dyDescent="0.2">
      <c r="A545" t="s">
        <v>72</v>
      </c>
      <c r="B545" t="s">
        <v>10374</v>
      </c>
      <c r="C545" t="s">
        <v>74</v>
      </c>
      <c r="D545" t="s">
        <v>74</v>
      </c>
      <c r="E545" t="s">
        <v>74</v>
      </c>
      <c r="F545" t="s">
        <v>10375</v>
      </c>
      <c r="G545" t="s">
        <v>74</v>
      </c>
      <c r="H545" t="s">
        <v>74</v>
      </c>
      <c r="I545" t="s">
        <v>10376</v>
      </c>
      <c r="J545" t="s">
        <v>8230</v>
      </c>
      <c r="K545" t="s">
        <v>74</v>
      </c>
      <c r="L545" t="s">
        <v>74</v>
      </c>
      <c r="M545" t="s">
        <v>78</v>
      </c>
      <c r="N545" t="s">
        <v>108</v>
      </c>
      <c r="O545" t="s">
        <v>74</v>
      </c>
      <c r="P545" t="s">
        <v>74</v>
      </c>
      <c r="Q545" t="s">
        <v>74</v>
      </c>
      <c r="R545" t="s">
        <v>74</v>
      </c>
      <c r="S545" t="s">
        <v>74</v>
      </c>
      <c r="T545" t="s">
        <v>10377</v>
      </c>
      <c r="U545" t="s">
        <v>10378</v>
      </c>
      <c r="V545" t="s">
        <v>10379</v>
      </c>
      <c r="W545" t="s">
        <v>10380</v>
      </c>
      <c r="X545" t="s">
        <v>10381</v>
      </c>
      <c r="Y545" t="s">
        <v>10382</v>
      </c>
      <c r="Z545" t="s">
        <v>10383</v>
      </c>
      <c r="AA545" t="s">
        <v>10384</v>
      </c>
      <c r="AB545" t="s">
        <v>10385</v>
      </c>
      <c r="AC545" t="s">
        <v>74</v>
      </c>
      <c r="AD545" t="s">
        <v>74</v>
      </c>
      <c r="AE545" t="s">
        <v>74</v>
      </c>
      <c r="AF545" t="s">
        <v>74</v>
      </c>
      <c r="AG545">
        <v>44</v>
      </c>
      <c r="AH545">
        <v>17</v>
      </c>
      <c r="AI545">
        <v>17</v>
      </c>
      <c r="AJ545">
        <v>7</v>
      </c>
      <c r="AK545">
        <v>36</v>
      </c>
      <c r="AL545" t="s">
        <v>347</v>
      </c>
      <c r="AM545" t="s">
        <v>348</v>
      </c>
      <c r="AN545" t="s">
        <v>349</v>
      </c>
      <c r="AO545" t="s">
        <v>8238</v>
      </c>
      <c r="AP545" t="s">
        <v>8239</v>
      </c>
      <c r="AQ545" t="s">
        <v>74</v>
      </c>
      <c r="AR545" t="s">
        <v>8240</v>
      </c>
      <c r="AS545" t="s">
        <v>8241</v>
      </c>
      <c r="AT545" t="s">
        <v>121</v>
      </c>
      <c r="AU545">
        <v>2021</v>
      </c>
      <c r="AV545">
        <v>131</v>
      </c>
      <c r="AW545" t="s">
        <v>74</v>
      </c>
      <c r="AX545" t="s">
        <v>74</v>
      </c>
      <c r="AY545" t="s">
        <v>74</v>
      </c>
      <c r="AZ545" t="s">
        <v>74</v>
      </c>
      <c r="BA545" t="s">
        <v>74</v>
      </c>
      <c r="BB545">
        <v>630</v>
      </c>
      <c r="BC545">
        <v>639</v>
      </c>
      <c r="BD545" t="s">
        <v>74</v>
      </c>
      <c r="BE545" t="s">
        <v>10386</v>
      </c>
      <c r="BF545" t="str">
        <f>HYPERLINK("http://dx.doi.org/10.1016/j.jbusres.2021.01.022","http://dx.doi.org/10.1016/j.jbusres.2021.01.022")</f>
        <v>http://dx.doi.org/10.1016/j.jbusres.2021.01.022</v>
      </c>
      <c r="BG545" t="s">
        <v>74</v>
      </c>
      <c r="BH545" t="s">
        <v>1552</v>
      </c>
      <c r="BI545">
        <v>10</v>
      </c>
      <c r="BJ545" t="s">
        <v>931</v>
      </c>
      <c r="BK545" t="s">
        <v>242</v>
      </c>
      <c r="BL545" t="s">
        <v>419</v>
      </c>
      <c r="BM545" t="s">
        <v>10387</v>
      </c>
      <c r="BN545" t="s">
        <v>74</v>
      </c>
      <c r="BO545" t="s">
        <v>74</v>
      </c>
      <c r="BP545" t="s">
        <v>74</v>
      </c>
      <c r="BQ545" t="s">
        <v>74</v>
      </c>
      <c r="BR545" t="s">
        <v>102</v>
      </c>
      <c r="BS545" t="s">
        <v>10388</v>
      </c>
      <c r="BT545" t="str">
        <f>HYPERLINK("https%3A%2F%2Fwww.webofscience.com%2Fwos%2Fwoscc%2Ffull-record%2FWOS:000652020000026","View Full Record in Web of Science")</f>
        <v>View Full Record in Web of Science</v>
      </c>
    </row>
    <row r="546" spans="1:72" x14ac:dyDescent="0.2">
      <c r="A546" t="s">
        <v>72</v>
      </c>
      <c r="B546" t="s">
        <v>10389</v>
      </c>
      <c r="C546" t="s">
        <v>74</v>
      </c>
      <c r="D546" t="s">
        <v>74</v>
      </c>
      <c r="E546" t="s">
        <v>74</v>
      </c>
      <c r="F546" t="s">
        <v>10390</v>
      </c>
      <c r="G546" t="s">
        <v>74</v>
      </c>
      <c r="H546" t="s">
        <v>74</v>
      </c>
      <c r="I546" t="s">
        <v>10391</v>
      </c>
      <c r="J546" t="s">
        <v>10392</v>
      </c>
      <c r="K546" t="s">
        <v>74</v>
      </c>
      <c r="L546" t="s">
        <v>74</v>
      </c>
      <c r="M546" t="s">
        <v>78</v>
      </c>
      <c r="N546" t="s">
        <v>79</v>
      </c>
      <c r="O546" t="s">
        <v>74</v>
      </c>
      <c r="P546" t="s">
        <v>74</v>
      </c>
      <c r="Q546" t="s">
        <v>74</v>
      </c>
      <c r="R546" t="s">
        <v>74</v>
      </c>
      <c r="S546" t="s">
        <v>74</v>
      </c>
      <c r="T546" t="s">
        <v>10393</v>
      </c>
      <c r="U546" t="s">
        <v>10394</v>
      </c>
      <c r="V546" t="s">
        <v>10395</v>
      </c>
      <c r="W546" t="s">
        <v>10396</v>
      </c>
      <c r="X546" t="s">
        <v>10397</v>
      </c>
      <c r="Y546" t="s">
        <v>10398</v>
      </c>
      <c r="Z546" t="s">
        <v>10399</v>
      </c>
      <c r="AA546" t="s">
        <v>10400</v>
      </c>
      <c r="AB546" t="s">
        <v>10401</v>
      </c>
      <c r="AC546" t="s">
        <v>74</v>
      </c>
      <c r="AD546" t="s">
        <v>74</v>
      </c>
      <c r="AE546" t="s">
        <v>74</v>
      </c>
      <c r="AF546" t="s">
        <v>74</v>
      </c>
      <c r="AG546">
        <v>69</v>
      </c>
      <c r="AH546">
        <v>31</v>
      </c>
      <c r="AI546">
        <v>31</v>
      </c>
      <c r="AJ546">
        <v>1</v>
      </c>
      <c r="AK546">
        <v>17</v>
      </c>
      <c r="AL546" t="s">
        <v>10402</v>
      </c>
      <c r="AM546" t="s">
        <v>10403</v>
      </c>
      <c r="AN546" t="s">
        <v>10404</v>
      </c>
      <c r="AO546" t="s">
        <v>10405</v>
      </c>
      <c r="AP546" t="s">
        <v>10406</v>
      </c>
      <c r="AQ546" t="s">
        <v>74</v>
      </c>
      <c r="AR546" t="s">
        <v>10407</v>
      </c>
      <c r="AS546" t="s">
        <v>10408</v>
      </c>
      <c r="AT546" t="s">
        <v>74</v>
      </c>
      <c r="AU546">
        <v>2019</v>
      </c>
      <c r="AV546">
        <v>12</v>
      </c>
      <c r="AW546">
        <v>2</v>
      </c>
      <c r="AX546" t="s">
        <v>74</v>
      </c>
      <c r="AY546" t="s">
        <v>74</v>
      </c>
      <c r="AZ546" t="s">
        <v>74</v>
      </c>
      <c r="BA546" t="s">
        <v>74</v>
      </c>
      <c r="BB546">
        <v>373</v>
      </c>
      <c r="BC546">
        <v>391</v>
      </c>
      <c r="BD546" t="s">
        <v>74</v>
      </c>
      <c r="BE546" t="s">
        <v>10409</v>
      </c>
      <c r="BF546" t="str">
        <f>HYPERLINK("http://dx.doi.org/10.3926/jiem.2803","http://dx.doi.org/10.3926/jiem.2803")</f>
        <v>http://dx.doi.org/10.3926/jiem.2803</v>
      </c>
      <c r="BG546" t="s">
        <v>74</v>
      </c>
      <c r="BH546" t="s">
        <v>74</v>
      </c>
      <c r="BI546">
        <v>19</v>
      </c>
      <c r="BJ546" t="s">
        <v>3847</v>
      </c>
      <c r="BK546" t="s">
        <v>124</v>
      </c>
      <c r="BL546" t="s">
        <v>1292</v>
      </c>
      <c r="BM546" t="s">
        <v>10410</v>
      </c>
      <c r="BN546" t="s">
        <v>74</v>
      </c>
      <c r="BO546" t="s">
        <v>150</v>
      </c>
      <c r="BP546" t="s">
        <v>74</v>
      </c>
      <c r="BQ546" t="s">
        <v>74</v>
      </c>
      <c r="BR546" t="s">
        <v>102</v>
      </c>
      <c r="BS546" t="s">
        <v>10411</v>
      </c>
      <c r="BT546" t="str">
        <f>HYPERLINK("https%3A%2F%2Fwww.webofscience.com%2Fwos%2Fwoscc%2Ffull-record%2FWOS:000482751500010","View Full Record in Web of Science")</f>
        <v>View Full Record in Web of Science</v>
      </c>
    </row>
    <row r="547" spans="1:72" x14ac:dyDescent="0.2">
      <c r="A547" t="s">
        <v>72</v>
      </c>
      <c r="B547" t="s">
        <v>10412</v>
      </c>
      <c r="C547" t="s">
        <v>74</v>
      </c>
      <c r="D547" t="s">
        <v>74</v>
      </c>
      <c r="E547" t="s">
        <v>74</v>
      </c>
      <c r="F547" t="s">
        <v>10413</v>
      </c>
      <c r="G547" t="s">
        <v>74</v>
      </c>
      <c r="H547" t="s">
        <v>74</v>
      </c>
      <c r="I547" t="s">
        <v>10414</v>
      </c>
      <c r="J547" t="s">
        <v>10415</v>
      </c>
      <c r="K547" t="s">
        <v>74</v>
      </c>
      <c r="L547" t="s">
        <v>74</v>
      </c>
      <c r="M547" t="s">
        <v>78</v>
      </c>
      <c r="N547" t="s">
        <v>108</v>
      </c>
      <c r="O547" t="s">
        <v>74</v>
      </c>
      <c r="P547" t="s">
        <v>74</v>
      </c>
      <c r="Q547" t="s">
        <v>74</v>
      </c>
      <c r="R547" t="s">
        <v>74</v>
      </c>
      <c r="S547" t="s">
        <v>74</v>
      </c>
      <c r="T547" t="s">
        <v>10416</v>
      </c>
      <c r="U547" t="s">
        <v>10417</v>
      </c>
      <c r="V547" t="s">
        <v>10418</v>
      </c>
      <c r="W547" t="s">
        <v>10419</v>
      </c>
      <c r="X547" t="s">
        <v>10420</v>
      </c>
      <c r="Y547" t="s">
        <v>10421</v>
      </c>
      <c r="Z547" t="s">
        <v>10422</v>
      </c>
      <c r="AA547" t="s">
        <v>10423</v>
      </c>
      <c r="AB547" t="s">
        <v>10424</v>
      </c>
      <c r="AC547" t="s">
        <v>10425</v>
      </c>
      <c r="AD547" t="s">
        <v>10425</v>
      </c>
      <c r="AE547" t="s">
        <v>10426</v>
      </c>
      <c r="AF547" t="s">
        <v>74</v>
      </c>
      <c r="AG547">
        <v>70</v>
      </c>
      <c r="AH547">
        <v>2</v>
      </c>
      <c r="AI547">
        <v>2</v>
      </c>
      <c r="AJ547">
        <v>4</v>
      </c>
      <c r="AK547">
        <v>28</v>
      </c>
      <c r="AL547" t="s">
        <v>279</v>
      </c>
      <c r="AM547" t="s">
        <v>280</v>
      </c>
      <c r="AN547" t="s">
        <v>281</v>
      </c>
      <c r="AO547" t="s">
        <v>10427</v>
      </c>
      <c r="AP547" t="s">
        <v>10428</v>
      </c>
      <c r="AQ547" t="s">
        <v>74</v>
      </c>
      <c r="AR547" t="s">
        <v>10429</v>
      </c>
      <c r="AS547" t="s">
        <v>10430</v>
      </c>
      <c r="AT547" t="s">
        <v>10269</v>
      </c>
      <c r="AU547">
        <v>2022</v>
      </c>
      <c r="AV547">
        <v>22</v>
      </c>
      <c r="AW547">
        <v>3</v>
      </c>
      <c r="AX547" t="s">
        <v>74</v>
      </c>
      <c r="AY547" t="s">
        <v>74</v>
      </c>
      <c r="AZ547" t="s">
        <v>74</v>
      </c>
      <c r="BA547" t="s">
        <v>74</v>
      </c>
      <c r="BB547">
        <v>320</v>
      </c>
      <c r="BC547">
        <v>338</v>
      </c>
      <c r="BD547" t="s">
        <v>74</v>
      </c>
      <c r="BE547" t="s">
        <v>10431</v>
      </c>
      <c r="BF547" t="str">
        <f>HYPERLINK("http://dx.doi.org/10.1080/14693062.2022.2025755","http://dx.doi.org/10.1080/14693062.2022.2025755")</f>
        <v>http://dx.doi.org/10.1080/14693062.2022.2025755</v>
      </c>
      <c r="BG547" t="s">
        <v>74</v>
      </c>
      <c r="BH547" t="s">
        <v>3823</v>
      </c>
      <c r="BI547">
        <v>19</v>
      </c>
      <c r="BJ547" t="s">
        <v>10432</v>
      </c>
      <c r="BK547" t="s">
        <v>242</v>
      </c>
      <c r="BL547" t="s">
        <v>10433</v>
      </c>
      <c r="BM547" t="s">
        <v>10434</v>
      </c>
      <c r="BN547" t="s">
        <v>74</v>
      </c>
      <c r="BO547" t="s">
        <v>359</v>
      </c>
      <c r="BP547" t="s">
        <v>74</v>
      </c>
      <c r="BQ547" t="s">
        <v>74</v>
      </c>
      <c r="BR547" t="s">
        <v>102</v>
      </c>
      <c r="BS547" t="s">
        <v>10435</v>
      </c>
      <c r="BT547" t="str">
        <f>HYPERLINK("https%3A%2F%2Fwww.webofscience.com%2Fwos%2Fwoscc%2Ffull-record%2FWOS:000742234300001","View Full Record in Web of Science")</f>
        <v>View Full Record in Web of Science</v>
      </c>
    </row>
    <row r="548" spans="1:72" x14ac:dyDescent="0.2">
      <c r="A548" t="s">
        <v>72</v>
      </c>
      <c r="B548" t="s">
        <v>10436</v>
      </c>
      <c r="C548" t="s">
        <v>74</v>
      </c>
      <c r="D548" t="s">
        <v>74</v>
      </c>
      <c r="E548" t="s">
        <v>74</v>
      </c>
      <c r="F548" t="s">
        <v>10437</v>
      </c>
      <c r="G548" t="s">
        <v>74</v>
      </c>
      <c r="H548" t="s">
        <v>74</v>
      </c>
      <c r="I548" t="s">
        <v>10438</v>
      </c>
      <c r="J548" t="s">
        <v>10439</v>
      </c>
      <c r="K548" t="s">
        <v>74</v>
      </c>
      <c r="L548" t="s">
        <v>74</v>
      </c>
      <c r="M548" t="s">
        <v>78</v>
      </c>
      <c r="N548" t="s">
        <v>79</v>
      </c>
      <c r="O548" t="s">
        <v>74</v>
      </c>
      <c r="P548" t="s">
        <v>74</v>
      </c>
      <c r="Q548" t="s">
        <v>74</v>
      </c>
      <c r="R548" t="s">
        <v>74</v>
      </c>
      <c r="S548" t="s">
        <v>74</v>
      </c>
      <c r="T548" t="s">
        <v>10440</v>
      </c>
      <c r="U548" t="s">
        <v>10441</v>
      </c>
      <c r="V548" t="s">
        <v>10442</v>
      </c>
      <c r="W548" t="s">
        <v>10443</v>
      </c>
      <c r="X548" t="s">
        <v>10444</v>
      </c>
      <c r="Y548" t="s">
        <v>10445</v>
      </c>
      <c r="Z548" t="s">
        <v>10446</v>
      </c>
      <c r="AA548" t="s">
        <v>10447</v>
      </c>
      <c r="AB548" t="s">
        <v>10448</v>
      </c>
      <c r="AC548" t="s">
        <v>10449</v>
      </c>
      <c r="AD548" t="s">
        <v>10450</v>
      </c>
      <c r="AE548" t="s">
        <v>10451</v>
      </c>
      <c r="AF548" t="s">
        <v>74</v>
      </c>
      <c r="AG548">
        <v>143</v>
      </c>
      <c r="AH548">
        <v>10</v>
      </c>
      <c r="AI548">
        <v>10</v>
      </c>
      <c r="AJ548">
        <v>2</v>
      </c>
      <c r="AK548">
        <v>26</v>
      </c>
      <c r="AL548" t="s">
        <v>666</v>
      </c>
      <c r="AM548" t="s">
        <v>667</v>
      </c>
      <c r="AN548" t="s">
        <v>668</v>
      </c>
      <c r="AO548" t="s">
        <v>74</v>
      </c>
      <c r="AP548" t="s">
        <v>10452</v>
      </c>
      <c r="AQ548" t="s">
        <v>74</v>
      </c>
      <c r="AR548" t="s">
        <v>10453</v>
      </c>
      <c r="AS548" t="s">
        <v>10454</v>
      </c>
      <c r="AT548" t="s">
        <v>74</v>
      </c>
      <c r="AU548">
        <v>2021</v>
      </c>
      <c r="AV548">
        <v>4</v>
      </c>
      <c r="AW548" t="s">
        <v>74</v>
      </c>
      <c r="AX548" t="s">
        <v>74</v>
      </c>
      <c r="AY548" t="s">
        <v>74</v>
      </c>
      <c r="AZ548" t="s">
        <v>74</v>
      </c>
      <c r="BA548" t="s">
        <v>74</v>
      </c>
      <c r="BB548" t="s">
        <v>74</v>
      </c>
      <c r="BC548" t="s">
        <v>74</v>
      </c>
      <c r="BD548">
        <v>576892</v>
      </c>
      <c r="BE548" t="s">
        <v>10455</v>
      </c>
      <c r="BF548" t="str">
        <f>HYPERLINK("http://dx.doi.org/10.3389/frai.2021.576892","http://dx.doi.org/10.3389/frai.2021.576892")</f>
        <v>http://dx.doi.org/10.3389/frai.2021.576892</v>
      </c>
      <c r="BG548" t="s">
        <v>74</v>
      </c>
      <c r="BH548" t="s">
        <v>74</v>
      </c>
      <c r="BI548">
        <v>20</v>
      </c>
      <c r="BJ548" t="s">
        <v>5057</v>
      </c>
      <c r="BK548" t="s">
        <v>124</v>
      </c>
      <c r="BL548" t="s">
        <v>99</v>
      </c>
      <c r="BM548" t="s">
        <v>10456</v>
      </c>
      <c r="BN548">
        <v>34195608</v>
      </c>
      <c r="BO548" t="s">
        <v>10457</v>
      </c>
      <c r="BP548" t="s">
        <v>74</v>
      </c>
      <c r="BQ548" t="s">
        <v>74</v>
      </c>
      <c r="BR548" t="s">
        <v>102</v>
      </c>
      <c r="BS548" t="s">
        <v>10458</v>
      </c>
      <c r="BT548" t="str">
        <f>HYPERLINK("https%3A%2F%2Fwww.webofscience.com%2Fwos%2Fwoscc%2Ffull-record%2FWOS:000751704800011","View Full Record in Web of Science")</f>
        <v>View Full Record in Web of Science</v>
      </c>
    </row>
    <row r="549" spans="1:72" x14ac:dyDescent="0.2">
      <c r="A549" t="s">
        <v>72</v>
      </c>
      <c r="B549" t="s">
        <v>10459</v>
      </c>
      <c r="C549" t="s">
        <v>74</v>
      </c>
      <c r="D549" t="s">
        <v>74</v>
      </c>
      <c r="E549" t="s">
        <v>74</v>
      </c>
      <c r="F549" t="s">
        <v>10460</v>
      </c>
      <c r="G549" t="s">
        <v>74</v>
      </c>
      <c r="H549" t="s">
        <v>74</v>
      </c>
      <c r="I549" t="s">
        <v>10461</v>
      </c>
      <c r="J549" t="s">
        <v>10462</v>
      </c>
      <c r="K549" t="s">
        <v>74</v>
      </c>
      <c r="L549" t="s">
        <v>74</v>
      </c>
      <c r="M549" t="s">
        <v>78</v>
      </c>
      <c r="N549" t="s">
        <v>108</v>
      </c>
      <c r="O549" t="s">
        <v>74</v>
      </c>
      <c r="P549" t="s">
        <v>74</v>
      </c>
      <c r="Q549" t="s">
        <v>74</v>
      </c>
      <c r="R549" t="s">
        <v>74</v>
      </c>
      <c r="S549" t="s">
        <v>74</v>
      </c>
      <c r="T549" t="s">
        <v>10463</v>
      </c>
      <c r="U549" t="s">
        <v>10464</v>
      </c>
      <c r="V549" t="s">
        <v>10465</v>
      </c>
      <c r="W549" t="s">
        <v>10466</v>
      </c>
      <c r="X549" t="s">
        <v>74</v>
      </c>
      <c r="Y549" t="s">
        <v>10467</v>
      </c>
      <c r="Z549" t="s">
        <v>10468</v>
      </c>
      <c r="AA549" t="s">
        <v>74</v>
      </c>
      <c r="AB549" t="s">
        <v>10469</v>
      </c>
      <c r="AC549" t="s">
        <v>74</v>
      </c>
      <c r="AD549" t="s">
        <v>74</v>
      </c>
      <c r="AE549" t="s">
        <v>74</v>
      </c>
      <c r="AF549" t="s">
        <v>74</v>
      </c>
      <c r="AG549">
        <v>71</v>
      </c>
      <c r="AH549">
        <v>24</v>
      </c>
      <c r="AI549">
        <v>24</v>
      </c>
      <c r="AJ549">
        <v>0</v>
      </c>
      <c r="AK549">
        <v>28</v>
      </c>
      <c r="AL549" t="s">
        <v>437</v>
      </c>
      <c r="AM549" t="s">
        <v>438</v>
      </c>
      <c r="AN549" t="s">
        <v>439</v>
      </c>
      <c r="AO549" t="s">
        <v>10470</v>
      </c>
      <c r="AP549" t="s">
        <v>10471</v>
      </c>
      <c r="AQ549" t="s">
        <v>74</v>
      </c>
      <c r="AR549" t="s">
        <v>10472</v>
      </c>
      <c r="AS549" t="s">
        <v>10473</v>
      </c>
      <c r="AT549" t="s">
        <v>10474</v>
      </c>
      <c r="AU549">
        <v>2019</v>
      </c>
      <c r="AV549">
        <v>30</v>
      </c>
      <c r="AW549">
        <v>2</v>
      </c>
      <c r="AX549" t="s">
        <v>74</v>
      </c>
      <c r="AY549" t="s">
        <v>74</v>
      </c>
      <c r="AZ549" t="s">
        <v>74</v>
      </c>
      <c r="BA549" t="s">
        <v>74</v>
      </c>
      <c r="BB549">
        <v>366</v>
      </c>
      <c r="BC549">
        <v>390</v>
      </c>
      <c r="BD549" t="s">
        <v>74</v>
      </c>
      <c r="BE549" t="s">
        <v>10475</v>
      </c>
      <c r="BF549" t="str">
        <f>HYPERLINK("http://dx.doi.org/10.1108/JMTM-06-2018-0167","http://dx.doi.org/10.1108/JMTM-06-2018-0167")</f>
        <v>http://dx.doi.org/10.1108/JMTM-06-2018-0167</v>
      </c>
      <c r="BG549" t="s">
        <v>74</v>
      </c>
      <c r="BH549" t="s">
        <v>74</v>
      </c>
      <c r="BI549">
        <v>25</v>
      </c>
      <c r="BJ549" t="s">
        <v>10476</v>
      </c>
      <c r="BK549" t="s">
        <v>147</v>
      </c>
      <c r="BL549" t="s">
        <v>1217</v>
      </c>
      <c r="BM549" t="s">
        <v>10477</v>
      </c>
      <c r="BN549" t="s">
        <v>74</v>
      </c>
      <c r="BO549" t="s">
        <v>74</v>
      </c>
      <c r="BP549" t="s">
        <v>74</v>
      </c>
      <c r="BQ549" t="s">
        <v>74</v>
      </c>
      <c r="BR549" t="s">
        <v>102</v>
      </c>
      <c r="BS549" t="s">
        <v>10478</v>
      </c>
      <c r="BT549" t="str">
        <f>HYPERLINK("https%3A%2F%2Fwww.webofscience.com%2Fwos%2Fwoscc%2Ffull-record%2FWOS:000459508200005","View Full Record in Web of Science")</f>
        <v>View Full Record in Web of Science</v>
      </c>
    </row>
    <row r="550" spans="1:72" x14ac:dyDescent="0.2">
      <c r="A550" t="s">
        <v>72</v>
      </c>
      <c r="B550" t="s">
        <v>10479</v>
      </c>
      <c r="C550" t="s">
        <v>74</v>
      </c>
      <c r="D550" t="s">
        <v>74</v>
      </c>
      <c r="E550" t="s">
        <v>74</v>
      </c>
      <c r="F550" t="s">
        <v>10480</v>
      </c>
      <c r="G550" t="s">
        <v>74</v>
      </c>
      <c r="H550" t="s">
        <v>74</v>
      </c>
      <c r="I550" t="s">
        <v>10481</v>
      </c>
      <c r="J550" t="s">
        <v>2886</v>
      </c>
      <c r="K550" t="s">
        <v>74</v>
      </c>
      <c r="L550" t="s">
        <v>74</v>
      </c>
      <c r="M550" t="s">
        <v>78</v>
      </c>
      <c r="N550" t="s">
        <v>108</v>
      </c>
      <c r="O550" t="s">
        <v>74</v>
      </c>
      <c r="P550" t="s">
        <v>74</v>
      </c>
      <c r="Q550" t="s">
        <v>74</v>
      </c>
      <c r="R550" t="s">
        <v>74</v>
      </c>
      <c r="S550" t="s">
        <v>74</v>
      </c>
      <c r="T550" t="s">
        <v>10482</v>
      </c>
      <c r="U550" t="s">
        <v>10483</v>
      </c>
      <c r="V550" t="s">
        <v>10484</v>
      </c>
      <c r="W550" t="s">
        <v>10485</v>
      </c>
      <c r="X550" t="s">
        <v>10486</v>
      </c>
      <c r="Y550" t="s">
        <v>10487</v>
      </c>
      <c r="Z550" t="s">
        <v>10488</v>
      </c>
      <c r="AA550" t="s">
        <v>74</v>
      </c>
      <c r="AB550" t="s">
        <v>74</v>
      </c>
      <c r="AC550" t="s">
        <v>74</v>
      </c>
      <c r="AD550" t="s">
        <v>74</v>
      </c>
      <c r="AE550" t="s">
        <v>74</v>
      </c>
      <c r="AF550" t="s">
        <v>74</v>
      </c>
      <c r="AG550">
        <v>94</v>
      </c>
      <c r="AH550">
        <v>1</v>
      </c>
      <c r="AI550">
        <v>1</v>
      </c>
      <c r="AJ550">
        <v>2</v>
      </c>
      <c r="AK550">
        <v>21</v>
      </c>
      <c r="AL550" t="s">
        <v>116</v>
      </c>
      <c r="AM550" t="s">
        <v>117</v>
      </c>
      <c r="AN550" t="s">
        <v>118</v>
      </c>
      <c r="AO550" t="s">
        <v>74</v>
      </c>
      <c r="AP550" t="s">
        <v>2897</v>
      </c>
      <c r="AQ550" t="s">
        <v>74</v>
      </c>
      <c r="AR550" t="s">
        <v>2898</v>
      </c>
      <c r="AS550" t="s">
        <v>2899</v>
      </c>
      <c r="AT550" t="s">
        <v>394</v>
      </c>
      <c r="AU550">
        <v>2021</v>
      </c>
      <c r="AV550">
        <v>11</v>
      </c>
      <c r="AW550">
        <v>18</v>
      </c>
      <c r="AX550" t="s">
        <v>74</v>
      </c>
      <c r="AY550" t="s">
        <v>74</v>
      </c>
      <c r="AZ550" t="s">
        <v>74</v>
      </c>
      <c r="BA550" t="s">
        <v>74</v>
      </c>
      <c r="BB550" t="s">
        <v>74</v>
      </c>
      <c r="BC550" t="s">
        <v>74</v>
      </c>
      <c r="BD550">
        <v>8254</v>
      </c>
      <c r="BE550" t="s">
        <v>10489</v>
      </c>
      <c r="BF550" t="str">
        <f>HYPERLINK("http://dx.doi.org/10.3390/app11188254","http://dx.doi.org/10.3390/app11188254")</f>
        <v>http://dx.doi.org/10.3390/app11188254</v>
      </c>
      <c r="BG550" t="s">
        <v>74</v>
      </c>
      <c r="BH550" t="s">
        <v>74</v>
      </c>
      <c r="BI550">
        <v>23</v>
      </c>
      <c r="BJ550" t="s">
        <v>2902</v>
      </c>
      <c r="BK550" t="s">
        <v>147</v>
      </c>
      <c r="BL550" t="s">
        <v>2903</v>
      </c>
      <c r="BM550" t="s">
        <v>10490</v>
      </c>
      <c r="BN550" t="s">
        <v>74</v>
      </c>
      <c r="BO550" t="s">
        <v>101</v>
      </c>
      <c r="BP550" t="s">
        <v>74</v>
      </c>
      <c r="BQ550" t="s">
        <v>74</v>
      </c>
      <c r="BR550" t="s">
        <v>102</v>
      </c>
      <c r="BS550" t="s">
        <v>10491</v>
      </c>
      <c r="BT550" t="str">
        <f>HYPERLINK("https%3A%2F%2Fwww.webofscience.com%2Fwos%2Fwoscc%2Ffull-record%2FWOS:000699097400001","View Full Record in Web of Science")</f>
        <v>View Full Record in Web of Science</v>
      </c>
    </row>
    <row r="551" spans="1:72" x14ac:dyDescent="0.2">
      <c r="A551" t="s">
        <v>72</v>
      </c>
      <c r="B551" t="s">
        <v>10492</v>
      </c>
      <c r="C551" t="s">
        <v>74</v>
      </c>
      <c r="D551" t="s">
        <v>74</v>
      </c>
      <c r="E551" t="s">
        <v>74</v>
      </c>
      <c r="F551" t="s">
        <v>10493</v>
      </c>
      <c r="G551" t="s">
        <v>74</v>
      </c>
      <c r="H551" t="s">
        <v>74</v>
      </c>
      <c r="I551" t="s">
        <v>10494</v>
      </c>
      <c r="J551" t="s">
        <v>976</v>
      </c>
      <c r="K551" t="s">
        <v>74</v>
      </c>
      <c r="L551" t="s">
        <v>74</v>
      </c>
      <c r="M551" t="s">
        <v>78</v>
      </c>
      <c r="N551" t="s">
        <v>79</v>
      </c>
      <c r="O551" t="s">
        <v>74</v>
      </c>
      <c r="P551" t="s">
        <v>74</v>
      </c>
      <c r="Q551" t="s">
        <v>74</v>
      </c>
      <c r="R551" t="s">
        <v>74</v>
      </c>
      <c r="S551" t="s">
        <v>74</v>
      </c>
      <c r="T551" t="s">
        <v>10495</v>
      </c>
      <c r="U551" t="s">
        <v>10496</v>
      </c>
      <c r="V551" t="s">
        <v>10497</v>
      </c>
      <c r="W551" t="s">
        <v>10498</v>
      </c>
      <c r="X551" t="s">
        <v>10499</v>
      </c>
      <c r="Y551" t="s">
        <v>10500</v>
      </c>
      <c r="Z551" t="s">
        <v>10501</v>
      </c>
      <c r="AA551" t="s">
        <v>10502</v>
      </c>
      <c r="AB551" t="s">
        <v>10503</v>
      </c>
      <c r="AC551" t="s">
        <v>10504</v>
      </c>
      <c r="AD551" t="s">
        <v>10505</v>
      </c>
      <c r="AE551" t="s">
        <v>10506</v>
      </c>
      <c r="AF551" t="s">
        <v>74</v>
      </c>
      <c r="AG551">
        <v>210</v>
      </c>
      <c r="AH551">
        <v>45</v>
      </c>
      <c r="AI551">
        <v>45</v>
      </c>
      <c r="AJ551">
        <v>31</v>
      </c>
      <c r="AK551">
        <v>183</v>
      </c>
      <c r="AL551" t="s">
        <v>259</v>
      </c>
      <c r="AM551" t="s">
        <v>260</v>
      </c>
      <c r="AN551" t="s">
        <v>261</v>
      </c>
      <c r="AO551" t="s">
        <v>989</v>
      </c>
      <c r="AP551" t="s">
        <v>990</v>
      </c>
      <c r="AQ551" t="s">
        <v>74</v>
      </c>
      <c r="AR551" t="s">
        <v>991</v>
      </c>
      <c r="AS551" t="s">
        <v>992</v>
      </c>
      <c r="AT551" t="s">
        <v>10507</v>
      </c>
      <c r="AU551">
        <v>2021</v>
      </c>
      <c r="AV551">
        <v>310</v>
      </c>
      <c r="AW551" t="s">
        <v>74</v>
      </c>
      <c r="AX551" t="s">
        <v>74</v>
      </c>
      <c r="AY551" t="s">
        <v>74</v>
      </c>
      <c r="AZ551" t="s">
        <v>74</v>
      </c>
      <c r="BA551" t="s">
        <v>74</v>
      </c>
      <c r="BB551" t="s">
        <v>74</v>
      </c>
      <c r="BC551" t="s">
        <v>74</v>
      </c>
      <c r="BD551">
        <v>127503</v>
      </c>
      <c r="BE551" t="s">
        <v>10508</v>
      </c>
      <c r="BF551" t="str">
        <f>HYPERLINK("http://dx.doi.org/10.1016/j.jclepro.2021.127503","http://dx.doi.org/10.1016/j.jclepro.2021.127503")</f>
        <v>http://dx.doi.org/10.1016/j.jclepro.2021.127503</v>
      </c>
      <c r="BG551" t="s">
        <v>74</v>
      </c>
      <c r="BH551" t="s">
        <v>1552</v>
      </c>
      <c r="BI551">
        <v>32</v>
      </c>
      <c r="BJ551" t="s">
        <v>995</v>
      </c>
      <c r="BK551" t="s">
        <v>98</v>
      </c>
      <c r="BL551" t="s">
        <v>996</v>
      </c>
      <c r="BM551" t="s">
        <v>10509</v>
      </c>
      <c r="BN551" t="s">
        <v>74</v>
      </c>
      <c r="BO551" t="s">
        <v>74</v>
      </c>
      <c r="BP551" t="s">
        <v>74</v>
      </c>
      <c r="BQ551" t="s">
        <v>74</v>
      </c>
      <c r="BR551" t="s">
        <v>102</v>
      </c>
      <c r="BS551" t="s">
        <v>10510</v>
      </c>
      <c r="BT551" t="str">
        <f>HYPERLINK("https%3A%2F%2Fwww.webofscience.com%2Fwos%2Fwoscc%2Ffull-record%2FWOS:000663764900006","View Full Record in Web of Science")</f>
        <v>View Full Record in Web of Science</v>
      </c>
    </row>
    <row r="552" spans="1:72" x14ac:dyDescent="0.2">
      <c r="A552" t="s">
        <v>72</v>
      </c>
      <c r="B552" t="s">
        <v>10511</v>
      </c>
      <c r="C552" t="s">
        <v>74</v>
      </c>
      <c r="D552" t="s">
        <v>74</v>
      </c>
      <c r="E552" t="s">
        <v>74</v>
      </c>
      <c r="F552" t="s">
        <v>10512</v>
      </c>
      <c r="G552" t="s">
        <v>74</v>
      </c>
      <c r="H552" t="s">
        <v>74</v>
      </c>
      <c r="I552" t="s">
        <v>10513</v>
      </c>
      <c r="J552" t="s">
        <v>2945</v>
      </c>
      <c r="K552" t="s">
        <v>74</v>
      </c>
      <c r="L552" t="s">
        <v>74</v>
      </c>
      <c r="M552" t="s">
        <v>78</v>
      </c>
      <c r="N552" t="s">
        <v>108</v>
      </c>
      <c r="O552" t="s">
        <v>74</v>
      </c>
      <c r="P552" t="s">
        <v>74</v>
      </c>
      <c r="Q552" t="s">
        <v>74</v>
      </c>
      <c r="R552" t="s">
        <v>74</v>
      </c>
      <c r="S552" t="s">
        <v>74</v>
      </c>
      <c r="T552" t="s">
        <v>74</v>
      </c>
      <c r="U552" t="s">
        <v>10514</v>
      </c>
      <c r="V552" t="s">
        <v>10515</v>
      </c>
      <c r="W552" t="s">
        <v>10516</v>
      </c>
      <c r="X552" t="s">
        <v>10517</v>
      </c>
      <c r="Y552" t="s">
        <v>10518</v>
      </c>
      <c r="Z552" t="s">
        <v>10519</v>
      </c>
      <c r="AA552" t="s">
        <v>10520</v>
      </c>
      <c r="AB552" t="s">
        <v>10521</v>
      </c>
      <c r="AC552" t="s">
        <v>10522</v>
      </c>
      <c r="AD552" t="s">
        <v>10523</v>
      </c>
      <c r="AE552" t="s">
        <v>10524</v>
      </c>
      <c r="AF552" t="s">
        <v>74</v>
      </c>
      <c r="AG552">
        <v>32</v>
      </c>
      <c r="AH552">
        <v>18</v>
      </c>
      <c r="AI552">
        <v>18</v>
      </c>
      <c r="AJ552">
        <v>2</v>
      </c>
      <c r="AK552">
        <v>24</v>
      </c>
      <c r="AL552" t="s">
        <v>2952</v>
      </c>
      <c r="AM552" t="s">
        <v>90</v>
      </c>
      <c r="AN552" t="s">
        <v>2953</v>
      </c>
      <c r="AO552" t="s">
        <v>2954</v>
      </c>
      <c r="AP552" t="s">
        <v>2955</v>
      </c>
      <c r="AQ552" t="s">
        <v>74</v>
      </c>
      <c r="AR552" t="s">
        <v>2956</v>
      </c>
      <c r="AS552" t="s">
        <v>2957</v>
      </c>
      <c r="AT552" t="s">
        <v>10525</v>
      </c>
      <c r="AU552">
        <v>2021</v>
      </c>
      <c r="AV552">
        <v>2021</v>
      </c>
      <c r="AW552" t="s">
        <v>74</v>
      </c>
      <c r="AX552" t="s">
        <v>74</v>
      </c>
      <c r="AY552" t="s">
        <v>74</v>
      </c>
      <c r="AZ552" t="s">
        <v>74</v>
      </c>
      <c r="BA552" t="s">
        <v>74</v>
      </c>
      <c r="BB552" t="s">
        <v>74</v>
      </c>
      <c r="BC552" t="s">
        <v>74</v>
      </c>
      <c r="BD552">
        <v>5580179</v>
      </c>
      <c r="BE552" t="s">
        <v>10526</v>
      </c>
      <c r="BF552" t="str">
        <f>HYPERLINK("http://dx.doi.org/10.1155/2021/5580179","http://dx.doi.org/10.1155/2021/5580179")</f>
        <v>http://dx.doi.org/10.1155/2021/5580179</v>
      </c>
      <c r="BG552" t="s">
        <v>74</v>
      </c>
      <c r="BH552" t="s">
        <v>74</v>
      </c>
      <c r="BI552">
        <v>14</v>
      </c>
      <c r="BJ552" t="s">
        <v>2959</v>
      </c>
      <c r="BK552" t="s">
        <v>98</v>
      </c>
      <c r="BL552" t="s">
        <v>2960</v>
      </c>
      <c r="BM552" t="s">
        <v>10527</v>
      </c>
      <c r="BN552" t="s">
        <v>74</v>
      </c>
      <c r="BO552" t="s">
        <v>126</v>
      </c>
      <c r="BP552" t="s">
        <v>74</v>
      </c>
      <c r="BQ552" t="s">
        <v>74</v>
      </c>
      <c r="BR552" t="s">
        <v>102</v>
      </c>
      <c r="BS552" t="s">
        <v>10528</v>
      </c>
      <c r="BT552" t="str">
        <f>HYPERLINK("https%3A%2F%2Fwww.webofscience.com%2Fwos%2Fwoscc%2Ffull-record%2FWOS:000672251700004","View Full Record in Web of Science")</f>
        <v>View Full Record in Web of Science</v>
      </c>
    </row>
    <row r="553" spans="1:72" x14ac:dyDescent="0.2">
      <c r="A553" t="s">
        <v>72</v>
      </c>
      <c r="B553" t="s">
        <v>10529</v>
      </c>
      <c r="C553" t="s">
        <v>74</v>
      </c>
      <c r="D553" t="s">
        <v>74</v>
      </c>
      <c r="E553" t="s">
        <v>74</v>
      </c>
      <c r="F553" t="s">
        <v>10530</v>
      </c>
      <c r="G553" t="s">
        <v>74</v>
      </c>
      <c r="H553" t="s">
        <v>74</v>
      </c>
      <c r="I553" t="s">
        <v>10531</v>
      </c>
      <c r="J553" t="s">
        <v>4673</v>
      </c>
      <c r="K553" t="s">
        <v>74</v>
      </c>
      <c r="L553" t="s">
        <v>74</v>
      </c>
      <c r="M553" t="s">
        <v>78</v>
      </c>
      <c r="N553" t="s">
        <v>79</v>
      </c>
      <c r="O553" t="s">
        <v>74</v>
      </c>
      <c r="P553" t="s">
        <v>74</v>
      </c>
      <c r="Q553" t="s">
        <v>74</v>
      </c>
      <c r="R553" t="s">
        <v>74</v>
      </c>
      <c r="S553" t="s">
        <v>74</v>
      </c>
      <c r="T553" t="s">
        <v>10532</v>
      </c>
      <c r="U553" t="s">
        <v>10533</v>
      </c>
      <c r="V553" t="s">
        <v>10534</v>
      </c>
      <c r="W553" t="s">
        <v>10535</v>
      </c>
      <c r="X553" t="s">
        <v>10536</v>
      </c>
      <c r="Y553" t="s">
        <v>10537</v>
      </c>
      <c r="Z553" t="s">
        <v>10538</v>
      </c>
      <c r="AA553" t="s">
        <v>74</v>
      </c>
      <c r="AB553" t="s">
        <v>10539</v>
      </c>
      <c r="AC553" t="s">
        <v>74</v>
      </c>
      <c r="AD553" t="s">
        <v>74</v>
      </c>
      <c r="AE553" t="s">
        <v>74</v>
      </c>
      <c r="AF553" t="s">
        <v>74</v>
      </c>
      <c r="AG553">
        <v>294</v>
      </c>
      <c r="AH553">
        <v>17</v>
      </c>
      <c r="AI553">
        <v>17</v>
      </c>
      <c r="AJ553">
        <v>75</v>
      </c>
      <c r="AK553">
        <v>171</v>
      </c>
      <c r="AL553" t="s">
        <v>543</v>
      </c>
      <c r="AM553" t="s">
        <v>260</v>
      </c>
      <c r="AN553" t="s">
        <v>544</v>
      </c>
      <c r="AO553" t="s">
        <v>4682</v>
      </c>
      <c r="AP553" t="s">
        <v>6424</v>
      </c>
      <c r="AQ553" t="s">
        <v>74</v>
      </c>
      <c r="AR553" t="s">
        <v>4683</v>
      </c>
      <c r="AS553" t="s">
        <v>4684</v>
      </c>
      <c r="AT553" t="s">
        <v>394</v>
      </c>
      <c r="AU553">
        <v>2022</v>
      </c>
      <c r="AV553">
        <v>165</v>
      </c>
      <c r="AW553" t="s">
        <v>74</v>
      </c>
      <c r="AX553" t="s">
        <v>74</v>
      </c>
      <c r="AY553" t="s">
        <v>74</v>
      </c>
      <c r="AZ553" t="s">
        <v>74</v>
      </c>
      <c r="BA553" t="s">
        <v>74</v>
      </c>
      <c r="BB553" t="s">
        <v>74</v>
      </c>
      <c r="BC553" t="s">
        <v>74</v>
      </c>
      <c r="BD553">
        <v>102837</v>
      </c>
      <c r="BE553" t="s">
        <v>10540</v>
      </c>
      <c r="BF553" t="str">
        <f>HYPERLINK("http://dx.doi.org/10.1016/j.tre.2022.102837","http://dx.doi.org/10.1016/j.tre.2022.102837")</f>
        <v>http://dx.doi.org/10.1016/j.tre.2022.102837</v>
      </c>
      <c r="BG553" t="s">
        <v>74</v>
      </c>
      <c r="BH553" t="s">
        <v>572</v>
      </c>
      <c r="BI553">
        <v>25</v>
      </c>
      <c r="BJ553" t="s">
        <v>4686</v>
      </c>
      <c r="BK553" t="s">
        <v>147</v>
      </c>
      <c r="BL553" t="s">
        <v>4687</v>
      </c>
      <c r="BM553" t="s">
        <v>10541</v>
      </c>
      <c r="BN553" t="s">
        <v>74</v>
      </c>
      <c r="BO553" t="s">
        <v>74</v>
      </c>
      <c r="BP553" t="s">
        <v>74</v>
      </c>
      <c r="BQ553" t="s">
        <v>74</v>
      </c>
      <c r="BR553" t="s">
        <v>102</v>
      </c>
      <c r="BS553" t="s">
        <v>10542</v>
      </c>
      <c r="BT553" t="str">
        <f>HYPERLINK("https%3A%2F%2Fwww.webofscience.com%2Fwos%2Fwoscc%2Ffull-record%2FWOS:000864739500005","View Full Record in Web of Science")</f>
        <v>View Full Record in Web of Science</v>
      </c>
    </row>
    <row r="554" spans="1:72" x14ac:dyDescent="0.2">
      <c r="A554" t="s">
        <v>72</v>
      </c>
      <c r="B554" t="s">
        <v>10543</v>
      </c>
      <c r="C554" t="s">
        <v>74</v>
      </c>
      <c r="D554" t="s">
        <v>74</v>
      </c>
      <c r="E554" t="s">
        <v>74</v>
      </c>
      <c r="F554" t="s">
        <v>10544</v>
      </c>
      <c r="G554" t="s">
        <v>74</v>
      </c>
      <c r="H554" t="s">
        <v>74</v>
      </c>
      <c r="I554" t="s">
        <v>10545</v>
      </c>
      <c r="J554" t="s">
        <v>4384</v>
      </c>
      <c r="K554" t="s">
        <v>74</v>
      </c>
      <c r="L554" t="s">
        <v>74</v>
      </c>
      <c r="M554" t="s">
        <v>78</v>
      </c>
      <c r="N554" t="s">
        <v>108</v>
      </c>
      <c r="O554" t="s">
        <v>74</v>
      </c>
      <c r="P554" t="s">
        <v>74</v>
      </c>
      <c r="Q554" t="s">
        <v>74</v>
      </c>
      <c r="R554" t="s">
        <v>74</v>
      </c>
      <c r="S554" t="s">
        <v>74</v>
      </c>
      <c r="T554" t="s">
        <v>10546</v>
      </c>
      <c r="U554" t="s">
        <v>10547</v>
      </c>
      <c r="V554" t="s">
        <v>10548</v>
      </c>
      <c r="W554" t="s">
        <v>10549</v>
      </c>
      <c r="X554" t="s">
        <v>10550</v>
      </c>
      <c r="Y554" t="s">
        <v>10551</v>
      </c>
      <c r="Z554" t="s">
        <v>10552</v>
      </c>
      <c r="AA554" t="s">
        <v>10553</v>
      </c>
      <c r="AB554" t="s">
        <v>10554</v>
      </c>
      <c r="AC554" t="s">
        <v>10555</v>
      </c>
      <c r="AD554" t="s">
        <v>10556</v>
      </c>
      <c r="AE554" t="s">
        <v>10557</v>
      </c>
      <c r="AF554" t="s">
        <v>74</v>
      </c>
      <c r="AG554">
        <v>50</v>
      </c>
      <c r="AH554">
        <v>0</v>
      </c>
      <c r="AI554">
        <v>0</v>
      </c>
      <c r="AJ554">
        <v>9</v>
      </c>
      <c r="AK554">
        <v>9</v>
      </c>
      <c r="AL554" t="s">
        <v>167</v>
      </c>
      <c r="AM554" t="s">
        <v>168</v>
      </c>
      <c r="AN554" t="s">
        <v>169</v>
      </c>
      <c r="AO554" t="s">
        <v>4393</v>
      </c>
      <c r="AP554" t="s">
        <v>74</v>
      </c>
      <c r="AQ554" t="s">
        <v>74</v>
      </c>
      <c r="AR554" t="s">
        <v>4384</v>
      </c>
      <c r="AS554" t="s">
        <v>4394</v>
      </c>
      <c r="AT554" t="s">
        <v>74</v>
      </c>
      <c r="AU554">
        <v>2023</v>
      </c>
      <c r="AV554">
        <v>11</v>
      </c>
      <c r="AW554" t="s">
        <v>74</v>
      </c>
      <c r="AX554" t="s">
        <v>74</v>
      </c>
      <c r="AY554" t="s">
        <v>74</v>
      </c>
      <c r="AZ554" t="s">
        <v>74</v>
      </c>
      <c r="BA554" t="s">
        <v>74</v>
      </c>
      <c r="BB554">
        <v>43778</v>
      </c>
      <c r="BC554">
        <v>43792</v>
      </c>
      <c r="BD554" t="s">
        <v>74</v>
      </c>
      <c r="BE554" t="s">
        <v>10558</v>
      </c>
      <c r="BF554" t="str">
        <f>HYPERLINK("http://dx.doi.org/10.1109/ACCESS.2023.3272403","http://dx.doi.org/10.1109/ACCESS.2023.3272403")</f>
        <v>http://dx.doi.org/10.1109/ACCESS.2023.3272403</v>
      </c>
      <c r="BG554" t="s">
        <v>74</v>
      </c>
      <c r="BH554" t="s">
        <v>74</v>
      </c>
      <c r="BI554">
        <v>15</v>
      </c>
      <c r="BJ554" t="s">
        <v>2959</v>
      </c>
      <c r="BK554" t="s">
        <v>98</v>
      </c>
      <c r="BL554" t="s">
        <v>2960</v>
      </c>
      <c r="BM554" t="s">
        <v>10559</v>
      </c>
      <c r="BN554" t="s">
        <v>74</v>
      </c>
      <c r="BO554" t="s">
        <v>126</v>
      </c>
      <c r="BP554" t="s">
        <v>74</v>
      </c>
      <c r="BQ554" t="s">
        <v>74</v>
      </c>
      <c r="BR554" t="s">
        <v>102</v>
      </c>
      <c r="BS554" t="s">
        <v>10560</v>
      </c>
      <c r="BT554" t="str">
        <f>HYPERLINK("https%3A%2F%2Fwww.webofscience.com%2Fwos%2Fwoscc%2Ffull-record%2FWOS:000986565800001","View Full Record in Web of Science")</f>
        <v>View Full Record in Web of Science</v>
      </c>
    </row>
    <row r="555" spans="1:72" x14ac:dyDescent="0.2">
      <c r="A555" t="s">
        <v>72</v>
      </c>
      <c r="B555" t="s">
        <v>10561</v>
      </c>
      <c r="C555" t="s">
        <v>74</v>
      </c>
      <c r="D555" t="s">
        <v>74</v>
      </c>
      <c r="E555" t="s">
        <v>74</v>
      </c>
      <c r="F555" t="s">
        <v>10562</v>
      </c>
      <c r="G555" t="s">
        <v>74</v>
      </c>
      <c r="H555" t="s">
        <v>74</v>
      </c>
      <c r="I555" t="s">
        <v>10563</v>
      </c>
      <c r="J555" t="s">
        <v>10564</v>
      </c>
      <c r="K555" t="s">
        <v>74</v>
      </c>
      <c r="L555" t="s">
        <v>74</v>
      </c>
      <c r="M555" t="s">
        <v>78</v>
      </c>
      <c r="N555" t="s">
        <v>108</v>
      </c>
      <c r="O555" t="s">
        <v>74</v>
      </c>
      <c r="P555" t="s">
        <v>74</v>
      </c>
      <c r="Q555" t="s">
        <v>74</v>
      </c>
      <c r="R555" t="s">
        <v>74</v>
      </c>
      <c r="S555" t="s">
        <v>74</v>
      </c>
      <c r="T555" t="s">
        <v>10565</v>
      </c>
      <c r="U555" t="s">
        <v>10566</v>
      </c>
      <c r="V555" t="s">
        <v>10567</v>
      </c>
      <c r="W555" t="s">
        <v>10568</v>
      </c>
      <c r="X555" t="s">
        <v>10569</v>
      </c>
      <c r="Y555" t="s">
        <v>10570</v>
      </c>
      <c r="Z555" t="s">
        <v>74</v>
      </c>
      <c r="AA555" t="s">
        <v>74</v>
      </c>
      <c r="AB555" t="s">
        <v>74</v>
      </c>
      <c r="AC555" t="s">
        <v>10571</v>
      </c>
      <c r="AD555" t="s">
        <v>10572</v>
      </c>
      <c r="AE555" t="s">
        <v>10573</v>
      </c>
      <c r="AF555" t="s">
        <v>74</v>
      </c>
      <c r="AG555">
        <v>50</v>
      </c>
      <c r="AH555">
        <v>0</v>
      </c>
      <c r="AI555">
        <v>0</v>
      </c>
      <c r="AJ555">
        <v>8</v>
      </c>
      <c r="AK555">
        <v>8</v>
      </c>
      <c r="AL555" t="s">
        <v>3066</v>
      </c>
      <c r="AM555" t="s">
        <v>3067</v>
      </c>
      <c r="AN555" t="s">
        <v>3068</v>
      </c>
      <c r="AO555" t="s">
        <v>10574</v>
      </c>
      <c r="AP555" t="s">
        <v>10575</v>
      </c>
      <c r="AQ555" t="s">
        <v>74</v>
      </c>
      <c r="AR555" t="s">
        <v>10576</v>
      </c>
      <c r="AS555" t="s">
        <v>10577</v>
      </c>
      <c r="AT555" t="s">
        <v>216</v>
      </c>
      <c r="AU555">
        <v>2022</v>
      </c>
      <c r="AV555">
        <v>34</v>
      </c>
      <c r="AW555">
        <v>8</v>
      </c>
      <c r="AX555" t="s">
        <v>74</v>
      </c>
      <c r="AY555" t="s">
        <v>74</v>
      </c>
      <c r="AZ555" t="s">
        <v>74</v>
      </c>
      <c r="BA555" t="s">
        <v>74</v>
      </c>
      <c r="BB555" t="s">
        <v>74</v>
      </c>
      <c r="BC555" t="s">
        <v>74</v>
      </c>
      <c r="BD555" t="s">
        <v>74</v>
      </c>
      <c r="BE555" t="s">
        <v>10578</v>
      </c>
      <c r="BF555" t="str">
        <f>HYPERLINK("http://dx.doi.org/10.4018/JOEUC.316667","http://dx.doi.org/10.4018/JOEUC.316667")</f>
        <v>http://dx.doi.org/10.4018/JOEUC.316667</v>
      </c>
      <c r="BG555" t="s">
        <v>74</v>
      </c>
      <c r="BH555" t="s">
        <v>74</v>
      </c>
      <c r="BI555">
        <v>1</v>
      </c>
      <c r="BJ555" t="s">
        <v>10579</v>
      </c>
      <c r="BK555" t="s">
        <v>147</v>
      </c>
      <c r="BL555" t="s">
        <v>4143</v>
      </c>
      <c r="BM555" t="s">
        <v>10580</v>
      </c>
      <c r="BN555" t="s">
        <v>74</v>
      </c>
      <c r="BO555" t="s">
        <v>126</v>
      </c>
      <c r="BP555" t="s">
        <v>74</v>
      </c>
      <c r="BQ555" t="s">
        <v>74</v>
      </c>
      <c r="BR555" t="s">
        <v>102</v>
      </c>
      <c r="BS555" t="s">
        <v>10581</v>
      </c>
      <c r="BT555" t="str">
        <f>HYPERLINK("https%3A%2F%2Fwww.webofscience.com%2Fwos%2Fwoscc%2Ffull-record%2FWOS:000948679800004","View Full Record in Web of Science")</f>
        <v>View Full Record in Web of Science</v>
      </c>
    </row>
    <row r="556" spans="1:72" x14ac:dyDescent="0.2">
      <c r="A556" t="s">
        <v>72</v>
      </c>
      <c r="B556" t="s">
        <v>10582</v>
      </c>
      <c r="C556" t="s">
        <v>74</v>
      </c>
      <c r="D556" t="s">
        <v>74</v>
      </c>
      <c r="E556" t="s">
        <v>74</v>
      </c>
      <c r="F556" t="s">
        <v>10582</v>
      </c>
      <c r="G556" t="s">
        <v>74</v>
      </c>
      <c r="H556" t="s">
        <v>74</v>
      </c>
      <c r="I556" t="s">
        <v>10583</v>
      </c>
      <c r="J556" t="s">
        <v>578</v>
      </c>
      <c r="K556" t="s">
        <v>74</v>
      </c>
      <c r="L556" t="s">
        <v>74</v>
      </c>
      <c r="M556" t="s">
        <v>78</v>
      </c>
      <c r="N556" t="s">
        <v>108</v>
      </c>
      <c r="O556" t="s">
        <v>74</v>
      </c>
      <c r="P556" t="s">
        <v>74</v>
      </c>
      <c r="Q556" t="s">
        <v>74</v>
      </c>
      <c r="R556" t="s">
        <v>74</v>
      </c>
      <c r="S556" t="s">
        <v>74</v>
      </c>
      <c r="T556" t="s">
        <v>10584</v>
      </c>
      <c r="U556" t="s">
        <v>10585</v>
      </c>
      <c r="V556" t="s">
        <v>10586</v>
      </c>
      <c r="W556" t="s">
        <v>10587</v>
      </c>
      <c r="X556" t="s">
        <v>10588</v>
      </c>
      <c r="Y556" t="s">
        <v>10589</v>
      </c>
      <c r="Z556" t="s">
        <v>10590</v>
      </c>
      <c r="AA556" t="s">
        <v>74</v>
      </c>
      <c r="AB556" t="s">
        <v>74</v>
      </c>
      <c r="AC556" t="s">
        <v>74</v>
      </c>
      <c r="AD556" t="s">
        <v>74</v>
      </c>
      <c r="AE556" t="s">
        <v>74</v>
      </c>
      <c r="AF556" t="s">
        <v>74</v>
      </c>
      <c r="AG556">
        <v>38</v>
      </c>
      <c r="AH556">
        <v>181</v>
      </c>
      <c r="AI556">
        <v>191</v>
      </c>
      <c r="AJ556">
        <v>4</v>
      </c>
      <c r="AK556">
        <v>96</v>
      </c>
      <c r="AL556" t="s">
        <v>209</v>
      </c>
      <c r="AM556" t="s">
        <v>210</v>
      </c>
      <c r="AN556" t="s">
        <v>211</v>
      </c>
      <c r="AO556" t="s">
        <v>586</v>
      </c>
      <c r="AP556" t="s">
        <v>587</v>
      </c>
      <c r="AQ556" t="s">
        <v>74</v>
      </c>
      <c r="AR556" t="s">
        <v>578</v>
      </c>
      <c r="AS556" t="s">
        <v>588</v>
      </c>
      <c r="AT556" t="s">
        <v>372</v>
      </c>
      <c r="AU556">
        <v>2005</v>
      </c>
      <c r="AV556">
        <v>25</v>
      </c>
      <c r="AW556">
        <v>1</v>
      </c>
      <c r="AX556" t="s">
        <v>74</v>
      </c>
      <c r="AY556" t="s">
        <v>74</v>
      </c>
      <c r="AZ556" t="s">
        <v>74</v>
      </c>
      <c r="BA556" t="s">
        <v>74</v>
      </c>
      <c r="BB556">
        <v>33</v>
      </c>
      <c r="BC556">
        <v>43</v>
      </c>
      <c r="BD556" t="s">
        <v>74</v>
      </c>
      <c r="BE556" t="s">
        <v>10591</v>
      </c>
      <c r="BF556" t="str">
        <f>HYPERLINK("http://dx.doi.org/10.1016/S0166-4972(03)00068-3","http://dx.doi.org/10.1016/S0166-4972(03)00068-3")</f>
        <v>http://dx.doi.org/10.1016/S0166-4972(03)00068-3</v>
      </c>
      <c r="BG556" t="s">
        <v>74</v>
      </c>
      <c r="BH556" t="s">
        <v>74</v>
      </c>
      <c r="BI556">
        <v>11</v>
      </c>
      <c r="BJ556" t="s">
        <v>591</v>
      </c>
      <c r="BK556" t="s">
        <v>147</v>
      </c>
      <c r="BL556" t="s">
        <v>592</v>
      </c>
      <c r="BM556" t="s">
        <v>10592</v>
      </c>
      <c r="BN556" t="s">
        <v>74</v>
      </c>
      <c r="BO556" t="s">
        <v>74</v>
      </c>
      <c r="BP556" t="s">
        <v>74</v>
      </c>
      <c r="BQ556" t="s">
        <v>74</v>
      </c>
      <c r="BR556" t="s">
        <v>102</v>
      </c>
      <c r="BS556" t="s">
        <v>10593</v>
      </c>
      <c r="BT556" t="str">
        <f>HYPERLINK("https%3A%2F%2Fwww.webofscience.com%2Fwos%2Fwoscc%2Ffull-record%2FWOS:000225935000004","View Full Record in Web of Science")</f>
        <v>View Full Record in Web of Science</v>
      </c>
    </row>
    <row r="557" spans="1:72" x14ac:dyDescent="0.2">
      <c r="A557" t="s">
        <v>72</v>
      </c>
      <c r="B557" t="s">
        <v>10594</v>
      </c>
      <c r="C557" t="s">
        <v>74</v>
      </c>
      <c r="D557" t="s">
        <v>74</v>
      </c>
      <c r="E557" t="s">
        <v>74</v>
      </c>
      <c r="F557" t="s">
        <v>10595</v>
      </c>
      <c r="G557" t="s">
        <v>74</v>
      </c>
      <c r="H557" t="s">
        <v>74</v>
      </c>
      <c r="I557" t="s">
        <v>10596</v>
      </c>
      <c r="J557" t="s">
        <v>10597</v>
      </c>
      <c r="K557" t="s">
        <v>74</v>
      </c>
      <c r="L557" t="s">
        <v>74</v>
      </c>
      <c r="M557" t="s">
        <v>78</v>
      </c>
      <c r="N557" t="s">
        <v>108</v>
      </c>
      <c r="O557" t="s">
        <v>74</v>
      </c>
      <c r="P557" t="s">
        <v>74</v>
      </c>
      <c r="Q557" t="s">
        <v>74</v>
      </c>
      <c r="R557" t="s">
        <v>74</v>
      </c>
      <c r="S557" t="s">
        <v>74</v>
      </c>
      <c r="T557" t="s">
        <v>10598</v>
      </c>
      <c r="U557" t="s">
        <v>10599</v>
      </c>
      <c r="V557" t="s">
        <v>10600</v>
      </c>
      <c r="W557" t="s">
        <v>10601</v>
      </c>
      <c r="X557" t="s">
        <v>10602</v>
      </c>
      <c r="Y557" t="s">
        <v>10603</v>
      </c>
      <c r="Z557" t="s">
        <v>10604</v>
      </c>
      <c r="AA557" t="s">
        <v>10605</v>
      </c>
      <c r="AB557" t="s">
        <v>10606</v>
      </c>
      <c r="AC557" t="s">
        <v>10607</v>
      </c>
      <c r="AD557" t="s">
        <v>10608</v>
      </c>
      <c r="AE557" t="s">
        <v>10609</v>
      </c>
      <c r="AF557" t="s">
        <v>74</v>
      </c>
      <c r="AG557">
        <v>42</v>
      </c>
      <c r="AH557">
        <v>2</v>
      </c>
      <c r="AI557">
        <v>2</v>
      </c>
      <c r="AJ557">
        <v>8</v>
      </c>
      <c r="AK557">
        <v>18</v>
      </c>
      <c r="AL557" t="s">
        <v>409</v>
      </c>
      <c r="AM557" t="s">
        <v>410</v>
      </c>
      <c r="AN557" t="s">
        <v>411</v>
      </c>
      <c r="AO557" t="s">
        <v>10610</v>
      </c>
      <c r="AP557" t="s">
        <v>10611</v>
      </c>
      <c r="AQ557" t="s">
        <v>74</v>
      </c>
      <c r="AR557" t="s">
        <v>10612</v>
      </c>
      <c r="AS557" t="s">
        <v>10613</v>
      </c>
      <c r="AT557" t="s">
        <v>372</v>
      </c>
      <c r="AU557">
        <v>2023</v>
      </c>
      <c r="AV557">
        <v>46</v>
      </c>
      <c r="AW557">
        <v>1</v>
      </c>
      <c r="AX557" t="s">
        <v>74</v>
      </c>
      <c r="AY557" t="s">
        <v>74</v>
      </c>
      <c r="AZ557" t="s">
        <v>74</v>
      </c>
      <c r="BA557" t="s">
        <v>74</v>
      </c>
      <c r="BB557" t="s">
        <v>74</v>
      </c>
      <c r="BC557" t="s">
        <v>74</v>
      </c>
      <c r="BD557" t="s">
        <v>74</v>
      </c>
      <c r="BE557" t="s">
        <v>10614</v>
      </c>
      <c r="BF557" t="str">
        <f>HYPERLINK("http://dx.doi.org/10.1111/jfpe.14186","http://dx.doi.org/10.1111/jfpe.14186")</f>
        <v>http://dx.doi.org/10.1111/jfpe.14186</v>
      </c>
      <c r="BG557" t="s">
        <v>74</v>
      </c>
      <c r="BH557" t="s">
        <v>590</v>
      </c>
      <c r="BI557">
        <v>10</v>
      </c>
      <c r="BJ557" t="s">
        <v>4710</v>
      </c>
      <c r="BK557" t="s">
        <v>98</v>
      </c>
      <c r="BL557" t="s">
        <v>4711</v>
      </c>
      <c r="BM557" t="s">
        <v>10615</v>
      </c>
      <c r="BN557" t="s">
        <v>74</v>
      </c>
      <c r="BO557" t="s">
        <v>74</v>
      </c>
      <c r="BP557" t="s">
        <v>74</v>
      </c>
      <c r="BQ557" t="s">
        <v>74</v>
      </c>
      <c r="BR557" t="s">
        <v>102</v>
      </c>
      <c r="BS557" t="s">
        <v>10616</v>
      </c>
      <c r="BT557" t="str">
        <f>HYPERLINK("https%3A%2F%2Fwww.webofscience.com%2Fwos%2Fwoscc%2Ffull-record%2FWOS:000870914700001","View Full Record in Web of Science")</f>
        <v>View Full Record in Web of Science</v>
      </c>
    </row>
    <row r="558" spans="1:72" x14ac:dyDescent="0.2">
      <c r="A558" t="s">
        <v>72</v>
      </c>
      <c r="B558" t="s">
        <v>10617</v>
      </c>
      <c r="C558" t="s">
        <v>74</v>
      </c>
      <c r="D558" t="s">
        <v>74</v>
      </c>
      <c r="E558" t="s">
        <v>74</v>
      </c>
      <c r="F558" t="s">
        <v>10618</v>
      </c>
      <c r="G558" t="s">
        <v>74</v>
      </c>
      <c r="H558" t="s">
        <v>74</v>
      </c>
      <c r="I558" t="s">
        <v>10619</v>
      </c>
      <c r="J558" t="s">
        <v>7039</v>
      </c>
      <c r="K558" t="s">
        <v>74</v>
      </c>
      <c r="L558" t="s">
        <v>74</v>
      </c>
      <c r="M558" t="s">
        <v>78</v>
      </c>
      <c r="N558" t="s">
        <v>108</v>
      </c>
      <c r="O558" t="s">
        <v>74</v>
      </c>
      <c r="P558" t="s">
        <v>74</v>
      </c>
      <c r="Q558" t="s">
        <v>74</v>
      </c>
      <c r="R558" t="s">
        <v>74</v>
      </c>
      <c r="S558" t="s">
        <v>74</v>
      </c>
      <c r="T558" t="s">
        <v>10620</v>
      </c>
      <c r="U558" t="s">
        <v>10621</v>
      </c>
      <c r="V558" t="s">
        <v>10622</v>
      </c>
      <c r="W558" t="s">
        <v>10623</v>
      </c>
      <c r="X558" t="s">
        <v>10624</v>
      </c>
      <c r="Y558" t="s">
        <v>10625</v>
      </c>
      <c r="Z558" t="s">
        <v>10626</v>
      </c>
      <c r="AA558" t="s">
        <v>74</v>
      </c>
      <c r="AB558" t="s">
        <v>74</v>
      </c>
      <c r="AC558" t="s">
        <v>10627</v>
      </c>
      <c r="AD558" t="s">
        <v>10628</v>
      </c>
      <c r="AE558" t="s">
        <v>10629</v>
      </c>
      <c r="AF558" t="s">
        <v>74</v>
      </c>
      <c r="AG558">
        <v>30</v>
      </c>
      <c r="AH558">
        <v>1</v>
      </c>
      <c r="AI558">
        <v>1</v>
      </c>
      <c r="AJ558">
        <v>4</v>
      </c>
      <c r="AK558">
        <v>4</v>
      </c>
      <c r="AL558" t="s">
        <v>167</v>
      </c>
      <c r="AM558" t="s">
        <v>168</v>
      </c>
      <c r="AN558" t="s">
        <v>169</v>
      </c>
      <c r="AO558" t="s">
        <v>7051</v>
      </c>
      <c r="AP558" t="s">
        <v>7052</v>
      </c>
      <c r="AQ558" t="s">
        <v>74</v>
      </c>
      <c r="AR558" t="s">
        <v>7053</v>
      </c>
      <c r="AS558" t="s">
        <v>7054</v>
      </c>
      <c r="AT558" t="s">
        <v>616</v>
      </c>
      <c r="AU558">
        <v>2023</v>
      </c>
      <c r="AV558">
        <v>19</v>
      </c>
      <c r="AW558">
        <v>3</v>
      </c>
      <c r="AX558" t="s">
        <v>74</v>
      </c>
      <c r="AY558" t="s">
        <v>74</v>
      </c>
      <c r="AZ558" t="s">
        <v>74</v>
      </c>
      <c r="BA558" t="s">
        <v>74</v>
      </c>
      <c r="BB558">
        <v>3310</v>
      </c>
      <c r="BC558">
        <v>3320</v>
      </c>
      <c r="BD558" t="s">
        <v>74</v>
      </c>
      <c r="BE558" t="s">
        <v>10630</v>
      </c>
      <c r="BF558" t="str">
        <f>HYPERLINK("http://dx.doi.org/10.1109/TII.2022.3152809","http://dx.doi.org/10.1109/TII.2022.3152809")</f>
        <v>http://dx.doi.org/10.1109/TII.2022.3152809</v>
      </c>
      <c r="BG558" t="s">
        <v>74</v>
      </c>
      <c r="BH558" t="s">
        <v>74</v>
      </c>
      <c r="BI558">
        <v>11</v>
      </c>
      <c r="BJ558" t="s">
        <v>7056</v>
      </c>
      <c r="BK558" t="s">
        <v>98</v>
      </c>
      <c r="BL558" t="s">
        <v>4802</v>
      </c>
      <c r="BM558" t="s">
        <v>10631</v>
      </c>
      <c r="BN558" t="s">
        <v>74</v>
      </c>
      <c r="BO558" t="s">
        <v>74</v>
      </c>
      <c r="BP558" t="s">
        <v>74</v>
      </c>
      <c r="BQ558" t="s">
        <v>74</v>
      </c>
      <c r="BR558" t="s">
        <v>102</v>
      </c>
      <c r="BS558" t="s">
        <v>10632</v>
      </c>
      <c r="BT558" t="str">
        <f>HYPERLINK("https%3A%2F%2Fwww.webofscience.com%2Fwos%2Fwoscc%2Ffull-record%2FWOS:000965679400001","View Full Record in Web of Science")</f>
        <v>View Full Record in Web of Science</v>
      </c>
    </row>
    <row r="559" spans="1:72" x14ac:dyDescent="0.2">
      <c r="A559" t="s">
        <v>72</v>
      </c>
      <c r="B559" t="s">
        <v>10633</v>
      </c>
      <c r="C559" t="s">
        <v>74</v>
      </c>
      <c r="D559" t="s">
        <v>74</v>
      </c>
      <c r="E559" t="s">
        <v>74</v>
      </c>
      <c r="F559" t="s">
        <v>10634</v>
      </c>
      <c r="G559" t="s">
        <v>74</v>
      </c>
      <c r="H559" t="s">
        <v>74</v>
      </c>
      <c r="I559" t="s">
        <v>10635</v>
      </c>
      <c r="J559" t="s">
        <v>762</v>
      </c>
      <c r="K559" t="s">
        <v>74</v>
      </c>
      <c r="L559" t="s">
        <v>74</v>
      </c>
      <c r="M559" t="s">
        <v>78</v>
      </c>
      <c r="N559" t="s">
        <v>917</v>
      </c>
      <c r="O559" t="s">
        <v>74</v>
      </c>
      <c r="P559" t="s">
        <v>74</v>
      </c>
      <c r="Q559" t="s">
        <v>74</v>
      </c>
      <c r="R559" t="s">
        <v>74</v>
      </c>
      <c r="S559" t="s">
        <v>74</v>
      </c>
      <c r="T559" t="s">
        <v>10636</v>
      </c>
      <c r="U559" t="s">
        <v>10637</v>
      </c>
      <c r="V559" t="s">
        <v>10638</v>
      </c>
      <c r="W559" t="s">
        <v>10639</v>
      </c>
      <c r="X559" t="s">
        <v>10640</v>
      </c>
      <c r="Y559" t="s">
        <v>10641</v>
      </c>
      <c r="Z559" t="s">
        <v>10642</v>
      </c>
      <c r="AA559" t="s">
        <v>10643</v>
      </c>
      <c r="AB559" t="s">
        <v>10644</v>
      </c>
      <c r="AC559" t="s">
        <v>10645</v>
      </c>
      <c r="AD559" t="s">
        <v>10646</v>
      </c>
      <c r="AE559" t="s">
        <v>10647</v>
      </c>
      <c r="AF559" t="s">
        <v>74</v>
      </c>
      <c r="AG559">
        <v>57</v>
      </c>
      <c r="AH559">
        <v>0</v>
      </c>
      <c r="AI559">
        <v>0</v>
      </c>
      <c r="AJ559">
        <v>13</v>
      </c>
      <c r="AK559">
        <v>13</v>
      </c>
      <c r="AL559" t="s">
        <v>279</v>
      </c>
      <c r="AM559" t="s">
        <v>280</v>
      </c>
      <c r="AN559" t="s">
        <v>281</v>
      </c>
      <c r="AO559" t="s">
        <v>773</v>
      </c>
      <c r="AP559" t="s">
        <v>774</v>
      </c>
      <c r="AQ559" t="s">
        <v>74</v>
      </c>
      <c r="AR559" t="s">
        <v>775</v>
      </c>
      <c r="AS559" t="s">
        <v>776</v>
      </c>
      <c r="AT559" t="s">
        <v>10648</v>
      </c>
      <c r="AU559">
        <v>2023</v>
      </c>
      <c r="AV559" t="s">
        <v>74</v>
      </c>
      <c r="AW559" t="s">
        <v>74</v>
      </c>
      <c r="AX559" t="s">
        <v>74</v>
      </c>
      <c r="AY559" t="s">
        <v>74</v>
      </c>
      <c r="AZ559" t="s">
        <v>74</v>
      </c>
      <c r="BA559" t="s">
        <v>74</v>
      </c>
      <c r="BB559" t="s">
        <v>74</v>
      </c>
      <c r="BC559" t="s">
        <v>74</v>
      </c>
      <c r="BD559" t="s">
        <v>74</v>
      </c>
      <c r="BE559" t="s">
        <v>10649</v>
      </c>
      <c r="BF559" t="str">
        <f>HYPERLINK("http://dx.doi.org/10.1080/00207543.2023.2182148","http://dx.doi.org/10.1080/00207543.2023.2182148")</f>
        <v>http://dx.doi.org/10.1080/00207543.2023.2182148</v>
      </c>
      <c r="BG559" t="s">
        <v>74</v>
      </c>
      <c r="BH559" t="s">
        <v>355</v>
      </c>
      <c r="BI559">
        <v>18</v>
      </c>
      <c r="BJ559" t="s">
        <v>780</v>
      </c>
      <c r="BK559" t="s">
        <v>98</v>
      </c>
      <c r="BL559" t="s">
        <v>781</v>
      </c>
      <c r="BM559" t="s">
        <v>10650</v>
      </c>
      <c r="BN559" t="s">
        <v>74</v>
      </c>
      <c r="BO559" t="s">
        <v>74</v>
      </c>
      <c r="BP559" t="s">
        <v>74</v>
      </c>
      <c r="BQ559" t="s">
        <v>74</v>
      </c>
      <c r="BR559" t="s">
        <v>102</v>
      </c>
      <c r="BS559" t="s">
        <v>10651</v>
      </c>
      <c r="BT559" t="str">
        <f>HYPERLINK("https%3A%2F%2Fwww.webofscience.com%2Fwos%2Fwoscc%2Ffull-record%2FWOS:000963752500001","View Full Record in Web of Science")</f>
        <v>View Full Record in Web of Science</v>
      </c>
    </row>
    <row r="560" spans="1:72" x14ac:dyDescent="0.2">
      <c r="A560" t="s">
        <v>72</v>
      </c>
      <c r="B560" t="s">
        <v>10652</v>
      </c>
      <c r="C560" t="s">
        <v>74</v>
      </c>
      <c r="D560" t="s">
        <v>74</v>
      </c>
      <c r="E560" t="s">
        <v>74</v>
      </c>
      <c r="F560" t="s">
        <v>10653</v>
      </c>
      <c r="G560" t="s">
        <v>74</v>
      </c>
      <c r="H560" t="s">
        <v>74</v>
      </c>
      <c r="I560" t="s">
        <v>10654</v>
      </c>
      <c r="J560" t="s">
        <v>10655</v>
      </c>
      <c r="K560" t="s">
        <v>74</v>
      </c>
      <c r="L560" t="s">
        <v>74</v>
      </c>
      <c r="M560" t="s">
        <v>78</v>
      </c>
      <c r="N560" t="s">
        <v>108</v>
      </c>
      <c r="O560" t="s">
        <v>74</v>
      </c>
      <c r="P560" t="s">
        <v>74</v>
      </c>
      <c r="Q560" t="s">
        <v>74</v>
      </c>
      <c r="R560" t="s">
        <v>74</v>
      </c>
      <c r="S560" t="s">
        <v>74</v>
      </c>
      <c r="T560" t="s">
        <v>10656</v>
      </c>
      <c r="U560" t="s">
        <v>10657</v>
      </c>
      <c r="V560" t="s">
        <v>10658</v>
      </c>
      <c r="W560" t="s">
        <v>10659</v>
      </c>
      <c r="X560" t="s">
        <v>10660</v>
      </c>
      <c r="Y560" t="s">
        <v>10661</v>
      </c>
      <c r="Z560" t="s">
        <v>10662</v>
      </c>
      <c r="AA560" t="s">
        <v>10663</v>
      </c>
      <c r="AB560" t="s">
        <v>10664</v>
      </c>
      <c r="AC560" t="s">
        <v>74</v>
      </c>
      <c r="AD560" t="s">
        <v>74</v>
      </c>
      <c r="AE560" t="s">
        <v>74</v>
      </c>
      <c r="AF560" t="s">
        <v>74</v>
      </c>
      <c r="AG560">
        <v>79</v>
      </c>
      <c r="AH560">
        <v>53</v>
      </c>
      <c r="AI560">
        <v>55</v>
      </c>
      <c r="AJ560">
        <v>5</v>
      </c>
      <c r="AK560">
        <v>149</v>
      </c>
      <c r="AL560" t="s">
        <v>10665</v>
      </c>
      <c r="AM560" t="s">
        <v>10666</v>
      </c>
      <c r="AN560" t="s">
        <v>10667</v>
      </c>
      <c r="AO560" t="s">
        <v>10668</v>
      </c>
      <c r="AP560" t="s">
        <v>10669</v>
      </c>
      <c r="AQ560" t="s">
        <v>74</v>
      </c>
      <c r="AR560" t="s">
        <v>10670</v>
      </c>
      <c r="AS560" t="s">
        <v>10671</v>
      </c>
      <c r="AT560" t="s">
        <v>10672</v>
      </c>
      <c r="AU560">
        <v>2013</v>
      </c>
      <c r="AV560">
        <v>44</v>
      </c>
      <c r="AW560">
        <v>5</v>
      </c>
      <c r="AX560" t="s">
        <v>74</v>
      </c>
      <c r="AY560" t="s">
        <v>74</v>
      </c>
      <c r="AZ560" t="s">
        <v>570</v>
      </c>
      <c r="BA560" t="s">
        <v>74</v>
      </c>
      <c r="BB560">
        <v>475</v>
      </c>
      <c r="BC560">
        <v>503</v>
      </c>
      <c r="BD560" t="s">
        <v>74</v>
      </c>
      <c r="BE560" t="s">
        <v>10673</v>
      </c>
      <c r="BF560" t="str">
        <f>HYPERLINK("http://dx.doi.org/10.1057/jibs.2013.10","http://dx.doi.org/10.1057/jibs.2013.10")</f>
        <v>http://dx.doi.org/10.1057/jibs.2013.10</v>
      </c>
      <c r="BG560" t="s">
        <v>74</v>
      </c>
      <c r="BH560" t="s">
        <v>74</v>
      </c>
      <c r="BI560">
        <v>29</v>
      </c>
      <c r="BJ560" t="s">
        <v>849</v>
      </c>
      <c r="BK560" t="s">
        <v>242</v>
      </c>
      <c r="BL560" t="s">
        <v>419</v>
      </c>
      <c r="BM560" t="s">
        <v>10674</v>
      </c>
      <c r="BN560" t="s">
        <v>74</v>
      </c>
      <c r="BO560" t="s">
        <v>2309</v>
      </c>
      <c r="BP560" t="s">
        <v>74</v>
      </c>
      <c r="BQ560" t="s">
        <v>74</v>
      </c>
      <c r="BR560" t="s">
        <v>102</v>
      </c>
      <c r="BS560" t="s">
        <v>10675</v>
      </c>
      <c r="BT560" t="str">
        <f>HYPERLINK("https%3A%2F%2Fwww.webofscience.com%2Fwos%2Fwoscc%2Ffull-record%2FWOS:000320715800004","View Full Record in Web of Science")</f>
        <v>View Full Record in Web of Science</v>
      </c>
    </row>
    <row r="561" spans="1:72" x14ac:dyDescent="0.2">
      <c r="A561" t="s">
        <v>72</v>
      </c>
      <c r="B561" t="s">
        <v>10676</v>
      </c>
      <c r="C561" t="s">
        <v>74</v>
      </c>
      <c r="D561" t="s">
        <v>74</v>
      </c>
      <c r="E561" t="s">
        <v>74</v>
      </c>
      <c r="F561" t="s">
        <v>10677</v>
      </c>
      <c r="G561" t="s">
        <v>74</v>
      </c>
      <c r="H561" t="s">
        <v>74</v>
      </c>
      <c r="I561" t="s">
        <v>10678</v>
      </c>
      <c r="J561" t="s">
        <v>6228</v>
      </c>
      <c r="K561" t="s">
        <v>74</v>
      </c>
      <c r="L561" t="s">
        <v>74</v>
      </c>
      <c r="M561" t="s">
        <v>78</v>
      </c>
      <c r="N561" t="s">
        <v>108</v>
      </c>
      <c r="O561" t="s">
        <v>74</v>
      </c>
      <c r="P561" t="s">
        <v>74</v>
      </c>
      <c r="Q561" t="s">
        <v>74</v>
      </c>
      <c r="R561" t="s">
        <v>74</v>
      </c>
      <c r="S561" t="s">
        <v>74</v>
      </c>
      <c r="T561" t="s">
        <v>10679</v>
      </c>
      <c r="U561" t="s">
        <v>10680</v>
      </c>
      <c r="V561" t="s">
        <v>10681</v>
      </c>
      <c r="W561" t="s">
        <v>10682</v>
      </c>
      <c r="X561" t="s">
        <v>10683</v>
      </c>
      <c r="Y561" t="s">
        <v>10684</v>
      </c>
      <c r="Z561" t="s">
        <v>10685</v>
      </c>
      <c r="AA561" t="s">
        <v>10686</v>
      </c>
      <c r="AB561" t="s">
        <v>10687</v>
      </c>
      <c r="AC561" t="s">
        <v>10688</v>
      </c>
      <c r="AD561" t="s">
        <v>10689</v>
      </c>
      <c r="AE561" t="s">
        <v>10690</v>
      </c>
      <c r="AF561" t="s">
        <v>74</v>
      </c>
      <c r="AG561">
        <v>43</v>
      </c>
      <c r="AH561">
        <v>0</v>
      </c>
      <c r="AI561">
        <v>0</v>
      </c>
      <c r="AJ561">
        <v>5</v>
      </c>
      <c r="AK561">
        <v>10</v>
      </c>
      <c r="AL561" t="s">
        <v>209</v>
      </c>
      <c r="AM561" t="s">
        <v>210</v>
      </c>
      <c r="AN561" t="s">
        <v>211</v>
      </c>
      <c r="AO561" t="s">
        <v>6239</v>
      </c>
      <c r="AP561" t="s">
        <v>6240</v>
      </c>
      <c r="AQ561" t="s">
        <v>74</v>
      </c>
      <c r="AR561" t="s">
        <v>6241</v>
      </c>
      <c r="AS561" t="s">
        <v>6242</v>
      </c>
      <c r="AT561" t="s">
        <v>174</v>
      </c>
      <c r="AU561">
        <v>2022</v>
      </c>
      <c r="AV561">
        <v>186</v>
      </c>
      <c r="AW561" t="s">
        <v>74</v>
      </c>
      <c r="AX561" t="s">
        <v>74</v>
      </c>
      <c r="AY561" t="s">
        <v>74</v>
      </c>
      <c r="AZ561" t="s">
        <v>74</v>
      </c>
      <c r="BA561" t="s">
        <v>74</v>
      </c>
      <c r="BB561">
        <v>97</v>
      </c>
      <c r="BC561">
        <v>111</v>
      </c>
      <c r="BD561" t="s">
        <v>74</v>
      </c>
      <c r="BE561" t="s">
        <v>10691</v>
      </c>
      <c r="BF561" t="str">
        <f>HYPERLINK("http://dx.doi.org/10.1016/j.cherd.2022.07.027","http://dx.doi.org/10.1016/j.cherd.2022.07.027")</f>
        <v>http://dx.doi.org/10.1016/j.cherd.2022.07.027</v>
      </c>
      <c r="BG561" t="s">
        <v>74</v>
      </c>
      <c r="BH561" t="s">
        <v>572</v>
      </c>
      <c r="BI561">
        <v>15</v>
      </c>
      <c r="BJ561" t="s">
        <v>1291</v>
      </c>
      <c r="BK561" t="s">
        <v>98</v>
      </c>
      <c r="BL561" t="s">
        <v>1292</v>
      </c>
      <c r="BM561" t="s">
        <v>10692</v>
      </c>
      <c r="BN561" t="s">
        <v>74</v>
      </c>
      <c r="BO561" t="s">
        <v>359</v>
      </c>
      <c r="BP561" t="s">
        <v>74</v>
      </c>
      <c r="BQ561" t="s">
        <v>74</v>
      </c>
      <c r="BR561" t="s">
        <v>102</v>
      </c>
      <c r="BS561" t="s">
        <v>10693</v>
      </c>
      <c r="BT561" t="str">
        <f>HYPERLINK("https%3A%2F%2Fwww.webofscience.com%2Fwos%2Fwoscc%2Ffull-record%2FWOS:000862594500001","View Full Record in Web of Science")</f>
        <v>View Full Record in Web of Science</v>
      </c>
    </row>
    <row r="562" spans="1:72" x14ac:dyDescent="0.2">
      <c r="A562" t="s">
        <v>72</v>
      </c>
      <c r="B562" t="s">
        <v>10694</v>
      </c>
      <c r="C562" t="s">
        <v>74</v>
      </c>
      <c r="D562" t="s">
        <v>74</v>
      </c>
      <c r="E562" t="s">
        <v>74</v>
      </c>
      <c r="F562" t="s">
        <v>10695</v>
      </c>
      <c r="G562" t="s">
        <v>74</v>
      </c>
      <c r="H562" t="s">
        <v>74</v>
      </c>
      <c r="I562" t="s">
        <v>10696</v>
      </c>
      <c r="J562" t="s">
        <v>10697</v>
      </c>
      <c r="K562" t="s">
        <v>74</v>
      </c>
      <c r="L562" t="s">
        <v>74</v>
      </c>
      <c r="M562" t="s">
        <v>78</v>
      </c>
      <c r="N562" t="s">
        <v>108</v>
      </c>
      <c r="O562" t="s">
        <v>74</v>
      </c>
      <c r="P562" t="s">
        <v>74</v>
      </c>
      <c r="Q562" t="s">
        <v>74</v>
      </c>
      <c r="R562" t="s">
        <v>74</v>
      </c>
      <c r="S562" t="s">
        <v>74</v>
      </c>
      <c r="T562" t="s">
        <v>10698</v>
      </c>
      <c r="U562" t="s">
        <v>74</v>
      </c>
      <c r="V562" t="s">
        <v>10699</v>
      </c>
      <c r="W562" t="s">
        <v>10700</v>
      </c>
      <c r="X562" t="s">
        <v>10701</v>
      </c>
      <c r="Y562" t="s">
        <v>10702</v>
      </c>
      <c r="Z562" t="s">
        <v>10703</v>
      </c>
      <c r="AA562" t="s">
        <v>10704</v>
      </c>
      <c r="AB562" t="s">
        <v>10705</v>
      </c>
      <c r="AC562" t="s">
        <v>10706</v>
      </c>
      <c r="AD562" t="s">
        <v>10707</v>
      </c>
      <c r="AE562" t="s">
        <v>10708</v>
      </c>
      <c r="AF562" t="s">
        <v>74</v>
      </c>
      <c r="AG562">
        <v>29</v>
      </c>
      <c r="AH562">
        <v>39</v>
      </c>
      <c r="AI562">
        <v>40</v>
      </c>
      <c r="AJ562">
        <v>0</v>
      </c>
      <c r="AK562">
        <v>20</v>
      </c>
      <c r="AL562" t="s">
        <v>259</v>
      </c>
      <c r="AM562" t="s">
        <v>260</v>
      </c>
      <c r="AN562" t="s">
        <v>261</v>
      </c>
      <c r="AO562" t="s">
        <v>10709</v>
      </c>
      <c r="AP562" t="s">
        <v>10710</v>
      </c>
      <c r="AQ562" t="s">
        <v>74</v>
      </c>
      <c r="AR562" t="s">
        <v>10711</v>
      </c>
      <c r="AS562" t="s">
        <v>10712</v>
      </c>
      <c r="AT562" t="s">
        <v>239</v>
      </c>
      <c r="AU562">
        <v>2012</v>
      </c>
      <c r="AV562">
        <v>50</v>
      </c>
      <c r="AW562" t="s">
        <v>74</v>
      </c>
      <c r="AX562" t="s">
        <v>74</v>
      </c>
      <c r="AY562" t="s">
        <v>74</v>
      </c>
      <c r="AZ562" t="s">
        <v>74</v>
      </c>
      <c r="BA562" t="s">
        <v>74</v>
      </c>
      <c r="BB562">
        <v>131</v>
      </c>
      <c r="BC562">
        <v>136</v>
      </c>
      <c r="BD562" t="s">
        <v>74</v>
      </c>
      <c r="BE562" t="s">
        <v>10713</v>
      </c>
      <c r="BF562" t="str">
        <f>HYPERLINK("http://dx.doi.org/10.1016/j.advengsoft.2012.02.005","http://dx.doi.org/10.1016/j.advengsoft.2012.02.005")</f>
        <v>http://dx.doi.org/10.1016/j.advengsoft.2012.02.005</v>
      </c>
      <c r="BG562" t="s">
        <v>74</v>
      </c>
      <c r="BH562" t="s">
        <v>74</v>
      </c>
      <c r="BI562">
        <v>6</v>
      </c>
      <c r="BJ562" t="s">
        <v>10714</v>
      </c>
      <c r="BK562" t="s">
        <v>98</v>
      </c>
      <c r="BL562" t="s">
        <v>269</v>
      </c>
      <c r="BM562" t="s">
        <v>10715</v>
      </c>
      <c r="BN562" t="s">
        <v>74</v>
      </c>
      <c r="BO562" t="s">
        <v>74</v>
      </c>
      <c r="BP562" t="s">
        <v>74</v>
      </c>
      <c r="BQ562" t="s">
        <v>74</v>
      </c>
      <c r="BR562" t="s">
        <v>102</v>
      </c>
      <c r="BS562" t="s">
        <v>10716</v>
      </c>
      <c r="BT562" t="str">
        <f>HYPERLINK("https%3A%2F%2Fwww.webofscience.com%2Fwos%2Fwoscc%2Ffull-record%2FWOS:000306208500013","View Full Record in Web of Science")</f>
        <v>View Full Record in Web of Science</v>
      </c>
    </row>
    <row r="563" spans="1:72" x14ac:dyDescent="0.2">
      <c r="A563" t="s">
        <v>72</v>
      </c>
      <c r="B563" t="s">
        <v>10717</v>
      </c>
      <c r="C563" t="s">
        <v>74</v>
      </c>
      <c r="D563" t="s">
        <v>74</v>
      </c>
      <c r="E563" t="s">
        <v>74</v>
      </c>
      <c r="F563" t="s">
        <v>10718</v>
      </c>
      <c r="G563" t="s">
        <v>74</v>
      </c>
      <c r="H563" t="s">
        <v>74</v>
      </c>
      <c r="I563" t="s">
        <v>10719</v>
      </c>
      <c r="J563" t="s">
        <v>10720</v>
      </c>
      <c r="K563" t="s">
        <v>74</v>
      </c>
      <c r="L563" t="s">
        <v>74</v>
      </c>
      <c r="M563" t="s">
        <v>78</v>
      </c>
      <c r="N563" t="s">
        <v>108</v>
      </c>
      <c r="O563" t="s">
        <v>74</v>
      </c>
      <c r="P563" t="s">
        <v>74</v>
      </c>
      <c r="Q563" t="s">
        <v>74</v>
      </c>
      <c r="R563" t="s">
        <v>74</v>
      </c>
      <c r="S563" t="s">
        <v>74</v>
      </c>
      <c r="T563" t="s">
        <v>10721</v>
      </c>
      <c r="U563" t="s">
        <v>10722</v>
      </c>
      <c r="V563" t="s">
        <v>10723</v>
      </c>
      <c r="W563" t="s">
        <v>10724</v>
      </c>
      <c r="X563" t="s">
        <v>10725</v>
      </c>
      <c r="Y563" t="s">
        <v>10726</v>
      </c>
      <c r="Z563" t="s">
        <v>10727</v>
      </c>
      <c r="AA563" t="s">
        <v>74</v>
      </c>
      <c r="AB563" t="s">
        <v>10728</v>
      </c>
      <c r="AC563" t="s">
        <v>10729</v>
      </c>
      <c r="AD563" t="s">
        <v>7622</v>
      </c>
      <c r="AE563" t="s">
        <v>10730</v>
      </c>
      <c r="AF563" t="s">
        <v>74</v>
      </c>
      <c r="AG563">
        <v>18</v>
      </c>
      <c r="AH563">
        <v>2</v>
      </c>
      <c r="AI563">
        <v>2</v>
      </c>
      <c r="AJ563">
        <v>2</v>
      </c>
      <c r="AK563">
        <v>8</v>
      </c>
      <c r="AL563" t="s">
        <v>10731</v>
      </c>
      <c r="AM563" t="s">
        <v>2458</v>
      </c>
      <c r="AN563" t="s">
        <v>10732</v>
      </c>
      <c r="AO563" t="s">
        <v>10733</v>
      </c>
      <c r="AP563" t="s">
        <v>74</v>
      </c>
      <c r="AQ563" t="s">
        <v>74</v>
      </c>
      <c r="AR563" t="s">
        <v>10734</v>
      </c>
      <c r="AS563" t="s">
        <v>10735</v>
      </c>
      <c r="AT563" t="s">
        <v>74</v>
      </c>
      <c r="AU563">
        <v>2021</v>
      </c>
      <c r="AV563">
        <v>15</v>
      </c>
      <c r="AW563">
        <v>3</v>
      </c>
      <c r="AX563" t="s">
        <v>74</v>
      </c>
      <c r="AY563" t="s">
        <v>74</v>
      </c>
      <c r="AZ563" t="s">
        <v>74</v>
      </c>
      <c r="BA563" t="s">
        <v>74</v>
      </c>
      <c r="BB563" t="s">
        <v>74</v>
      </c>
      <c r="BC563" t="s">
        <v>74</v>
      </c>
      <c r="BD563" t="s">
        <v>10736</v>
      </c>
      <c r="BE563" t="s">
        <v>10737</v>
      </c>
      <c r="BF563" t="str">
        <f>HYPERLINK("http://dx.doi.org/10.1299/jamdsm.2021jamdsm0030","http://dx.doi.org/10.1299/jamdsm.2021jamdsm0030")</f>
        <v>http://dx.doi.org/10.1299/jamdsm.2021jamdsm0030</v>
      </c>
      <c r="BG563" t="s">
        <v>74</v>
      </c>
      <c r="BH563" t="s">
        <v>74</v>
      </c>
      <c r="BI563">
        <v>22</v>
      </c>
      <c r="BJ563" t="s">
        <v>2819</v>
      </c>
      <c r="BK563" t="s">
        <v>98</v>
      </c>
      <c r="BL563" t="s">
        <v>1292</v>
      </c>
      <c r="BM563" t="s">
        <v>10738</v>
      </c>
      <c r="BN563" t="s">
        <v>74</v>
      </c>
      <c r="BO563" t="s">
        <v>126</v>
      </c>
      <c r="BP563" t="s">
        <v>74</v>
      </c>
      <c r="BQ563" t="s">
        <v>74</v>
      </c>
      <c r="BR563" t="s">
        <v>102</v>
      </c>
      <c r="BS563" t="s">
        <v>10739</v>
      </c>
      <c r="BT563" t="str">
        <f>HYPERLINK("https%3A%2F%2Fwww.webofscience.com%2Fwos%2Fwoscc%2Ffull-record%2FWOS:000668052300005","View Full Record in Web of Science")</f>
        <v>View Full Record in Web of Science</v>
      </c>
    </row>
    <row r="564" spans="1:72" x14ac:dyDescent="0.2">
      <c r="A564" t="s">
        <v>72</v>
      </c>
      <c r="B564" t="s">
        <v>10740</v>
      </c>
      <c r="C564" t="s">
        <v>74</v>
      </c>
      <c r="D564" t="s">
        <v>74</v>
      </c>
      <c r="E564" t="s">
        <v>74</v>
      </c>
      <c r="F564" t="s">
        <v>10741</v>
      </c>
      <c r="G564" t="s">
        <v>74</v>
      </c>
      <c r="H564" t="s">
        <v>74</v>
      </c>
      <c r="I564" t="s">
        <v>10742</v>
      </c>
      <c r="J564" t="s">
        <v>10743</v>
      </c>
      <c r="K564" t="s">
        <v>74</v>
      </c>
      <c r="L564" t="s">
        <v>74</v>
      </c>
      <c r="M564" t="s">
        <v>78</v>
      </c>
      <c r="N564" t="s">
        <v>108</v>
      </c>
      <c r="O564" t="s">
        <v>74</v>
      </c>
      <c r="P564" t="s">
        <v>74</v>
      </c>
      <c r="Q564" t="s">
        <v>74</v>
      </c>
      <c r="R564" t="s">
        <v>74</v>
      </c>
      <c r="S564" t="s">
        <v>74</v>
      </c>
      <c r="T564" t="s">
        <v>10744</v>
      </c>
      <c r="U564" t="s">
        <v>9023</v>
      </c>
      <c r="V564" t="s">
        <v>10745</v>
      </c>
      <c r="W564" t="s">
        <v>10746</v>
      </c>
      <c r="X564" t="s">
        <v>10747</v>
      </c>
      <c r="Y564" t="s">
        <v>10748</v>
      </c>
      <c r="Z564" t="s">
        <v>10749</v>
      </c>
      <c r="AA564" t="s">
        <v>10750</v>
      </c>
      <c r="AB564" t="s">
        <v>10751</v>
      </c>
      <c r="AC564" t="s">
        <v>10752</v>
      </c>
      <c r="AD564" t="s">
        <v>10753</v>
      </c>
      <c r="AE564" t="s">
        <v>10754</v>
      </c>
      <c r="AF564" t="s">
        <v>74</v>
      </c>
      <c r="AG564">
        <v>145</v>
      </c>
      <c r="AH564">
        <v>3</v>
      </c>
      <c r="AI564">
        <v>3</v>
      </c>
      <c r="AJ564">
        <v>2</v>
      </c>
      <c r="AK564">
        <v>5</v>
      </c>
      <c r="AL564" t="s">
        <v>209</v>
      </c>
      <c r="AM564" t="s">
        <v>210</v>
      </c>
      <c r="AN564" t="s">
        <v>211</v>
      </c>
      <c r="AO564" t="s">
        <v>10755</v>
      </c>
      <c r="AP564" t="s">
        <v>10756</v>
      </c>
      <c r="AQ564" t="s">
        <v>74</v>
      </c>
      <c r="AR564" t="s">
        <v>10757</v>
      </c>
      <c r="AS564" t="s">
        <v>10758</v>
      </c>
      <c r="AT564" t="s">
        <v>2778</v>
      </c>
      <c r="AU564">
        <v>2022</v>
      </c>
      <c r="AV564">
        <v>187</v>
      </c>
      <c r="AW564" t="s">
        <v>74</v>
      </c>
      <c r="AX564" t="s">
        <v>74</v>
      </c>
      <c r="AY564" t="s">
        <v>74</v>
      </c>
      <c r="AZ564" t="s">
        <v>74</v>
      </c>
      <c r="BA564" t="s">
        <v>74</v>
      </c>
      <c r="BB564">
        <v>1</v>
      </c>
      <c r="BC564">
        <v>19</v>
      </c>
      <c r="BD564" t="s">
        <v>74</v>
      </c>
      <c r="BE564" t="s">
        <v>10759</v>
      </c>
      <c r="BF564" t="str">
        <f>HYPERLINK("http://dx.doi.org/10.1016/j.comcom.2022.01.020","http://dx.doi.org/10.1016/j.comcom.2022.01.020")</f>
        <v>http://dx.doi.org/10.1016/j.comcom.2022.01.020</v>
      </c>
      <c r="BG564" t="s">
        <v>74</v>
      </c>
      <c r="BH564" t="s">
        <v>470</v>
      </c>
      <c r="BI564">
        <v>19</v>
      </c>
      <c r="BJ564" t="s">
        <v>2959</v>
      </c>
      <c r="BK564" t="s">
        <v>98</v>
      </c>
      <c r="BL564" t="s">
        <v>2960</v>
      </c>
      <c r="BM564" t="s">
        <v>10760</v>
      </c>
      <c r="BN564" t="s">
        <v>74</v>
      </c>
      <c r="BO564" t="s">
        <v>74</v>
      </c>
      <c r="BP564" t="s">
        <v>74</v>
      </c>
      <c r="BQ564" t="s">
        <v>74</v>
      </c>
      <c r="BR564" t="s">
        <v>102</v>
      </c>
      <c r="BS564" t="s">
        <v>10761</v>
      </c>
      <c r="BT564" t="str">
        <f>HYPERLINK("https%3A%2F%2Fwww.webofscience.com%2Fwos%2Fwoscc%2Ffull-record%2FWOS:000817094300001","View Full Record in Web of Science")</f>
        <v>View Full Record in Web of Science</v>
      </c>
    </row>
    <row r="565" spans="1:72" x14ac:dyDescent="0.2">
      <c r="A565" t="s">
        <v>72</v>
      </c>
      <c r="B565" t="s">
        <v>10762</v>
      </c>
      <c r="C565" t="s">
        <v>74</v>
      </c>
      <c r="D565" t="s">
        <v>74</v>
      </c>
      <c r="E565" t="s">
        <v>74</v>
      </c>
      <c r="F565" t="s">
        <v>10763</v>
      </c>
      <c r="G565" t="s">
        <v>74</v>
      </c>
      <c r="H565" t="s">
        <v>74</v>
      </c>
      <c r="I565" t="s">
        <v>10764</v>
      </c>
      <c r="J565" t="s">
        <v>10765</v>
      </c>
      <c r="K565" t="s">
        <v>74</v>
      </c>
      <c r="L565" t="s">
        <v>74</v>
      </c>
      <c r="M565" t="s">
        <v>78</v>
      </c>
      <c r="N565" t="s">
        <v>108</v>
      </c>
      <c r="O565" t="s">
        <v>74</v>
      </c>
      <c r="P565" t="s">
        <v>74</v>
      </c>
      <c r="Q565" t="s">
        <v>74</v>
      </c>
      <c r="R565" t="s">
        <v>74</v>
      </c>
      <c r="S565" t="s">
        <v>74</v>
      </c>
      <c r="T565" t="s">
        <v>10766</v>
      </c>
      <c r="U565" t="s">
        <v>10767</v>
      </c>
      <c r="V565" t="s">
        <v>10768</v>
      </c>
      <c r="W565" t="s">
        <v>10769</v>
      </c>
      <c r="X565" t="s">
        <v>10770</v>
      </c>
      <c r="Y565" t="s">
        <v>10771</v>
      </c>
      <c r="Z565" t="s">
        <v>10772</v>
      </c>
      <c r="AA565" t="s">
        <v>10773</v>
      </c>
      <c r="AB565" t="s">
        <v>10774</v>
      </c>
      <c r="AC565" t="s">
        <v>74</v>
      </c>
      <c r="AD565" t="s">
        <v>74</v>
      </c>
      <c r="AE565" t="s">
        <v>74</v>
      </c>
      <c r="AF565" t="s">
        <v>74</v>
      </c>
      <c r="AG565">
        <v>35</v>
      </c>
      <c r="AH565">
        <v>1</v>
      </c>
      <c r="AI565">
        <v>2</v>
      </c>
      <c r="AJ565">
        <v>2</v>
      </c>
      <c r="AK565">
        <v>11</v>
      </c>
      <c r="AL565" t="s">
        <v>2634</v>
      </c>
      <c r="AM565" t="s">
        <v>2635</v>
      </c>
      <c r="AN565" t="s">
        <v>2636</v>
      </c>
      <c r="AO565" t="s">
        <v>10775</v>
      </c>
      <c r="AP565" t="s">
        <v>10776</v>
      </c>
      <c r="AQ565" t="s">
        <v>74</v>
      </c>
      <c r="AR565" t="s">
        <v>10777</v>
      </c>
      <c r="AS565" t="s">
        <v>10778</v>
      </c>
      <c r="AT565" t="s">
        <v>74</v>
      </c>
      <c r="AU565">
        <v>2020</v>
      </c>
      <c r="AV565">
        <v>26</v>
      </c>
      <c r="AW565" t="s">
        <v>3238</v>
      </c>
      <c r="AX565" t="s">
        <v>74</v>
      </c>
      <c r="AY565" t="s">
        <v>74</v>
      </c>
      <c r="AZ565" t="s">
        <v>570</v>
      </c>
      <c r="BA565" t="s">
        <v>74</v>
      </c>
      <c r="BB565">
        <v>252</v>
      </c>
      <c r="BC565">
        <v>265</v>
      </c>
      <c r="BD565" t="s">
        <v>74</v>
      </c>
      <c r="BE565" t="s">
        <v>10779</v>
      </c>
      <c r="BF565" t="str">
        <f>HYPERLINK("http://dx.doi.org/10.1504/IJSTM.2020.106693","http://dx.doi.org/10.1504/IJSTM.2020.106693")</f>
        <v>http://dx.doi.org/10.1504/IJSTM.2020.106693</v>
      </c>
      <c r="BG565" t="s">
        <v>74</v>
      </c>
      <c r="BH565" t="s">
        <v>74</v>
      </c>
      <c r="BI565">
        <v>14</v>
      </c>
      <c r="BJ565" t="s">
        <v>418</v>
      </c>
      <c r="BK565" t="s">
        <v>124</v>
      </c>
      <c r="BL565" t="s">
        <v>419</v>
      </c>
      <c r="BM565" t="s">
        <v>10780</v>
      </c>
      <c r="BN565" t="s">
        <v>74</v>
      </c>
      <c r="BO565" t="s">
        <v>74</v>
      </c>
      <c r="BP565" t="s">
        <v>74</v>
      </c>
      <c r="BQ565" t="s">
        <v>74</v>
      </c>
      <c r="BR565" t="s">
        <v>102</v>
      </c>
      <c r="BS565" t="s">
        <v>10781</v>
      </c>
      <c r="BT565" t="str">
        <f>HYPERLINK("https%3A%2F%2Fwww.webofscience.com%2Fwos%2Fwoscc%2Ffull-record%2FWOS:000528939100010","View Full Record in Web of Science")</f>
        <v>View Full Record in Web of Science</v>
      </c>
    </row>
    <row r="566" spans="1:72" x14ac:dyDescent="0.2">
      <c r="A566" t="s">
        <v>72</v>
      </c>
      <c r="B566" t="s">
        <v>10782</v>
      </c>
      <c r="C566" t="s">
        <v>74</v>
      </c>
      <c r="D566" t="s">
        <v>74</v>
      </c>
      <c r="E566" t="s">
        <v>74</v>
      </c>
      <c r="F566" t="s">
        <v>10783</v>
      </c>
      <c r="G566" t="s">
        <v>74</v>
      </c>
      <c r="H566" t="s">
        <v>74</v>
      </c>
      <c r="I566" t="s">
        <v>10784</v>
      </c>
      <c r="J566" t="s">
        <v>10785</v>
      </c>
      <c r="K566" t="s">
        <v>74</v>
      </c>
      <c r="L566" t="s">
        <v>74</v>
      </c>
      <c r="M566" t="s">
        <v>78</v>
      </c>
      <c r="N566" t="s">
        <v>108</v>
      </c>
      <c r="O566" t="s">
        <v>74</v>
      </c>
      <c r="P566" t="s">
        <v>74</v>
      </c>
      <c r="Q566" t="s">
        <v>74</v>
      </c>
      <c r="R566" t="s">
        <v>74</v>
      </c>
      <c r="S566" t="s">
        <v>74</v>
      </c>
      <c r="T566" t="s">
        <v>10786</v>
      </c>
      <c r="U566" t="s">
        <v>10787</v>
      </c>
      <c r="V566" t="s">
        <v>10788</v>
      </c>
      <c r="W566" t="s">
        <v>10789</v>
      </c>
      <c r="X566" t="s">
        <v>10790</v>
      </c>
      <c r="Y566" t="s">
        <v>10791</v>
      </c>
      <c r="Z566" t="s">
        <v>10792</v>
      </c>
      <c r="AA566" t="s">
        <v>74</v>
      </c>
      <c r="AB566" t="s">
        <v>10793</v>
      </c>
      <c r="AC566" t="s">
        <v>10794</v>
      </c>
      <c r="AD566" t="s">
        <v>10795</v>
      </c>
      <c r="AE566" t="s">
        <v>10796</v>
      </c>
      <c r="AF566" t="s">
        <v>74</v>
      </c>
      <c r="AG566">
        <v>51</v>
      </c>
      <c r="AH566">
        <v>1</v>
      </c>
      <c r="AI566">
        <v>1</v>
      </c>
      <c r="AJ566">
        <v>2</v>
      </c>
      <c r="AK566">
        <v>2</v>
      </c>
      <c r="AL566" t="s">
        <v>10797</v>
      </c>
      <c r="AM566" t="s">
        <v>667</v>
      </c>
      <c r="AN566" t="s">
        <v>10798</v>
      </c>
      <c r="AO566" t="s">
        <v>10799</v>
      </c>
      <c r="AP566" t="s">
        <v>10800</v>
      </c>
      <c r="AQ566" t="s">
        <v>74</v>
      </c>
      <c r="AR566" t="s">
        <v>10801</v>
      </c>
      <c r="AS566" t="s">
        <v>10802</v>
      </c>
      <c r="AT566" t="s">
        <v>416</v>
      </c>
      <c r="AU566">
        <v>2023</v>
      </c>
      <c r="AV566">
        <v>188</v>
      </c>
      <c r="AW566" t="s">
        <v>74</v>
      </c>
      <c r="AX566" t="s">
        <v>74</v>
      </c>
      <c r="AY566" t="s">
        <v>74</v>
      </c>
      <c r="AZ566" t="s">
        <v>74</v>
      </c>
      <c r="BA566" t="s">
        <v>74</v>
      </c>
      <c r="BB566" t="s">
        <v>74</v>
      </c>
      <c r="BC566" t="s">
        <v>74</v>
      </c>
      <c r="BD566">
        <v>109352</v>
      </c>
      <c r="BE566" t="s">
        <v>10803</v>
      </c>
      <c r="BF566" t="str">
        <f>HYPERLINK("http://dx.doi.org/10.1016/j.cep.2023.109352","http://dx.doi.org/10.1016/j.cep.2023.109352")</f>
        <v>http://dx.doi.org/10.1016/j.cep.2023.109352</v>
      </c>
      <c r="BG566" t="s">
        <v>74</v>
      </c>
      <c r="BH566" t="s">
        <v>74</v>
      </c>
      <c r="BI566">
        <v>19</v>
      </c>
      <c r="BJ566" t="s">
        <v>6854</v>
      </c>
      <c r="BK566" t="s">
        <v>98</v>
      </c>
      <c r="BL566" t="s">
        <v>3907</v>
      </c>
      <c r="BM566" t="s">
        <v>10804</v>
      </c>
      <c r="BN566" t="s">
        <v>74</v>
      </c>
      <c r="BO566" t="s">
        <v>74</v>
      </c>
      <c r="BP566" t="s">
        <v>74</v>
      </c>
      <c r="BQ566" t="s">
        <v>74</v>
      </c>
      <c r="BR566" t="s">
        <v>102</v>
      </c>
      <c r="BS566" t="s">
        <v>10805</v>
      </c>
      <c r="BT566" t="str">
        <f>HYPERLINK("https%3A%2F%2Fwww.webofscience.com%2Fwos%2Fwoscc%2Ffull-record%2FWOS:001041143100001","View Full Record in Web of Science")</f>
        <v>View Full Record in Web of Science</v>
      </c>
    </row>
    <row r="567" spans="1:72" x14ac:dyDescent="0.2">
      <c r="A567" t="s">
        <v>72</v>
      </c>
      <c r="B567" t="s">
        <v>10806</v>
      </c>
      <c r="C567" t="s">
        <v>74</v>
      </c>
      <c r="D567" t="s">
        <v>74</v>
      </c>
      <c r="E567" t="s">
        <v>74</v>
      </c>
      <c r="F567" t="s">
        <v>10807</v>
      </c>
      <c r="G567" t="s">
        <v>74</v>
      </c>
      <c r="H567" t="s">
        <v>74</v>
      </c>
      <c r="I567" t="s">
        <v>10808</v>
      </c>
      <c r="J567" t="s">
        <v>2621</v>
      </c>
      <c r="K567" t="s">
        <v>74</v>
      </c>
      <c r="L567" t="s">
        <v>74</v>
      </c>
      <c r="M567" t="s">
        <v>78</v>
      </c>
      <c r="N567" t="s">
        <v>108</v>
      </c>
      <c r="O567" t="s">
        <v>74</v>
      </c>
      <c r="P567" t="s">
        <v>74</v>
      </c>
      <c r="Q567" t="s">
        <v>74</v>
      </c>
      <c r="R567" t="s">
        <v>74</v>
      </c>
      <c r="S567" t="s">
        <v>74</v>
      </c>
      <c r="T567" t="s">
        <v>10809</v>
      </c>
      <c r="U567" t="s">
        <v>10810</v>
      </c>
      <c r="V567" t="s">
        <v>10811</v>
      </c>
      <c r="W567" t="s">
        <v>10812</v>
      </c>
      <c r="X567" t="s">
        <v>10813</v>
      </c>
      <c r="Y567" t="s">
        <v>10814</v>
      </c>
      <c r="Z567" t="s">
        <v>10815</v>
      </c>
      <c r="AA567" t="s">
        <v>74</v>
      </c>
      <c r="AB567" t="s">
        <v>74</v>
      </c>
      <c r="AC567" t="s">
        <v>10816</v>
      </c>
      <c r="AD567" t="s">
        <v>5510</v>
      </c>
      <c r="AE567" t="s">
        <v>10817</v>
      </c>
      <c r="AF567" t="s">
        <v>74</v>
      </c>
      <c r="AG567">
        <v>40</v>
      </c>
      <c r="AH567">
        <v>8</v>
      </c>
      <c r="AI567">
        <v>8</v>
      </c>
      <c r="AJ567">
        <v>3</v>
      </c>
      <c r="AK567">
        <v>11</v>
      </c>
      <c r="AL567" t="s">
        <v>2634</v>
      </c>
      <c r="AM567" t="s">
        <v>2635</v>
      </c>
      <c r="AN567" t="s">
        <v>2636</v>
      </c>
      <c r="AO567" t="s">
        <v>2637</v>
      </c>
      <c r="AP567" t="s">
        <v>2638</v>
      </c>
      <c r="AQ567" t="s">
        <v>74</v>
      </c>
      <c r="AR567" t="s">
        <v>2639</v>
      </c>
      <c r="AS567" t="s">
        <v>2640</v>
      </c>
      <c r="AT567" t="s">
        <v>74</v>
      </c>
      <c r="AU567">
        <v>2015</v>
      </c>
      <c r="AV567">
        <v>9</v>
      </c>
      <c r="AW567">
        <v>6</v>
      </c>
      <c r="AX567" t="s">
        <v>74</v>
      </c>
      <c r="AY567" t="s">
        <v>74</v>
      </c>
      <c r="AZ567" t="s">
        <v>74</v>
      </c>
      <c r="BA567" t="s">
        <v>74</v>
      </c>
      <c r="BB567">
        <v>774</v>
      </c>
      <c r="BC567">
        <v>793</v>
      </c>
      <c r="BD567" t="s">
        <v>74</v>
      </c>
      <c r="BE567" t="s">
        <v>10818</v>
      </c>
      <c r="BF567" t="str">
        <f>HYPERLINK("http://dx.doi.org/10.1504/EJIE.2015.074381","http://dx.doi.org/10.1504/EJIE.2015.074381")</f>
        <v>http://dx.doi.org/10.1504/EJIE.2015.074381</v>
      </c>
      <c r="BG567" t="s">
        <v>74</v>
      </c>
      <c r="BH567" t="s">
        <v>74</v>
      </c>
      <c r="BI567">
        <v>20</v>
      </c>
      <c r="BJ567" t="s">
        <v>2642</v>
      </c>
      <c r="BK567" t="s">
        <v>98</v>
      </c>
      <c r="BL567" t="s">
        <v>781</v>
      </c>
      <c r="BM567" t="s">
        <v>10819</v>
      </c>
      <c r="BN567" t="s">
        <v>74</v>
      </c>
      <c r="BO567" t="s">
        <v>74</v>
      </c>
      <c r="BP567" t="s">
        <v>74</v>
      </c>
      <c r="BQ567" t="s">
        <v>74</v>
      </c>
      <c r="BR567" t="s">
        <v>102</v>
      </c>
      <c r="BS567" t="s">
        <v>10820</v>
      </c>
      <c r="BT567" t="str">
        <f>HYPERLINK("https%3A%2F%2Fwww.webofscience.com%2Fwos%2Fwoscc%2Ffull-record%2FWOS:000372104600003","View Full Record in Web of Science")</f>
        <v>View Full Record in Web of Science</v>
      </c>
    </row>
    <row r="568" spans="1:72" x14ac:dyDescent="0.2">
      <c r="A568" t="s">
        <v>72</v>
      </c>
      <c r="B568" t="s">
        <v>10821</v>
      </c>
      <c r="C568" t="s">
        <v>74</v>
      </c>
      <c r="D568" t="s">
        <v>74</v>
      </c>
      <c r="E568" t="s">
        <v>74</v>
      </c>
      <c r="F568" t="s">
        <v>10822</v>
      </c>
      <c r="G568" t="s">
        <v>74</v>
      </c>
      <c r="H568" t="s">
        <v>74</v>
      </c>
      <c r="I568" t="s">
        <v>10823</v>
      </c>
      <c r="J568" t="s">
        <v>10824</v>
      </c>
      <c r="K568" t="s">
        <v>74</v>
      </c>
      <c r="L568" t="s">
        <v>74</v>
      </c>
      <c r="M568" t="s">
        <v>78</v>
      </c>
      <c r="N568" t="s">
        <v>108</v>
      </c>
      <c r="O568" t="s">
        <v>74</v>
      </c>
      <c r="P568" t="s">
        <v>74</v>
      </c>
      <c r="Q568" t="s">
        <v>74</v>
      </c>
      <c r="R568" t="s">
        <v>74</v>
      </c>
      <c r="S568" t="s">
        <v>74</v>
      </c>
      <c r="T568" t="s">
        <v>10825</v>
      </c>
      <c r="U568" t="s">
        <v>10826</v>
      </c>
      <c r="V568" t="s">
        <v>10827</v>
      </c>
      <c r="W568" t="s">
        <v>10828</v>
      </c>
      <c r="X568" t="s">
        <v>10829</v>
      </c>
      <c r="Y568" t="s">
        <v>10830</v>
      </c>
      <c r="Z568" t="s">
        <v>10831</v>
      </c>
      <c r="AA568" t="s">
        <v>10832</v>
      </c>
      <c r="AB568" t="s">
        <v>74</v>
      </c>
      <c r="AC568" t="s">
        <v>74</v>
      </c>
      <c r="AD568" t="s">
        <v>74</v>
      </c>
      <c r="AE568" t="s">
        <v>74</v>
      </c>
      <c r="AF568" t="s">
        <v>74</v>
      </c>
      <c r="AG568">
        <v>36</v>
      </c>
      <c r="AH568">
        <v>1</v>
      </c>
      <c r="AI568">
        <v>1</v>
      </c>
      <c r="AJ568">
        <v>3</v>
      </c>
      <c r="AK568">
        <v>7</v>
      </c>
      <c r="AL568" t="s">
        <v>10833</v>
      </c>
      <c r="AM568" t="s">
        <v>10834</v>
      </c>
      <c r="AN568" t="s">
        <v>10835</v>
      </c>
      <c r="AO568" t="s">
        <v>10836</v>
      </c>
      <c r="AP568" t="s">
        <v>10837</v>
      </c>
      <c r="AQ568" t="s">
        <v>74</v>
      </c>
      <c r="AR568" t="s">
        <v>10838</v>
      </c>
      <c r="AS568" t="s">
        <v>10839</v>
      </c>
      <c r="AT568" t="s">
        <v>416</v>
      </c>
      <c r="AU568">
        <v>2020</v>
      </c>
      <c r="AV568">
        <v>33</v>
      </c>
      <c r="AW568">
        <v>1</v>
      </c>
      <c r="AX568" t="s">
        <v>74</v>
      </c>
      <c r="AY568" t="s">
        <v>74</v>
      </c>
      <c r="AZ568" t="s">
        <v>74</v>
      </c>
      <c r="BA568" t="s">
        <v>74</v>
      </c>
      <c r="BB568">
        <v>133</v>
      </c>
      <c r="BC568">
        <v>149</v>
      </c>
      <c r="BD568" t="s">
        <v>74</v>
      </c>
      <c r="BE568" t="s">
        <v>74</v>
      </c>
      <c r="BF568" t="s">
        <v>74</v>
      </c>
      <c r="BG568" t="s">
        <v>74</v>
      </c>
      <c r="BH568" t="s">
        <v>74</v>
      </c>
      <c r="BI568">
        <v>17</v>
      </c>
      <c r="BJ568" t="s">
        <v>1661</v>
      </c>
      <c r="BK568" t="s">
        <v>124</v>
      </c>
      <c r="BL568" t="s">
        <v>419</v>
      </c>
      <c r="BM568" t="s">
        <v>10840</v>
      </c>
      <c r="BN568" t="s">
        <v>74</v>
      </c>
      <c r="BO568" t="s">
        <v>74</v>
      </c>
      <c r="BP568" t="s">
        <v>74</v>
      </c>
      <c r="BQ568" t="s">
        <v>74</v>
      </c>
      <c r="BR568" t="s">
        <v>102</v>
      </c>
      <c r="BS568" t="s">
        <v>10841</v>
      </c>
      <c r="BT568" t="str">
        <f>HYPERLINK("https%3A%2F%2Fwww.webofscience.com%2Fwos%2Fwoscc%2Ffull-record%2FWOS:000545714900009","View Full Record in Web of Science")</f>
        <v>View Full Record in Web of Science</v>
      </c>
    </row>
    <row r="569" spans="1:72" x14ac:dyDescent="0.2">
      <c r="A569" t="s">
        <v>72</v>
      </c>
      <c r="B569" t="s">
        <v>9071</v>
      </c>
      <c r="C569" t="s">
        <v>74</v>
      </c>
      <c r="D569" t="s">
        <v>74</v>
      </c>
      <c r="E569" t="s">
        <v>74</v>
      </c>
      <c r="F569" t="s">
        <v>9072</v>
      </c>
      <c r="G569" t="s">
        <v>74</v>
      </c>
      <c r="H569" t="s">
        <v>74</v>
      </c>
      <c r="I569" t="s">
        <v>10842</v>
      </c>
      <c r="J569" t="s">
        <v>1317</v>
      </c>
      <c r="K569" t="s">
        <v>74</v>
      </c>
      <c r="L569" t="s">
        <v>74</v>
      </c>
      <c r="M569" t="s">
        <v>78</v>
      </c>
      <c r="N569" t="s">
        <v>79</v>
      </c>
      <c r="O569" t="s">
        <v>74</v>
      </c>
      <c r="P569" t="s">
        <v>74</v>
      </c>
      <c r="Q569" t="s">
        <v>74</v>
      </c>
      <c r="R569" t="s">
        <v>74</v>
      </c>
      <c r="S569" t="s">
        <v>74</v>
      </c>
      <c r="T569" t="s">
        <v>10843</v>
      </c>
      <c r="U569" t="s">
        <v>10844</v>
      </c>
      <c r="V569" t="s">
        <v>10845</v>
      </c>
      <c r="W569" t="s">
        <v>9077</v>
      </c>
      <c r="X569" t="s">
        <v>9078</v>
      </c>
      <c r="Y569" t="s">
        <v>9079</v>
      </c>
      <c r="Z569" t="s">
        <v>10846</v>
      </c>
      <c r="AA569" t="s">
        <v>9081</v>
      </c>
      <c r="AB569" t="s">
        <v>9082</v>
      </c>
      <c r="AC569" t="s">
        <v>74</v>
      </c>
      <c r="AD569" t="s">
        <v>74</v>
      </c>
      <c r="AE569" t="s">
        <v>74</v>
      </c>
      <c r="AF569" t="s">
        <v>74</v>
      </c>
      <c r="AG569">
        <v>204</v>
      </c>
      <c r="AH569">
        <v>16</v>
      </c>
      <c r="AI569">
        <v>16</v>
      </c>
      <c r="AJ569">
        <v>4</v>
      </c>
      <c r="AK569">
        <v>52</v>
      </c>
      <c r="AL569" t="s">
        <v>437</v>
      </c>
      <c r="AM569" t="s">
        <v>438</v>
      </c>
      <c r="AN569" t="s">
        <v>439</v>
      </c>
      <c r="AO569" t="s">
        <v>1325</v>
      </c>
      <c r="AP569" t="s">
        <v>1326</v>
      </c>
      <c r="AQ569" t="s">
        <v>74</v>
      </c>
      <c r="AR569" t="s">
        <v>1327</v>
      </c>
      <c r="AS569" t="s">
        <v>1328</v>
      </c>
      <c r="AT569" t="s">
        <v>5791</v>
      </c>
      <c r="AU569">
        <v>2020</v>
      </c>
      <c r="AV569">
        <v>27</v>
      </c>
      <c r="AW569">
        <v>6</v>
      </c>
      <c r="AX569" t="s">
        <v>74</v>
      </c>
      <c r="AY569" t="s">
        <v>74</v>
      </c>
      <c r="AZ569" t="s">
        <v>74</v>
      </c>
      <c r="BA569" t="s">
        <v>74</v>
      </c>
      <c r="BB569">
        <v>1765</v>
      </c>
      <c r="BC569">
        <v>1798</v>
      </c>
      <c r="BD569" t="s">
        <v>74</v>
      </c>
      <c r="BE569" t="s">
        <v>10847</v>
      </c>
      <c r="BF569" t="str">
        <f>HYPERLINK("http://dx.doi.org/10.1108/BIJ-10-2019-0464","http://dx.doi.org/10.1108/BIJ-10-2019-0464")</f>
        <v>http://dx.doi.org/10.1108/BIJ-10-2019-0464</v>
      </c>
      <c r="BG569" t="s">
        <v>74</v>
      </c>
      <c r="BH569" t="s">
        <v>5359</v>
      </c>
      <c r="BI569">
        <v>34</v>
      </c>
      <c r="BJ569" t="s">
        <v>418</v>
      </c>
      <c r="BK569" t="s">
        <v>124</v>
      </c>
      <c r="BL569" t="s">
        <v>419</v>
      </c>
      <c r="BM569" t="s">
        <v>10848</v>
      </c>
      <c r="BN569" t="s">
        <v>74</v>
      </c>
      <c r="BO569" t="s">
        <v>74</v>
      </c>
      <c r="BP569" t="s">
        <v>74</v>
      </c>
      <c r="BQ569" t="s">
        <v>74</v>
      </c>
      <c r="BR569" t="s">
        <v>102</v>
      </c>
      <c r="BS569" t="s">
        <v>10849</v>
      </c>
      <c r="BT569" t="str">
        <f>HYPERLINK("https%3A%2F%2Fwww.webofscience.com%2Fwos%2Fwoscc%2Ffull-record%2FWOS:000538070600001","View Full Record in Web of Science")</f>
        <v>View Full Record in Web of Science</v>
      </c>
    </row>
    <row r="570" spans="1:72" x14ac:dyDescent="0.2">
      <c r="A570" t="s">
        <v>72</v>
      </c>
      <c r="B570" t="s">
        <v>10850</v>
      </c>
      <c r="C570" t="s">
        <v>74</v>
      </c>
      <c r="D570" t="s">
        <v>74</v>
      </c>
      <c r="E570" t="s">
        <v>74</v>
      </c>
      <c r="F570" t="s">
        <v>10851</v>
      </c>
      <c r="G570" t="s">
        <v>74</v>
      </c>
      <c r="H570" t="s">
        <v>74</v>
      </c>
      <c r="I570" t="s">
        <v>10852</v>
      </c>
      <c r="J570" t="s">
        <v>976</v>
      </c>
      <c r="K570" t="s">
        <v>74</v>
      </c>
      <c r="L570" t="s">
        <v>74</v>
      </c>
      <c r="M570" t="s">
        <v>78</v>
      </c>
      <c r="N570" t="s">
        <v>108</v>
      </c>
      <c r="O570" t="s">
        <v>74</v>
      </c>
      <c r="P570" t="s">
        <v>74</v>
      </c>
      <c r="Q570" t="s">
        <v>74</v>
      </c>
      <c r="R570" t="s">
        <v>74</v>
      </c>
      <c r="S570" t="s">
        <v>74</v>
      </c>
      <c r="T570" t="s">
        <v>10853</v>
      </c>
      <c r="U570" t="s">
        <v>10854</v>
      </c>
      <c r="V570" t="s">
        <v>10855</v>
      </c>
      <c r="W570" t="s">
        <v>10856</v>
      </c>
      <c r="X570" t="s">
        <v>10857</v>
      </c>
      <c r="Y570" t="s">
        <v>10858</v>
      </c>
      <c r="Z570" t="s">
        <v>10859</v>
      </c>
      <c r="AA570" t="s">
        <v>74</v>
      </c>
      <c r="AB570" t="s">
        <v>10860</v>
      </c>
      <c r="AC570" t="s">
        <v>10861</v>
      </c>
      <c r="AD570" t="s">
        <v>10862</v>
      </c>
      <c r="AE570" t="s">
        <v>10863</v>
      </c>
      <c r="AF570" t="s">
        <v>74</v>
      </c>
      <c r="AG570">
        <v>41</v>
      </c>
      <c r="AH570">
        <v>1</v>
      </c>
      <c r="AI570">
        <v>1</v>
      </c>
      <c r="AJ570">
        <v>9</v>
      </c>
      <c r="AK570">
        <v>31</v>
      </c>
      <c r="AL570" t="s">
        <v>259</v>
      </c>
      <c r="AM570" t="s">
        <v>260</v>
      </c>
      <c r="AN570" t="s">
        <v>261</v>
      </c>
      <c r="AO570" t="s">
        <v>989</v>
      </c>
      <c r="AP570" t="s">
        <v>990</v>
      </c>
      <c r="AQ570" t="s">
        <v>74</v>
      </c>
      <c r="AR570" t="s">
        <v>991</v>
      </c>
      <c r="AS570" t="s">
        <v>992</v>
      </c>
      <c r="AT570" t="s">
        <v>10864</v>
      </c>
      <c r="AU570">
        <v>2022</v>
      </c>
      <c r="AV570">
        <v>365</v>
      </c>
      <c r="AW570" t="s">
        <v>74</v>
      </c>
      <c r="AX570" t="s">
        <v>74</v>
      </c>
      <c r="AY570" t="s">
        <v>74</v>
      </c>
      <c r="AZ570" t="s">
        <v>74</v>
      </c>
      <c r="BA570" t="s">
        <v>74</v>
      </c>
      <c r="BB570" t="s">
        <v>74</v>
      </c>
      <c r="BC570" t="s">
        <v>74</v>
      </c>
      <c r="BD570">
        <v>132734</v>
      </c>
      <c r="BE570" t="s">
        <v>10865</v>
      </c>
      <c r="BF570" t="str">
        <f>HYPERLINK("http://dx.doi.org/10.1016/j.jclepro.2022.132734","http://dx.doi.org/10.1016/j.jclepro.2022.132734")</f>
        <v>http://dx.doi.org/10.1016/j.jclepro.2022.132734</v>
      </c>
      <c r="BG570" t="s">
        <v>74</v>
      </c>
      <c r="BH570" t="s">
        <v>74</v>
      </c>
      <c r="BI570">
        <v>13</v>
      </c>
      <c r="BJ570" t="s">
        <v>995</v>
      </c>
      <c r="BK570" t="s">
        <v>98</v>
      </c>
      <c r="BL570" t="s">
        <v>996</v>
      </c>
      <c r="BM570" t="s">
        <v>10866</v>
      </c>
      <c r="BN570" t="s">
        <v>74</v>
      </c>
      <c r="BO570" t="s">
        <v>74</v>
      </c>
      <c r="BP570" t="s">
        <v>74</v>
      </c>
      <c r="BQ570" t="s">
        <v>74</v>
      </c>
      <c r="BR570" t="s">
        <v>102</v>
      </c>
      <c r="BS570" t="s">
        <v>10867</v>
      </c>
      <c r="BT570" t="str">
        <f>HYPERLINK("https%3A%2F%2Fwww.webofscience.com%2Fwos%2Fwoscc%2Ffull-record%2FWOS:000822566200008","View Full Record in Web of Science")</f>
        <v>View Full Record in Web of Science</v>
      </c>
    </row>
    <row r="571" spans="1:72" x14ac:dyDescent="0.2">
      <c r="A571" t="s">
        <v>72</v>
      </c>
      <c r="B571" t="s">
        <v>10868</v>
      </c>
      <c r="C571" t="s">
        <v>74</v>
      </c>
      <c r="D571" t="s">
        <v>74</v>
      </c>
      <c r="E571" t="s">
        <v>74</v>
      </c>
      <c r="F571" t="s">
        <v>10869</v>
      </c>
      <c r="G571" t="s">
        <v>74</v>
      </c>
      <c r="H571" t="s">
        <v>74</v>
      </c>
      <c r="I571" t="s">
        <v>10870</v>
      </c>
      <c r="J571" t="s">
        <v>2468</v>
      </c>
      <c r="K571" t="s">
        <v>74</v>
      </c>
      <c r="L571" t="s">
        <v>74</v>
      </c>
      <c r="M571" t="s">
        <v>78</v>
      </c>
      <c r="N571" t="s">
        <v>917</v>
      </c>
      <c r="O571" t="s">
        <v>74</v>
      </c>
      <c r="P571" t="s">
        <v>74</v>
      </c>
      <c r="Q571" t="s">
        <v>74</v>
      </c>
      <c r="R571" t="s">
        <v>74</v>
      </c>
      <c r="S571" t="s">
        <v>74</v>
      </c>
      <c r="T571" t="s">
        <v>10871</v>
      </c>
      <c r="U571" t="s">
        <v>10872</v>
      </c>
      <c r="V571" t="s">
        <v>10873</v>
      </c>
      <c r="W571" t="s">
        <v>10874</v>
      </c>
      <c r="X571" t="s">
        <v>5847</v>
      </c>
      <c r="Y571" t="s">
        <v>10875</v>
      </c>
      <c r="Z571" t="s">
        <v>10876</v>
      </c>
      <c r="AA571" t="s">
        <v>74</v>
      </c>
      <c r="AB571" t="s">
        <v>10877</v>
      </c>
      <c r="AC571" t="s">
        <v>10878</v>
      </c>
      <c r="AD571" t="s">
        <v>10879</v>
      </c>
      <c r="AE571" t="s">
        <v>10880</v>
      </c>
      <c r="AF571" t="s">
        <v>74</v>
      </c>
      <c r="AG571">
        <v>25</v>
      </c>
      <c r="AH571">
        <v>0</v>
      </c>
      <c r="AI571">
        <v>0</v>
      </c>
      <c r="AJ571">
        <v>5</v>
      </c>
      <c r="AK571">
        <v>5</v>
      </c>
      <c r="AL571" t="s">
        <v>2478</v>
      </c>
      <c r="AM571" t="s">
        <v>90</v>
      </c>
      <c r="AN571" t="s">
        <v>2479</v>
      </c>
      <c r="AO571" t="s">
        <v>2480</v>
      </c>
      <c r="AP571" t="s">
        <v>2481</v>
      </c>
      <c r="AQ571" t="s">
        <v>74</v>
      </c>
      <c r="AR571" t="s">
        <v>2468</v>
      </c>
      <c r="AS571" t="s">
        <v>2482</v>
      </c>
      <c r="AT571" t="s">
        <v>4377</v>
      </c>
      <c r="AU571">
        <v>2023</v>
      </c>
      <c r="AV571" t="s">
        <v>74</v>
      </c>
      <c r="AW571" t="s">
        <v>74</v>
      </c>
      <c r="AX571" t="s">
        <v>74</v>
      </c>
      <c r="AY571" t="s">
        <v>74</v>
      </c>
      <c r="AZ571" t="s">
        <v>74</v>
      </c>
      <c r="BA571" t="s">
        <v>74</v>
      </c>
      <c r="BB571" t="s">
        <v>74</v>
      </c>
      <c r="BC571" t="s">
        <v>74</v>
      </c>
      <c r="BD571" t="s">
        <v>74</v>
      </c>
      <c r="BE571" t="s">
        <v>10881</v>
      </c>
      <c r="BF571" t="str">
        <f>HYPERLINK("http://dx.doi.org/10.2166/ws.2023.180","http://dx.doi.org/10.2166/ws.2023.180")</f>
        <v>http://dx.doi.org/10.2166/ws.2023.180</v>
      </c>
      <c r="BG571" t="s">
        <v>74</v>
      </c>
      <c r="BH571" t="s">
        <v>1331</v>
      </c>
      <c r="BI571">
        <v>21</v>
      </c>
      <c r="BJ571" t="s">
        <v>2484</v>
      </c>
      <c r="BK571" t="s">
        <v>98</v>
      </c>
      <c r="BL571" t="s">
        <v>2485</v>
      </c>
      <c r="BM571" t="s">
        <v>10882</v>
      </c>
      <c r="BN571" t="s">
        <v>74</v>
      </c>
      <c r="BO571" t="s">
        <v>126</v>
      </c>
      <c r="BP571" t="s">
        <v>74</v>
      </c>
      <c r="BQ571" t="s">
        <v>74</v>
      </c>
      <c r="BR571" t="s">
        <v>102</v>
      </c>
      <c r="BS571" t="s">
        <v>10883</v>
      </c>
      <c r="BT571" t="str">
        <f>HYPERLINK("https%3A%2F%2Fwww.webofscience.com%2Fwos%2Fwoscc%2Ffull-record%2FWOS:001033535900001","View Full Record in Web of Science")</f>
        <v>View Full Record in Web of Science</v>
      </c>
    </row>
    <row r="572" spans="1:72" x14ac:dyDescent="0.2">
      <c r="A572" t="s">
        <v>72</v>
      </c>
      <c r="B572" t="s">
        <v>10884</v>
      </c>
      <c r="C572" t="s">
        <v>74</v>
      </c>
      <c r="D572" t="s">
        <v>74</v>
      </c>
      <c r="E572" t="s">
        <v>74</v>
      </c>
      <c r="F572" t="s">
        <v>10885</v>
      </c>
      <c r="G572" t="s">
        <v>74</v>
      </c>
      <c r="H572" t="s">
        <v>74</v>
      </c>
      <c r="I572" t="s">
        <v>10886</v>
      </c>
      <c r="J572" t="s">
        <v>131</v>
      </c>
      <c r="K572" t="s">
        <v>74</v>
      </c>
      <c r="L572" t="s">
        <v>74</v>
      </c>
      <c r="M572" t="s">
        <v>78</v>
      </c>
      <c r="N572" t="s">
        <v>108</v>
      </c>
      <c r="O572" t="s">
        <v>74</v>
      </c>
      <c r="P572" t="s">
        <v>74</v>
      </c>
      <c r="Q572" t="s">
        <v>74</v>
      </c>
      <c r="R572" t="s">
        <v>74</v>
      </c>
      <c r="S572" t="s">
        <v>74</v>
      </c>
      <c r="T572" t="s">
        <v>10887</v>
      </c>
      <c r="U572" t="s">
        <v>10888</v>
      </c>
      <c r="V572" t="s">
        <v>10889</v>
      </c>
      <c r="W572" t="s">
        <v>10890</v>
      </c>
      <c r="X572" t="s">
        <v>10891</v>
      </c>
      <c r="Y572" t="s">
        <v>10892</v>
      </c>
      <c r="Z572" t="s">
        <v>10893</v>
      </c>
      <c r="AA572" t="s">
        <v>74</v>
      </c>
      <c r="AB572" t="s">
        <v>74</v>
      </c>
      <c r="AC572" t="s">
        <v>10894</v>
      </c>
      <c r="AD572" t="s">
        <v>10895</v>
      </c>
      <c r="AE572" t="s">
        <v>10896</v>
      </c>
      <c r="AF572" t="s">
        <v>74</v>
      </c>
      <c r="AG572">
        <v>46</v>
      </c>
      <c r="AH572">
        <v>2</v>
      </c>
      <c r="AI572">
        <v>2</v>
      </c>
      <c r="AJ572">
        <v>13</v>
      </c>
      <c r="AK572">
        <v>39</v>
      </c>
      <c r="AL572" t="s">
        <v>116</v>
      </c>
      <c r="AM572" t="s">
        <v>117</v>
      </c>
      <c r="AN572" t="s">
        <v>118</v>
      </c>
      <c r="AO572" t="s">
        <v>74</v>
      </c>
      <c r="AP572" t="s">
        <v>142</v>
      </c>
      <c r="AQ572" t="s">
        <v>74</v>
      </c>
      <c r="AR572" t="s">
        <v>143</v>
      </c>
      <c r="AS572" t="s">
        <v>144</v>
      </c>
      <c r="AT572" t="s">
        <v>616</v>
      </c>
      <c r="AU572">
        <v>2022</v>
      </c>
      <c r="AV572">
        <v>14</v>
      </c>
      <c r="AW572">
        <v>5</v>
      </c>
      <c r="AX572" t="s">
        <v>74</v>
      </c>
      <c r="AY572" t="s">
        <v>74</v>
      </c>
      <c r="AZ572" t="s">
        <v>74</v>
      </c>
      <c r="BA572" t="s">
        <v>74</v>
      </c>
      <c r="BB572" t="s">
        <v>74</v>
      </c>
      <c r="BC572" t="s">
        <v>74</v>
      </c>
      <c r="BD572">
        <v>2821</v>
      </c>
      <c r="BE572" t="s">
        <v>10897</v>
      </c>
      <c r="BF572" t="str">
        <f>HYPERLINK("http://dx.doi.org/10.3390/su14052821","http://dx.doi.org/10.3390/su14052821")</f>
        <v>http://dx.doi.org/10.3390/su14052821</v>
      </c>
      <c r="BG572" t="s">
        <v>74</v>
      </c>
      <c r="BH572" t="s">
        <v>74</v>
      </c>
      <c r="BI572">
        <v>13</v>
      </c>
      <c r="BJ572" t="s">
        <v>146</v>
      </c>
      <c r="BK572" t="s">
        <v>147</v>
      </c>
      <c r="BL572" t="s">
        <v>148</v>
      </c>
      <c r="BM572" t="s">
        <v>10898</v>
      </c>
      <c r="BN572" t="s">
        <v>74</v>
      </c>
      <c r="BO572" t="s">
        <v>126</v>
      </c>
      <c r="BP572" t="s">
        <v>74</v>
      </c>
      <c r="BQ572" t="s">
        <v>74</v>
      </c>
      <c r="BR572" t="s">
        <v>102</v>
      </c>
      <c r="BS572" t="s">
        <v>10899</v>
      </c>
      <c r="BT572" t="str">
        <f>HYPERLINK("https%3A%2F%2Fwww.webofscience.com%2Fwos%2Fwoscc%2Ffull-record%2FWOS:000768374100001","View Full Record in Web of Science")</f>
        <v>View Full Record in Web of Science</v>
      </c>
    </row>
    <row r="573" spans="1:72" x14ac:dyDescent="0.2">
      <c r="A573" t="s">
        <v>72</v>
      </c>
      <c r="B573" t="s">
        <v>10900</v>
      </c>
      <c r="C573" t="s">
        <v>74</v>
      </c>
      <c r="D573" t="s">
        <v>74</v>
      </c>
      <c r="E573" t="s">
        <v>74</v>
      </c>
      <c r="F573" t="s">
        <v>10901</v>
      </c>
      <c r="G573" t="s">
        <v>74</v>
      </c>
      <c r="H573" t="s">
        <v>74</v>
      </c>
      <c r="I573" t="s">
        <v>10902</v>
      </c>
      <c r="J573" t="s">
        <v>531</v>
      </c>
      <c r="K573" t="s">
        <v>74</v>
      </c>
      <c r="L573" t="s">
        <v>74</v>
      </c>
      <c r="M573" t="s">
        <v>78</v>
      </c>
      <c r="N573" t="s">
        <v>108</v>
      </c>
      <c r="O573" t="s">
        <v>74</v>
      </c>
      <c r="P573" t="s">
        <v>74</v>
      </c>
      <c r="Q573" t="s">
        <v>74</v>
      </c>
      <c r="R573" t="s">
        <v>74</v>
      </c>
      <c r="S573" t="s">
        <v>74</v>
      </c>
      <c r="T573" t="s">
        <v>10903</v>
      </c>
      <c r="U573" t="s">
        <v>10904</v>
      </c>
      <c r="V573" t="s">
        <v>10905</v>
      </c>
      <c r="W573" t="s">
        <v>10906</v>
      </c>
      <c r="X573" t="s">
        <v>10907</v>
      </c>
      <c r="Y573" t="s">
        <v>10908</v>
      </c>
      <c r="Z573" t="s">
        <v>10909</v>
      </c>
      <c r="AA573" t="s">
        <v>74</v>
      </c>
      <c r="AB573" t="s">
        <v>10910</v>
      </c>
      <c r="AC573" t="s">
        <v>10911</v>
      </c>
      <c r="AD573" t="s">
        <v>10912</v>
      </c>
      <c r="AE573" t="s">
        <v>10913</v>
      </c>
      <c r="AF573" t="s">
        <v>74</v>
      </c>
      <c r="AG573">
        <v>50</v>
      </c>
      <c r="AH573">
        <v>1</v>
      </c>
      <c r="AI573">
        <v>1</v>
      </c>
      <c r="AJ573">
        <v>9</v>
      </c>
      <c r="AK573">
        <v>19</v>
      </c>
      <c r="AL573" t="s">
        <v>543</v>
      </c>
      <c r="AM573" t="s">
        <v>260</v>
      </c>
      <c r="AN573" t="s">
        <v>544</v>
      </c>
      <c r="AO573" t="s">
        <v>545</v>
      </c>
      <c r="AP573" t="s">
        <v>546</v>
      </c>
      <c r="AQ573" t="s">
        <v>74</v>
      </c>
      <c r="AR573" t="s">
        <v>547</v>
      </c>
      <c r="AS573" t="s">
        <v>548</v>
      </c>
      <c r="AT573" t="s">
        <v>194</v>
      </c>
      <c r="AU573">
        <v>2022</v>
      </c>
      <c r="AV573">
        <v>173</v>
      </c>
      <c r="AW573" t="s">
        <v>74</v>
      </c>
      <c r="AX573" t="s">
        <v>74</v>
      </c>
      <c r="AY573" t="s">
        <v>74</v>
      </c>
      <c r="AZ573" t="s">
        <v>74</v>
      </c>
      <c r="BA573" t="s">
        <v>74</v>
      </c>
      <c r="BB573" t="s">
        <v>74</v>
      </c>
      <c r="BC573" t="s">
        <v>74</v>
      </c>
      <c r="BD573">
        <v>108723</v>
      </c>
      <c r="BE573" t="s">
        <v>10914</v>
      </c>
      <c r="BF573" t="str">
        <f>HYPERLINK("http://dx.doi.org/10.1016/j.cie.2022.108723","http://dx.doi.org/10.1016/j.cie.2022.108723")</f>
        <v>http://dx.doi.org/10.1016/j.cie.2022.108723</v>
      </c>
      <c r="BG573" t="s">
        <v>74</v>
      </c>
      <c r="BH573" t="s">
        <v>590</v>
      </c>
      <c r="BI573">
        <v>15</v>
      </c>
      <c r="BJ573" t="s">
        <v>550</v>
      </c>
      <c r="BK573" t="s">
        <v>98</v>
      </c>
      <c r="BL573" t="s">
        <v>269</v>
      </c>
      <c r="BM573" t="s">
        <v>10915</v>
      </c>
      <c r="BN573" t="s">
        <v>74</v>
      </c>
      <c r="BO573" t="s">
        <v>1019</v>
      </c>
      <c r="BP573" t="s">
        <v>74</v>
      </c>
      <c r="BQ573" t="s">
        <v>74</v>
      </c>
      <c r="BR573" t="s">
        <v>102</v>
      </c>
      <c r="BS573" t="s">
        <v>10916</v>
      </c>
      <c r="BT573" t="str">
        <f>HYPERLINK("https%3A%2F%2Fwww.webofscience.com%2Fwos%2Fwoscc%2Ffull-record%2FWOS:000876471500009","View Full Record in Web of Science")</f>
        <v>View Full Record in Web of Science</v>
      </c>
    </row>
    <row r="574" spans="1:72" x14ac:dyDescent="0.2">
      <c r="A574" t="s">
        <v>72</v>
      </c>
      <c r="B574" t="s">
        <v>10917</v>
      </c>
      <c r="C574" t="s">
        <v>74</v>
      </c>
      <c r="D574" t="s">
        <v>74</v>
      </c>
      <c r="E574" t="s">
        <v>74</v>
      </c>
      <c r="F574" t="s">
        <v>10918</v>
      </c>
      <c r="G574" t="s">
        <v>74</v>
      </c>
      <c r="H574" t="s">
        <v>74</v>
      </c>
      <c r="I574" t="s">
        <v>10919</v>
      </c>
      <c r="J574" t="s">
        <v>10920</v>
      </c>
      <c r="K574" t="s">
        <v>74</v>
      </c>
      <c r="L574" t="s">
        <v>74</v>
      </c>
      <c r="M574" t="s">
        <v>78</v>
      </c>
      <c r="N574" t="s">
        <v>108</v>
      </c>
      <c r="O574" t="s">
        <v>74</v>
      </c>
      <c r="P574" t="s">
        <v>74</v>
      </c>
      <c r="Q574" t="s">
        <v>74</v>
      </c>
      <c r="R574" t="s">
        <v>74</v>
      </c>
      <c r="S574" t="s">
        <v>74</v>
      </c>
      <c r="T574" t="s">
        <v>10921</v>
      </c>
      <c r="U574" t="s">
        <v>10922</v>
      </c>
      <c r="V574" t="s">
        <v>10923</v>
      </c>
      <c r="W574" t="s">
        <v>10924</v>
      </c>
      <c r="X574" t="s">
        <v>10925</v>
      </c>
      <c r="Y574" t="s">
        <v>10926</v>
      </c>
      <c r="Z574" t="s">
        <v>10927</v>
      </c>
      <c r="AA574" t="s">
        <v>10928</v>
      </c>
      <c r="AB574" t="s">
        <v>10929</v>
      </c>
      <c r="AC574" t="s">
        <v>10930</v>
      </c>
      <c r="AD574" t="s">
        <v>10931</v>
      </c>
      <c r="AE574" t="s">
        <v>10932</v>
      </c>
      <c r="AF574" t="s">
        <v>74</v>
      </c>
      <c r="AG574">
        <v>32</v>
      </c>
      <c r="AH574">
        <v>2</v>
      </c>
      <c r="AI574">
        <v>2</v>
      </c>
      <c r="AJ574">
        <v>0</v>
      </c>
      <c r="AK574">
        <v>8</v>
      </c>
      <c r="AL574" t="s">
        <v>167</v>
      </c>
      <c r="AM574" t="s">
        <v>168</v>
      </c>
      <c r="AN574" t="s">
        <v>169</v>
      </c>
      <c r="AO574" t="s">
        <v>10933</v>
      </c>
      <c r="AP574" t="s">
        <v>10934</v>
      </c>
      <c r="AQ574" t="s">
        <v>74</v>
      </c>
      <c r="AR574" t="s">
        <v>10935</v>
      </c>
      <c r="AS574" t="s">
        <v>10936</v>
      </c>
      <c r="AT574" t="s">
        <v>74</v>
      </c>
      <c r="AU574">
        <v>2021</v>
      </c>
      <c r="AV574">
        <v>28</v>
      </c>
      <c r="AW574" t="s">
        <v>74</v>
      </c>
      <c r="AX574" t="s">
        <v>74</v>
      </c>
      <c r="AY574" t="s">
        <v>74</v>
      </c>
      <c r="AZ574" t="s">
        <v>74</v>
      </c>
      <c r="BA574" t="s">
        <v>74</v>
      </c>
      <c r="BB574">
        <v>1070</v>
      </c>
      <c r="BC574">
        <v>1074</v>
      </c>
      <c r="BD574" t="s">
        <v>74</v>
      </c>
      <c r="BE574" t="s">
        <v>10937</v>
      </c>
      <c r="BF574" t="str">
        <f>HYPERLINK("http://dx.doi.org/10.1109/LSP.2021.3080219","http://dx.doi.org/10.1109/LSP.2021.3080219")</f>
        <v>http://dx.doi.org/10.1109/LSP.2021.3080219</v>
      </c>
      <c r="BG574" t="s">
        <v>74</v>
      </c>
      <c r="BH574" t="s">
        <v>74</v>
      </c>
      <c r="BI574">
        <v>5</v>
      </c>
      <c r="BJ574" t="s">
        <v>8460</v>
      </c>
      <c r="BK574" t="s">
        <v>98</v>
      </c>
      <c r="BL574" t="s">
        <v>1292</v>
      </c>
      <c r="BM574" t="s">
        <v>10938</v>
      </c>
      <c r="BN574" t="s">
        <v>74</v>
      </c>
      <c r="BO574" t="s">
        <v>74</v>
      </c>
      <c r="BP574" t="s">
        <v>74</v>
      </c>
      <c r="BQ574" t="s">
        <v>74</v>
      </c>
      <c r="BR574" t="s">
        <v>102</v>
      </c>
      <c r="BS574" t="s">
        <v>10939</v>
      </c>
      <c r="BT574" t="str">
        <f>HYPERLINK("https%3A%2F%2Fwww.webofscience.com%2Fwos%2Fwoscc%2Ffull-record%2FWOS:000658325900006","View Full Record in Web of Science")</f>
        <v>View Full Record in Web of Science</v>
      </c>
    </row>
    <row r="575" spans="1:72" x14ac:dyDescent="0.2">
      <c r="A575" t="s">
        <v>72</v>
      </c>
      <c r="B575" t="s">
        <v>10940</v>
      </c>
      <c r="C575" t="s">
        <v>74</v>
      </c>
      <c r="D575" t="s">
        <v>74</v>
      </c>
      <c r="E575" t="s">
        <v>74</v>
      </c>
      <c r="F575" t="s">
        <v>10941</v>
      </c>
      <c r="G575" t="s">
        <v>74</v>
      </c>
      <c r="H575" t="s">
        <v>74</v>
      </c>
      <c r="I575" t="s">
        <v>10942</v>
      </c>
      <c r="J575" t="s">
        <v>10943</v>
      </c>
      <c r="K575" t="s">
        <v>74</v>
      </c>
      <c r="L575" t="s">
        <v>74</v>
      </c>
      <c r="M575" t="s">
        <v>78</v>
      </c>
      <c r="N575" t="s">
        <v>108</v>
      </c>
      <c r="O575" t="s">
        <v>74</v>
      </c>
      <c r="P575" t="s">
        <v>74</v>
      </c>
      <c r="Q575" t="s">
        <v>74</v>
      </c>
      <c r="R575" t="s">
        <v>74</v>
      </c>
      <c r="S575" t="s">
        <v>74</v>
      </c>
      <c r="T575" t="s">
        <v>74</v>
      </c>
      <c r="U575" t="s">
        <v>74</v>
      </c>
      <c r="V575" t="s">
        <v>10944</v>
      </c>
      <c r="W575" t="s">
        <v>10945</v>
      </c>
      <c r="X575" t="s">
        <v>10946</v>
      </c>
      <c r="Y575" t="s">
        <v>10947</v>
      </c>
      <c r="Z575" t="s">
        <v>10948</v>
      </c>
      <c r="AA575" t="s">
        <v>10949</v>
      </c>
      <c r="AB575" t="s">
        <v>10950</v>
      </c>
      <c r="AC575" t="s">
        <v>74</v>
      </c>
      <c r="AD575" t="s">
        <v>74</v>
      </c>
      <c r="AE575" t="s">
        <v>74</v>
      </c>
      <c r="AF575" t="s">
        <v>74</v>
      </c>
      <c r="AG575">
        <v>23</v>
      </c>
      <c r="AH575">
        <v>0</v>
      </c>
      <c r="AI575">
        <v>0</v>
      </c>
      <c r="AJ575">
        <v>1</v>
      </c>
      <c r="AK575">
        <v>1</v>
      </c>
      <c r="AL575" t="s">
        <v>409</v>
      </c>
      <c r="AM575" t="s">
        <v>410</v>
      </c>
      <c r="AN575" t="s">
        <v>411</v>
      </c>
      <c r="AO575" t="s">
        <v>10951</v>
      </c>
      <c r="AP575" t="s">
        <v>10952</v>
      </c>
      <c r="AQ575" t="s">
        <v>74</v>
      </c>
      <c r="AR575" t="s">
        <v>10953</v>
      </c>
      <c r="AS575" t="s">
        <v>10954</v>
      </c>
      <c r="AT575" t="s">
        <v>738</v>
      </c>
      <c r="AU575">
        <v>2021</v>
      </c>
      <c r="AV575">
        <v>21</v>
      </c>
      <c r="AW575">
        <v>1</v>
      </c>
      <c r="AX575" t="s">
        <v>74</v>
      </c>
      <c r="AY575" t="s">
        <v>74</v>
      </c>
      <c r="AZ575" t="s">
        <v>74</v>
      </c>
      <c r="BA575" t="s">
        <v>74</v>
      </c>
      <c r="BB575" t="s">
        <v>74</v>
      </c>
      <c r="BC575" t="s">
        <v>74</v>
      </c>
      <c r="BD575" t="s">
        <v>10955</v>
      </c>
      <c r="BE575" t="s">
        <v>10956</v>
      </c>
      <c r="BF575" t="str">
        <f>HYPERLINK("http://dx.doi.org/10.1002/pa.1963","http://dx.doi.org/10.1002/pa.1963")</f>
        <v>http://dx.doi.org/10.1002/pa.1963</v>
      </c>
      <c r="BG575" t="s">
        <v>74</v>
      </c>
      <c r="BH575" t="s">
        <v>74</v>
      </c>
      <c r="BI575">
        <v>15</v>
      </c>
      <c r="BJ575" t="s">
        <v>10957</v>
      </c>
      <c r="BK575" t="s">
        <v>124</v>
      </c>
      <c r="BL575" t="s">
        <v>10957</v>
      </c>
      <c r="BM575" t="s">
        <v>10958</v>
      </c>
      <c r="BN575" t="s">
        <v>74</v>
      </c>
      <c r="BO575" t="s">
        <v>74</v>
      </c>
      <c r="BP575" t="s">
        <v>74</v>
      </c>
      <c r="BQ575" t="s">
        <v>74</v>
      </c>
      <c r="BR575" t="s">
        <v>102</v>
      </c>
      <c r="BS575" t="s">
        <v>10959</v>
      </c>
      <c r="BT575" t="str">
        <f>HYPERLINK("https%3A%2F%2Fwww.webofscience.com%2Fwos%2Fwoscc%2Ffull-record%2FWOS:000621026900029","View Full Record in Web of Science")</f>
        <v>View Full Record in Web of Science</v>
      </c>
    </row>
    <row r="576" spans="1:72" x14ac:dyDescent="0.2">
      <c r="A576" t="s">
        <v>72</v>
      </c>
      <c r="B576" t="s">
        <v>10960</v>
      </c>
      <c r="C576" t="s">
        <v>74</v>
      </c>
      <c r="D576" t="s">
        <v>74</v>
      </c>
      <c r="E576" t="s">
        <v>74</v>
      </c>
      <c r="F576" t="s">
        <v>10961</v>
      </c>
      <c r="G576" t="s">
        <v>74</v>
      </c>
      <c r="H576" t="s">
        <v>74</v>
      </c>
      <c r="I576" t="s">
        <v>10962</v>
      </c>
      <c r="J576" t="s">
        <v>10963</v>
      </c>
      <c r="K576" t="s">
        <v>74</v>
      </c>
      <c r="L576" t="s">
        <v>74</v>
      </c>
      <c r="M576" t="s">
        <v>78</v>
      </c>
      <c r="N576" t="s">
        <v>108</v>
      </c>
      <c r="O576" t="s">
        <v>74</v>
      </c>
      <c r="P576" t="s">
        <v>74</v>
      </c>
      <c r="Q576" t="s">
        <v>74</v>
      </c>
      <c r="R576" t="s">
        <v>74</v>
      </c>
      <c r="S576" t="s">
        <v>74</v>
      </c>
      <c r="T576" t="s">
        <v>10964</v>
      </c>
      <c r="U576" t="s">
        <v>10965</v>
      </c>
      <c r="V576" t="s">
        <v>10966</v>
      </c>
      <c r="W576" t="s">
        <v>10967</v>
      </c>
      <c r="X576" t="s">
        <v>6449</v>
      </c>
      <c r="Y576" t="s">
        <v>10968</v>
      </c>
      <c r="Z576" t="s">
        <v>10969</v>
      </c>
      <c r="AA576" t="s">
        <v>10970</v>
      </c>
      <c r="AB576" t="s">
        <v>74</v>
      </c>
      <c r="AC576" t="s">
        <v>10971</v>
      </c>
      <c r="AD576" t="s">
        <v>10971</v>
      </c>
      <c r="AE576" t="s">
        <v>10972</v>
      </c>
      <c r="AF576" t="s">
        <v>74</v>
      </c>
      <c r="AG576">
        <v>27</v>
      </c>
      <c r="AH576">
        <v>8</v>
      </c>
      <c r="AI576">
        <v>8</v>
      </c>
      <c r="AJ576">
        <v>0</v>
      </c>
      <c r="AK576">
        <v>14</v>
      </c>
      <c r="AL576" t="s">
        <v>4005</v>
      </c>
      <c r="AM576" t="s">
        <v>4006</v>
      </c>
      <c r="AN576" t="s">
        <v>4007</v>
      </c>
      <c r="AO576" t="s">
        <v>10973</v>
      </c>
      <c r="AP576" t="s">
        <v>74</v>
      </c>
      <c r="AQ576" t="s">
        <v>74</v>
      </c>
      <c r="AR576" t="s">
        <v>10974</v>
      </c>
      <c r="AS576" t="s">
        <v>10975</v>
      </c>
      <c r="AT576" t="s">
        <v>10976</v>
      </c>
      <c r="AU576">
        <v>2018</v>
      </c>
      <c r="AV576">
        <v>8</v>
      </c>
      <c r="AW576" t="s">
        <v>74</v>
      </c>
      <c r="AX576" t="s">
        <v>74</v>
      </c>
      <c r="AY576" t="s">
        <v>74</v>
      </c>
      <c r="AZ576" t="s">
        <v>74</v>
      </c>
      <c r="BA576" t="s">
        <v>74</v>
      </c>
      <c r="BB576" t="s">
        <v>74</v>
      </c>
      <c r="BC576" t="s">
        <v>74</v>
      </c>
      <c r="BD576">
        <v>2</v>
      </c>
      <c r="BE576" t="s">
        <v>10977</v>
      </c>
      <c r="BF576" t="str">
        <f>HYPERLINK("http://dx.doi.org/10.1186/s13362-018-0044-5","http://dx.doi.org/10.1186/s13362-018-0044-5")</f>
        <v>http://dx.doi.org/10.1186/s13362-018-0044-5</v>
      </c>
      <c r="BG576" t="s">
        <v>74</v>
      </c>
      <c r="BH576" t="s">
        <v>74</v>
      </c>
      <c r="BI576">
        <v>18</v>
      </c>
      <c r="BJ576" t="s">
        <v>10371</v>
      </c>
      <c r="BK576" t="s">
        <v>124</v>
      </c>
      <c r="BL576" t="s">
        <v>1611</v>
      </c>
      <c r="BM576" t="s">
        <v>10978</v>
      </c>
      <c r="BN576" t="s">
        <v>74</v>
      </c>
      <c r="BO576" t="s">
        <v>126</v>
      </c>
      <c r="BP576" t="s">
        <v>74</v>
      </c>
      <c r="BQ576" t="s">
        <v>74</v>
      </c>
      <c r="BR576" t="s">
        <v>102</v>
      </c>
      <c r="BS576" t="s">
        <v>10979</v>
      </c>
      <c r="BT576" t="str">
        <f>HYPERLINK("https%3A%2F%2Fwww.webofscience.com%2Fwos%2Fwoscc%2Ffull-record%2FWOS:000434319500001","View Full Record in Web of Science")</f>
        <v>View Full Record in Web of Science</v>
      </c>
    </row>
    <row r="577" spans="1:72" x14ac:dyDescent="0.2">
      <c r="A577" t="s">
        <v>72</v>
      </c>
      <c r="B577" t="s">
        <v>10980</v>
      </c>
      <c r="C577" t="s">
        <v>74</v>
      </c>
      <c r="D577" t="s">
        <v>74</v>
      </c>
      <c r="E577" t="s">
        <v>74</v>
      </c>
      <c r="F577" t="s">
        <v>10981</v>
      </c>
      <c r="G577" t="s">
        <v>74</v>
      </c>
      <c r="H577" t="s">
        <v>74</v>
      </c>
      <c r="I577" t="s">
        <v>10982</v>
      </c>
      <c r="J577" t="s">
        <v>5249</v>
      </c>
      <c r="K577" t="s">
        <v>74</v>
      </c>
      <c r="L577" t="s">
        <v>74</v>
      </c>
      <c r="M577" t="s">
        <v>78</v>
      </c>
      <c r="N577" t="s">
        <v>108</v>
      </c>
      <c r="O577" t="s">
        <v>74</v>
      </c>
      <c r="P577" t="s">
        <v>74</v>
      </c>
      <c r="Q577" t="s">
        <v>74</v>
      </c>
      <c r="R577" t="s">
        <v>74</v>
      </c>
      <c r="S577" t="s">
        <v>74</v>
      </c>
      <c r="T577" t="s">
        <v>74</v>
      </c>
      <c r="U577" t="s">
        <v>10983</v>
      </c>
      <c r="V577" t="s">
        <v>10984</v>
      </c>
      <c r="W577" t="s">
        <v>10985</v>
      </c>
      <c r="X577" t="s">
        <v>10986</v>
      </c>
      <c r="Y577" t="s">
        <v>10987</v>
      </c>
      <c r="Z577" t="s">
        <v>10988</v>
      </c>
      <c r="AA577" t="s">
        <v>74</v>
      </c>
      <c r="AB577" t="s">
        <v>74</v>
      </c>
      <c r="AC577" t="s">
        <v>10989</v>
      </c>
      <c r="AD577" t="s">
        <v>10989</v>
      </c>
      <c r="AE577" t="s">
        <v>10990</v>
      </c>
      <c r="AF577" t="s">
        <v>74</v>
      </c>
      <c r="AG577">
        <v>24</v>
      </c>
      <c r="AH577">
        <v>3</v>
      </c>
      <c r="AI577">
        <v>3</v>
      </c>
      <c r="AJ577">
        <v>1</v>
      </c>
      <c r="AK577">
        <v>9</v>
      </c>
      <c r="AL577" t="s">
        <v>3963</v>
      </c>
      <c r="AM577" t="s">
        <v>90</v>
      </c>
      <c r="AN577" t="s">
        <v>3964</v>
      </c>
      <c r="AO577" t="s">
        <v>5256</v>
      </c>
      <c r="AP577" t="s">
        <v>5257</v>
      </c>
      <c r="AQ577" t="s">
        <v>74</v>
      </c>
      <c r="AR577" t="s">
        <v>5258</v>
      </c>
      <c r="AS577" t="s">
        <v>5259</v>
      </c>
      <c r="AT577" t="s">
        <v>10991</v>
      </c>
      <c r="AU577">
        <v>2021</v>
      </c>
      <c r="AV577">
        <v>2021</v>
      </c>
      <c r="AW577" t="s">
        <v>74</v>
      </c>
      <c r="AX577" t="s">
        <v>74</v>
      </c>
      <c r="AY577" t="s">
        <v>74</v>
      </c>
      <c r="AZ577" t="s">
        <v>74</v>
      </c>
      <c r="BA577" t="s">
        <v>74</v>
      </c>
      <c r="BB577" t="s">
        <v>74</v>
      </c>
      <c r="BC577" t="s">
        <v>74</v>
      </c>
      <c r="BD577">
        <v>2313259</v>
      </c>
      <c r="BE577" t="s">
        <v>10992</v>
      </c>
      <c r="BF577" t="str">
        <f>HYPERLINK("http://dx.doi.org/10.1155/2021/2313259","http://dx.doi.org/10.1155/2021/2313259")</f>
        <v>http://dx.doi.org/10.1155/2021/2313259</v>
      </c>
      <c r="BG577" t="s">
        <v>74</v>
      </c>
      <c r="BH577" t="s">
        <v>74</v>
      </c>
      <c r="BI577">
        <v>13</v>
      </c>
      <c r="BJ577" t="s">
        <v>503</v>
      </c>
      <c r="BK577" t="s">
        <v>147</v>
      </c>
      <c r="BL577" t="s">
        <v>505</v>
      </c>
      <c r="BM577" t="s">
        <v>10993</v>
      </c>
      <c r="BN577" t="s">
        <v>74</v>
      </c>
      <c r="BO577" t="s">
        <v>126</v>
      </c>
      <c r="BP577" t="s">
        <v>74</v>
      </c>
      <c r="BQ577" t="s">
        <v>74</v>
      </c>
      <c r="BR577" t="s">
        <v>102</v>
      </c>
      <c r="BS577" t="s">
        <v>10994</v>
      </c>
      <c r="BT577" t="str">
        <f>HYPERLINK("https%3A%2F%2Fwww.webofscience.com%2Fwos%2Fwoscc%2Ffull-record%2FWOS:000784238500001","View Full Record in Web of Science")</f>
        <v>View Full Record in Web of Science</v>
      </c>
    </row>
    <row r="578" spans="1:72" x14ac:dyDescent="0.2">
      <c r="A578" t="s">
        <v>72</v>
      </c>
      <c r="B578" t="s">
        <v>10995</v>
      </c>
      <c r="C578" t="s">
        <v>74</v>
      </c>
      <c r="D578" t="s">
        <v>74</v>
      </c>
      <c r="E578" t="s">
        <v>74</v>
      </c>
      <c r="F578" t="s">
        <v>10996</v>
      </c>
      <c r="G578" t="s">
        <v>74</v>
      </c>
      <c r="H578" t="s">
        <v>74</v>
      </c>
      <c r="I578" t="s">
        <v>10997</v>
      </c>
      <c r="J578" t="s">
        <v>10998</v>
      </c>
      <c r="K578" t="s">
        <v>74</v>
      </c>
      <c r="L578" t="s">
        <v>74</v>
      </c>
      <c r="M578" t="s">
        <v>78</v>
      </c>
      <c r="N578" t="s">
        <v>79</v>
      </c>
      <c r="O578" t="s">
        <v>74</v>
      </c>
      <c r="P578" t="s">
        <v>74</v>
      </c>
      <c r="Q578" t="s">
        <v>74</v>
      </c>
      <c r="R578" t="s">
        <v>74</v>
      </c>
      <c r="S578" t="s">
        <v>74</v>
      </c>
      <c r="T578" t="s">
        <v>10999</v>
      </c>
      <c r="U578" t="s">
        <v>11000</v>
      </c>
      <c r="V578" t="s">
        <v>11001</v>
      </c>
      <c r="W578" t="s">
        <v>11002</v>
      </c>
      <c r="X578" t="s">
        <v>11003</v>
      </c>
      <c r="Y578" t="s">
        <v>11004</v>
      </c>
      <c r="Z578" t="s">
        <v>11005</v>
      </c>
      <c r="AA578" t="s">
        <v>11006</v>
      </c>
      <c r="AB578" t="s">
        <v>11007</v>
      </c>
      <c r="AC578" t="s">
        <v>11008</v>
      </c>
      <c r="AD578" t="s">
        <v>11009</v>
      </c>
      <c r="AE578" t="s">
        <v>11010</v>
      </c>
      <c r="AF578" t="s">
        <v>74</v>
      </c>
      <c r="AG578">
        <v>72</v>
      </c>
      <c r="AH578">
        <v>4</v>
      </c>
      <c r="AI578">
        <v>4</v>
      </c>
      <c r="AJ578">
        <v>5</v>
      </c>
      <c r="AK578">
        <v>9</v>
      </c>
      <c r="AL578" t="s">
        <v>437</v>
      </c>
      <c r="AM578" t="s">
        <v>438</v>
      </c>
      <c r="AN578" t="s">
        <v>439</v>
      </c>
      <c r="AO578" t="s">
        <v>11011</v>
      </c>
      <c r="AP578" t="s">
        <v>11012</v>
      </c>
      <c r="AQ578" t="s">
        <v>74</v>
      </c>
      <c r="AR578" t="s">
        <v>11013</v>
      </c>
      <c r="AS578" t="s">
        <v>11014</v>
      </c>
      <c r="AT578" t="s">
        <v>3944</v>
      </c>
      <c r="AU578">
        <v>2023</v>
      </c>
      <c r="AV578">
        <v>125</v>
      </c>
      <c r="AW578">
        <v>6</v>
      </c>
      <c r="AX578" t="s">
        <v>74</v>
      </c>
      <c r="AY578" t="s">
        <v>74</v>
      </c>
      <c r="AZ578" t="s">
        <v>74</v>
      </c>
      <c r="BA578" t="s">
        <v>74</v>
      </c>
      <c r="BB578">
        <v>2315</v>
      </c>
      <c r="BC578">
        <v>2332</v>
      </c>
      <c r="BD578" t="s">
        <v>74</v>
      </c>
      <c r="BE578" t="s">
        <v>11015</v>
      </c>
      <c r="BF578" t="str">
        <f>HYPERLINK("http://dx.doi.org/10.1108/BFJ-07-2022-0571","http://dx.doi.org/10.1108/BFJ-07-2022-0571")</f>
        <v>http://dx.doi.org/10.1108/BFJ-07-2022-0571</v>
      </c>
      <c r="BG578" t="s">
        <v>74</v>
      </c>
      <c r="BH578" t="s">
        <v>218</v>
      </c>
      <c r="BI578">
        <v>18</v>
      </c>
      <c r="BJ578" t="s">
        <v>11016</v>
      </c>
      <c r="BK578" t="s">
        <v>98</v>
      </c>
      <c r="BL578" t="s">
        <v>11017</v>
      </c>
      <c r="BM578" t="s">
        <v>11018</v>
      </c>
      <c r="BN578" t="s">
        <v>74</v>
      </c>
      <c r="BO578" t="s">
        <v>74</v>
      </c>
      <c r="BP578" t="s">
        <v>74</v>
      </c>
      <c r="BQ578" t="s">
        <v>74</v>
      </c>
      <c r="BR578" t="s">
        <v>102</v>
      </c>
      <c r="BS578" t="s">
        <v>11019</v>
      </c>
      <c r="BT578" t="str">
        <f>HYPERLINK("https%3A%2F%2Fwww.webofscience.com%2Fwos%2Fwoscc%2Ffull-record%2FWOS:000884877600001","View Full Record in Web of Science")</f>
        <v>View Full Record in Web of Science</v>
      </c>
    </row>
    <row r="579" spans="1:72" x14ac:dyDescent="0.2">
      <c r="A579" t="s">
        <v>72</v>
      </c>
      <c r="B579" t="s">
        <v>11020</v>
      </c>
      <c r="C579" t="s">
        <v>74</v>
      </c>
      <c r="D579" t="s">
        <v>74</v>
      </c>
      <c r="E579" t="s">
        <v>74</v>
      </c>
      <c r="F579" t="s">
        <v>11021</v>
      </c>
      <c r="G579" t="s">
        <v>74</v>
      </c>
      <c r="H579" t="s">
        <v>74</v>
      </c>
      <c r="I579" t="s">
        <v>11022</v>
      </c>
      <c r="J579" t="s">
        <v>11023</v>
      </c>
      <c r="K579" t="s">
        <v>74</v>
      </c>
      <c r="L579" t="s">
        <v>74</v>
      </c>
      <c r="M579" t="s">
        <v>78</v>
      </c>
      <c r="N579" t="s">
        <v>108</v>
      </c>
      <c r="O579" t="s">
        <v>74</v>
      </c>
      <c r="P579" t="s">
        <v>74</v>
      </c>
      <c r="Q579" t="s">
        <v>74</v>
      </c>
      <c r="R579" t="s">
        <v>74</v>
      </c>
      <c r="S579" t="s">
        <v>74</v>
      </c>
      <c r="T579" t="s">
        <v>11024</v>
      </c>
      <c r="U579" t="s">
        <v>11025</v>
      </c>
      <c r="V579" t="s">
        <v>11026</v>
      </c>
      <c r="W579" t="s">
        <v>11027</v>
      </c>
      <c r="X579" t="s">
        <v>11028</v>
      </c>
      <c r="Y579" t="s">
        <v>11029</v>
      </c>
      <c r="Z579" t="s">
        <v>11030</v>
      </c>
      <c r="AA579" t="s">
        <v>11031</v>
      </c>
      <c r="AB579" t="s">
        <v>11032</v>
      </c>
      <c r="AC579" t="s">
        <v>11033</v>
      </c>
      <c r="AD579" t="s">
        <v>11034</v>
      </c>
      <c r="AE579" t="s">
        <v>11035</v>
      </c>
      <c r="AF579" t="s">
        <v>74</v>
      </c>
      <c r="AG579">
        <v>44</v>
      </c>
      <c r="AH579">
        <v>3</v>
      </c>
      <c r="AI579">
        <v>3</v>
      </c>
      <c r="AJ579">
        <v>5</v>
      </c>
      <c r="AK579">
        <v>11</v>
      </c>
      <c r="AL579" t="s">
        <v>209</v>
      </c>
      <c r="AM579" t="s">
        <v>210</v>
      </c>
      <c r="AN579" t="s">
        <v>211</v>
      </c>
      <c r="AO579" t="s">
        <v>11036</v>
      </c>
      <c r="AP579" t="s">
        <v>11037</v>
      </c>
      <c r="AQ579" t="s">
        <v>74</v>
      </c>
      <c r="AR579" t="s">
        <v>11038</v>
      </c>
      <c r="AS579" t="s">
        <v>11039</v>
      </c>
      <c r="AT579" t="s">
        <v>394</v>
      </c>
      <c r="AU579">
        <v>2022</v>
      </c>
      <c r="AV579">
        <v>34</v>
      </c>
      <c r="AW579">
        <v>8</v>
      </c>
      <c r="AX579" t="s">
        <v>2438</v>
      </c>
      <c r="AY579" t="s">
        <v>74</v>
      </c>
      <c r="AZ579" t="s">
        <v>74</v>
      </c>
      <c r="BA579" t="s">
        <v>74</v>
      </c>
      <c r="BB579">
        <v>6377</v>
      </c>
      <c r="BC579">
        <v>6384</v>
      </c>
      <c r="BD579" t="s">
        <v>74</v>
      </c>
      <c r="BE579" t="s">
        <v>11040</v>
      </c>
      <c r="BF579" t="str">
        <f>HYPERLINK("http://dx.doi.org/10.1016/j.jksuci.2021.08.003","http://dx.doi.org/10.1016/j.jksuci.2021.08.003")</f>
        <v>http://dx.doi.org/10.1016/j.jksuci.2021.08.003</v>
      </c>
      <c r="BG579" t="s">
        <v>74</v>
      </c>
      <c r="BH579" t="s">
        <v>572</v>
      </c>
      <c r="BI579">
        <v>8</v>
      </c>
      <c r="BJ579" t="s">
        <v>123</v>
      </c>
      <c r="BK579" t="s">
        <v>98</v>
      </c>
      <c r="BL579" t="s">
        <v>99</v>
      </c>
      <c r="BM579" t="s">
        <v>11041</v>
      </c>
      <c r="BN579" t="s">
        <v>74</v>
      </c>
      <c r="BO579" t="s">
        <v>126</v>
      </c>
      <c r="BP579" t="s">
        <v>74</v>
      </c>
      <c r="BQ579" t="s">
        <v>74</v>
      </c>
      <c r="BR579" t="s">
        <v>102</v>
      </c>
      <c r="BS579" t="s">
        <v>11042</v>
      </c>
      <c r="BT579" t="str">
        <f>HYPERLINK("https%3A%2F%2Fwww.webofscience.com%2Fwos%2Fwoscc%2Ffull-record%2FWOS:000862928800014","View Full Record in Web of Science")</f>
        <v>View Full Record in Web of Science</v>
      </c>
    </row>
    <row r="580" spans="1:72" x14ac:dyDescent="0.2">
      <c r="A580" t="s">
        <v>72</v>
      </c>
      <c r="B580" t="s">
        <v>11043</v>
      </c>
      <c r="C580" t="s">
        <v>74</v>
      </c>
      <c r="D580" t="s">
        <v>74</v>
      </c>
      <c r="E580" t="s">
        <v>74</v>
      </c>
      <c r="F580" t="s">
        <v>11044</v>
      </c>
      <c r="G580" t="s">
        <v>74</v>
      </c>
      <c r="H580" t="s">
        <v>74</v>
      </c>
      <c r="I580" t="s">
        <v>11045</v>
      </c>
      <c r="J580" t="s">
        <v>4126</v>
      </c>
      <c r="K580" t="s">
        <v>74</v>
      </c>
      <c r="L580" t="s">
        <v>74</v>
      </c>
      <c r="M580" t="s">
        <v>78</v>
      </c>
      <c r="N580" t="s">
        <v>108</v>
      </c>
      <c r="O580" t="s">
        <v>74</v>
      </c>
      <c r="P580" t="s">
        <v>74</v>
      </c>
      <c r="Q580" t="s">
        <v>74</v>
      </c>
      <c r="R580" t="s">
        <v>74</v>
      </c>
      <c r="S580" t="s">
        <v>74</v>
      </c>
      <c r="T580" t="s">
        <v>11046</v>
      </c>
      <c r="U580" t="s">
        <v>11047</v>
      </c>
      <c r="V580" t="s">
        <v>11048</v>
      </c>
      <c r="W580" t="s">
        <v>11049</v>
      </c>
      <c r="X580" t="s">
        <v>11050</v>
      </c>
      <c r="Y580" t="s">
        <v>11051</v>
      </c>
      <c r="Z580" t="s">
        <v>11052</v>
      </c>
      <c r="AA580" t="s">
        <v>74</v>
      </c>
      <c r="AB580" t="s">
        <v>11053</v>
      </c>
      <c r="AC580" t="s">
        <v>11054</v>
      </c>
      <c r="AD580" t="s">
        <v>11055</v>
      </c>
      <c r="AE580" t="s">
        <v>11056</v>
      </c>
      <c r="AF580" t="s">
        <v>74</v>
      </c>
      <c r="AG580">
        <v>95</v>
      </c>
      <c r="AH580">
        <v>0</v>
      </c>
      <c r="AI580">
        <v>0</v>
      </c>
      <c r="AJ580">
        <v>15</v>
      </c>
      <c r="AK580">
        <v>15</v>
      </c>
      <c r="AL580" t="s">
        <v>437</v>
      </c>
      <c r="AM580" t="s">
        <v>438</v>
      </c>
      <c r="AN580" t="s">
        <v>439</v>
      </c>
      <c r="AO580" t="s">
        <v>4136</v>
      </c>
      <c r="AP580" t="s">
        <v>4137</v>
      </c>
      <c r="AQ580" t="s">
        <v>74</v>
      </c>
      <c r="AR580" t="s">
        <v>4138</v>
      </c>
      <c r="AS580" t="s">
        <v>4139</v>
      </c>
      <c r="AT580" t="s">
        <v>11057</v>
      </c>
      <c r="AU580">
        <v>2023</v>
      </c>
      <c r="AV580">
        <v>36</v>
      </c>
      <c r="AW580">
        <v>4</v>
      </c>
      <c r="AX580" t="s">
        <v>74</v>
      </c>
      <c r="AY580" t="s">
        <v>74</v>
      </c>
      <c r="AZ580" t="s">
        <v>74</v>
      </c>
      <c r="BA580" t="s">
        <v>74</v>
      </c>
      <c r="BB580">
        <v>1056</v>
      </c>
      <c r="BC580">
        <v>1079</v>
      </c>
      <c r="BD580" t="s">
        <v>74</v>
      </c>
      <c r="BE580" t="s">
        <v>11058</v>
      </c>
      <c r="BF580" t="str">
        <f>HYPERLINK("http://dx.doi.org/10.1108/JEIM-11-2022-0404","http://dx.doi.org/10.1108/JEIM-11-2022-0404")</f>
        <v>http://dx.doi.org/10.1108/JEIM-11-2022-0404</v>
      </c>
      <c r="BG580" t="s">
        <v>74</v>
      </c>
      <c r="BH580" t="s">
        <v>619</v>
      </c>
      <c r="BI580">
        <v>24</v>
      </c>
      <c r="BJ580" t="s">
        <v>4142</v>
      </c>
      <c r="BK580" t="s">
        <v>242</v>
      </c>
      <c r="BL580" t="s">
        <v>4143</v>
      </c>
      <c r="BM580" t="s">
        <v>11059</v>
      </c>
      <c r="BN580" t="s">
        <v>74</v>
      </c>
      <c r="BO580" t="s">
        <v>74</v>
      </c>
      <c r="BP580" t="s">
        <v>74</v>
      </c>
      <c r="BQ580" t="s">
        <v>74</v>
      </c>
      <c r="BR580" t="s">
        <v>102</v>
      </c>
      <c r="BS580" t="s">
        <v>11060</v>
      </c>
      <c r="BT580" t="str">
        <f>HYPERLINK("https%3A%2F%2Fwww.webofscience.com%2Fwos%2Fwoscc%2Ffull-record%2FWOS:000959853900001","View Full Record in Web of Science")</f>
        <v>View Full Record in Web of Science</v>
      </c>
    </row>
    <row r="581" spans="1:72" x14ac:dyDescent="0.2">
      <c r="A581" t="s">
        <v>72</v>
      </c>
      <c r="B581" t="s">
        <v>11061</v>
      </c>
      <c r="C581" t="s">
        <v>74</v>
      </c>
      <c r="D581" t="s">
        <v>74</v>
      </c>
      <c r="E581" t="s">
        <v>74</v>
      </c>
      <c r="F581" t="s">
        <v>11062</v>
      </c>
      <c r="G581" t="s">
        <v>74</v>
      </c>
      <c r="H581" t="s">
        <v>74</v>
      </c>
      <c r="I581" t="s">
        <v>11063</v>
      </c>
      <c r="J581" t="s">
        <v>11064</v>
      </c>
      <c r="K581" t="s">
        <v>74</v>
      </c>
      <c r="L581" t="s">
        <v>74</v>
      </c>
      <c r="M581" t="s">
        <v>78</v>
      </c>
      <c r="N581" t="s">
        <v>79</v>
      </c>
      <c r="O581" t="s">
        <v>74</v>
      </c>
      <c r="P581" t="s">
        <v>74</v>
      </c>
      <c r="Q581" t="s">
        <v>74</v>
      </c>
      <c r="R581" t="s">
        <v>74</v>
      </c>
      <c r="S581" t="s">
        <v>74</v>
      </c>
      <c r="T581" t="s">
        <v>11065</v>
      </c>
      <c r="U581" t="s">
        <v>11066</v>
      </c>
      <c r="V581" t="s">
        <v>11067</v>
      </c>
      <c r="W581" t="s">
        <v>11068</v>
      </c>
      <c r="X581" t="s">
        <v>11069</v>
      </c>
      <c r="Y581" t="s">
        <v>11070</v>
      </c>
      <c r="Z581" t="s">
        <v>11071</v>
      </c>
      <c r="AA581" t="s">
        <v>11072</v>
      </c>
      <c r="AB581" t="s">
        <v>11073</v>
      </c>
      <c r="AC581" t="s">
        <v>74</v>
      </c>
      <c r="AD581" t="s">
        <v>74</v>
      </c>
      <c r="AE581" t="s">
        <v>74</v>
      </c>
      <c r="AF581" t="s">
        <v>74</v>
      </c>
      <c r="AG581">
        <v>109</v>
      </c>
      <c r="AH581">
        <v>5</v>
      </c>
      <c r="AI581">
        <v>5</v>
      </c>
      <c r="AJ581">
        <v>4</v>
      </c>
      <c r="AK581">
        <v>24</v>
      </c>
      <c r="AL581" t="s">
        <v>409</v>
      </c>
      <c r="AM581" t="s">
        <v>410</v>
      </c>
      <c r="AN581" t="s">
        <v>411</v>
      </c>
      <c r="AO581" t="s">
        <v>11074</v>
      </c>
      <c r="AP581" t="s">
        <v>11075</v>
      </c>
      <c r="AQ581" t="s">
        <v>74</v>
      </c>
      <c r="AR581" t="s">
        <v>11076</v>
      </c>
      <c r="AS581" t="s">
        <v>11077</v>
      </c>
      <c r="AT581" t="s">
        <v>194</v>
      </c>
      <c r="AU581">
        <v>2021</v>
      </c>
      <c r="AV581">
        <v>38</v>
      </c>
      <c r="AW581">
        <v>6</v>
      </c>
      <c r="AX581" t="s">
        <v>74</v>
      </c>
      <c r="AY581" t="s">
        <v>74</v>
      </c>
      <c r="AZ581" t="s">
        <v>74</v>
      </c>
      <c r="BA581" t="s">
        <v>74</v>
      </c>
      <c r="BB581">
        <v>738</v>
      </c>
      <c r="BC581">
        <v>755</v>
      </c>
      <c r="BD581" t="s">
        <v>74</v>
      </c>
      <c r="BE581" t="s">
        <v>11078</v>
      </c>
      <c r="BF581" t="str">
        <f>HYPERLINK("http://dx.doi.org/10.1002/sres.2731","http://dx.doi.org/10.1002/sres.2731")</f>
        <v>http://dx.doi.org/10.1002/sres.2731</v>
      </c>
      <c r="BG581" t="s">
        <v>74</v>
      </c>
      <c r="BH581" t="s">
        <v>826</v>
      </c>
      <c r="BI581">
        <v>18</v>
      </c>
      <c r="BJ581" t="s">
        <v>11079</v>
      </c>
      <c r="BK581" t="s">
        <v>242</v>
      </c>
      <c r="BL581" t="s">
        <v>647</v>
      </c>
      <c r="BM581" t="s">
        <v>11080</v>
      </c>
      <c r="BN581" t="s">
        <v>74</v>
      </c>
      <c r="BO581" t="s">
        <v>74</v>
      </c>
      <c r="BP581" t="s">
        <v>74</v>
      </c>
      <c r="BQ581" t="s">
        <v>74</v>
      </c>
      <c r="BR581" t="s">
        <v>102</v>
      </c>
      <c r="BS581" t="s">
        <v>11081</v>
      </c>
      <c r="BT581" t="str">
        <f>HYPERLINK("https%3A%2F%2Fwww.webofscience.com%2Fwos%2Fwoscc%2Ffull-record%2FWOS:000558699600001","View Full Record in Web of Science")</f>
        <v>View Full Record in Web of Science</v>
      </c>
    </row>
    <row r="582" spans="1:72" x14ac:dyDescent="0.2">
      <c r="A582" t="s">
        <v>72</v>
      </c>
      <c r="B582" t="s">
        <v>11082</v>
      </c>
      <c r="C582" t="s">
        <v>74</v>
      </c>
      <c r="D582" t="s">
        <v>74</v>
      </c>
      <c r="E582" t="s">
        <v>74</v>
      </c>
      <c r="F582" t="s">
        <v>11083</v>
      </c>
      <c r="G582" t="s">
        <v>74</v>
      </c>
      <c r="H582" t="s">
        <v>74</v>
      </c>
      <c r="I582" t="s">
        <v>11084</v>
      </c>
      <c r="J582" t="s">
        <v>11085</v>
      </c>
      <c r="K582" t="s">
        <v>74</v>
      </c>
      <c r="L582" t="s">
        <v>74</v>
      </c>
      <c r="M582" t="s">
        <v>78</v>
      </c>
      <c r="N582" t="s">
        <v>79</v>
      </c>
      <c r="O582" t="s">
        <v>74</v>
      </c>
      <c r="P582" t="s">
        <v>74</v>
      </c>
      <c r="Q582" t="s">
        <v>74</v>
      </c>
      <c r="R582" t="s">
        <v>74</v>
      </c>
      <c r="S582" t="s">
        <v>74</v>
      </c>
      <c r="T582" t="s">
        <v>11086</v>
      </c>
      <c r="U582" t="s">
        <v>11087</v>
      </c>
      <c r="V582" t="s">
        <v>11088</v>
      </c>
      <c r="W582" t="s">
        <v>11089</v>
      </c>
      <c r="X582" t="s">
        <v>11090</v>
      </c>
      <c r="Y582" t="s">
        <v>11091</v>
      </c>
      <c r="Z582" t="s">
        <v>11092</v>
      </c>
      <c r="AA582" t="s">
        <v>11093</v>
      </c>
      <c r="AB582" t="s">
        <v>11094</v>
      </c>
      <c r="AC582" t="s">
        <v>74</v>
      </c>
      <c r="AD582" t="s">
        <v>74</v>
      </c>
      <c r="AE582" t="s">
        <v>74</v>
      </c>
      <c r="AF582" t="s">
        <v>74</v>
      </c>
      <c r="AG582">
        <v>176</v>
      </c>
      <c r="AH582">
        <v>78</v>
      </c>
      <c r="AI582">
        <v>79</v>
      </c>
      <c r="AJ582">
        <v>18</v>
      </c>
      <c r="AK582">
        <v>88</v>
      </c>
      <c r="AL582" t="s">
        <v>209</v>
      </c>
      <c r="AM582" t="s">
        <v>210</v>
      </c>
      <c r="AN582" t="s">
        <v>211</v>
      </c>
      <c r="AO582" t="s">
        <v>11095</v>
      </c>
      <c r="AP582" t="s">
        <v>11096</v>
      </c>
      <c r="AQ582" t="s">
        <v>74</v>
      </c>
      <c r="AR582" t="s">
        <v>11097</v>
      </c>
      <c r="AS582" t="s">
        <v>11098</v>
      </c>
      <c r="AT582" t="s">
        <v>216</v>
      </c>
      <c r="AU582">
        <v>2020</v>
      </c>
      <c r="AV582">
        <v>12</v>
      </c>
      <c r="AW582" t="s">
        <v>74</v>
      </c>
      <c r="AX582" t="s">
        <v>74</v>
      </c>
      <c r="AY582" t="s">
        <v>74</v>
      </c>
      <c r="AZ582" t="s">
        <v>74</v>
      </c>
      <c r="BA582" t="s">
        <v>74</v>
      </c>
      <c r="BB582" t="s">
        <v>74</v>
      </c>
      <c r="BC582" t="s">
        <v>74</v>
      </c>
      <c r="BD582">
        <v>100318</v>
      </c>
      <c r="BE582" t="s">
        <v>11099</v>
      </c>
      <c r="BF582" t="str">
        <f>HYPERLINK("http://dx.doi.org/10.1016/j.iot.2020.100318","http://dx.doi.org/10.1016/j.iot.2020.100318")</f>
        <v>http://dx.doi.org/10.1016/j.iot.2020.100318</v>
      </c>
      <c r="BG582" t="s">
        <v>74</v>
      </c>
      <c r="BH582" t="s">
        <v>74</v>
      </c>
      <c r="BI582">
        <v>16</v>
      </c>
      <c r="BJ582" t="s">
        <v>2959</v>
      </c>
      <c r="BK582" t="s">
        <v>98</v>
      </c>
      <c r="BL582" t="s">
        <v>2960</v>
      </c>
      <c r="BM582" t="s">
        <v>11100</v>
      </c>
      <c r="BN582" t="s">
        <v>74</v>
      </c>
      <c r="BO582" t="s">
        <v>702</v>
      </c>
      <c r="BP582" t="s">
        <v>74</v>
      </c>
      <c r="BQ582" t="s">
        <v>74</v>
      </c>
      <c r="BR582" t="s">
        <v>102</v>
      </c>
      <c r="BS582" t="s">
        <v>11101</v>
      </c>
      <c r="BT582" t="str">
        <f>HYPERLINK("https%3A%2F%2Fwww.webofscience.com%2Fwos%2Fwoscc%2Ffull-record%2FWOS:000695695600029","View Full Record in Web of Science")</f>
        <v>View Full Record in Web of Science</v>
      </c>
    </row>
    <row r="583" spans="1:72" x14ac:dyDescent="0.2">
      <c r="A583" t="s">
        <v>72</v>
      </c>
      <c r="B583" t="s">
        <v>11102</v>
      </c>
      <c r="C583" t="s">
        <v>74</v>
      </c>
      <c r="D583" t="s">
        <v>74</v>
      </c>
      <c r="E583" t="s">
        <v>74</v>
      </c>
      <c r="F583" t="s">
        <v>11103</v>
      </c>
      <c r="G583" t="s">
        <v>74</v>
      </c>
      <c r="H583" t="s">
        <v>74</v>
      </c>
      <c r="I583" t="s">
        <v>11104</v>
      </c>
      <c r="J583" t="s">
        <v>5545</v>
      </c>
      <c r="K583" t="s">
        <v>74</v>
      </c>
      <c r="L583" t="s">
        <v>74</v>
      </c>
      <c r="M583" t="s">
        <v>78</v>
      </c>
      <c r="N583" t="s">
        <v>108</v>
      </c>
      <c r="O583" t="s">
        <v>74</v>
      </c>
      <c r="P583" t="s">
        <v>74</v>
      </c>
      <c r="Q583" t="s">
        <v>74</v>
      </c>
      <c r="R583" t="s">
        <v>74</v>
      </c>
      <c r="S583" t="s">
        <v>74</v>
      </c>
      <c r="T583" t="s">
        <v>11105</v>
      </c>
      <c r="U583" t="s">
        <v>11106</v>
      </c>
      <c r="V583" t="s">
        <v>11107</v>
      </c>
      <c r="W583" t="s">
        <v>11108</v>
      </c>
      <c r="X583" t="s">
        <v>11109</v>
      </c>
      <c r="Y583" t="s">
        <v>11110</v>
      </c>
      <c r="Z583" t="s">
        <v>11111</v>
      </c>
      <c r="AA583" t="s">
        <v>11112</v>
      </c>
      <c r="AB583" t="s">
        <v>11113</v>
      </c>
      <c r="AC583" t="s">
        <v>74</v>
      </c>
      <c r="AD583" t="s">
        <v>74</v>
      </c>
      <c r="AE583" t="s">
        <v>74</v>
      </c>
      <c r="AF583" t="s">
        <v>74</v>
      </c>
      <c r="AG583">
        <v>125</v>
      </c>
      <c r="AH583">
        <v>15</v>
      </c>
      <c r="AI583">
        <v>16</v>
      </c>
      <c r="AJ583">
        <v>9</v>
      </c>
      <c r="AK583">
        <v>80</v>
      </c>
      <c r="AL583" t="s">
        <v>437</v>
      </c>
      <c r="AM583" t="s">
        <v>438</v>
      </c>
      <c r="AN583" t="s">
        <v>439</v>
      </c>
      <c r="AO583" t="s">
        <v>5556</v>
      </c>
      <c r="AP583" t="s">
        <v>5557</v>
      </c>
      <c r="AQ583" t="s">
        <v>74</v>
      </c>
      <c r="AR583" t="s">
        <v>5558</v>
      </c>
      <c r="AS583" t="s">
        <v>5559</v>
      </c>
      <c r="AT583" t="s">
        <v>11114</v>
      </c>
      <c r="AU583">
        <v>2019</v>
      </c>
      <c r="AV583">
        <v>39</v>
      </c>
      <c r="AW583" t="s">
        <v>11115</v>
      </c>
      <c r="AX583" t="s">
        <v>74</v>
      </c>
      <c r="AY583" t="s">
        <v>74</v>
      </c>
      <c r="AZ583" t="s">
        <v>74</v>
      </c>
      <c r="BA583" t="s">
        <v>74</v>
      </c>
      <c r="BB583">
        <v>1076</v>
      </c>
      <c r="BC583">
        <v>1098</v>
      </c>
      <c r="BD583" t="s">
        <v>74</v>
      </c>
      <c r="BE583" t="s">
        <v>11116</v>
      </c>
      <c r="BF583" t="str">
        <f>HYPERLINK("http://dx.doi.org/10.1108/IJOPM-04-2018-0225","http://dx.doi.org/10.1108/IJOPM-04-2018-0225")</f>
        <v>http://dx.doi.org/10.1108/IJOPM-04-2018-0225</v>
      </c>
      <c r="BG583" t="s">
        <v>74</v>
      </c>
      <c r="BH583" t="s">
        <v>74</v>
      </c>
      <c r="BI583">
        <v>23</v>
      </c>
      <c r="BJ583" t="s">
        <v>418</v>
      </c>
      <c r="BK583" t="s">
        <v>242</v>
      </c>
      <c r="BL583" t="s">
        <v>419</v>
      </c>
      <c r="BM583" t="s">
        <v>11117</v>
      </c>
      <c r="BN583" t="s">
        <v>74</v>
      </c>
      <c r="BO583" t="s">
        <v>1833</v>
      </c>
      <c r="BP583" t="s">
        <v>74</v>
      </c>
      <c r="BQ583" t="s">
        <v>74</v>
      </c>
      <c r="BR583" t="s">
        <v>102</v>
      </c>
      <c r="BS583" t="s">
        <v>11118</v>
      </c>
      <c r="BT583" t="str">
        <f>HYPERLINK("https%3A%2F%2Fwww.webofscience.com%2Fwos%2Fwoscc%2Ffull-record%2FWOS:000497795200003","View Full Record in Web of Science")</f>
        <v>View Full Record in Web of Science</v>
      </c>
    </row>
    <row r="584" spans="1:72" x14ac:dyDescent="0.2">
      <c r="A584" t="s">
        <v>72</v>
      </c>
      <c r="B584" t="s">
        <v>11119</v>
      </c>
      <c r="C584" t="s">
        <v>74</v>
      </c>
      <c r="D584" t="s">
        <v>74</v>
      </c>
      <c r="E584" t="s">
        <v>74</v>
      </c>
      <c r="F584" t="s">
        <v>11120</v>
      </c>
      <c r="G584" t="s">
        <v>74</v>
      </c>
      <c r="H584" t="s">
        <v>74</v>
      </c>
      <c r="I584" t="s">
        <v>11121</v>
      </c>
      <c r="J584" t="s">
        <v>11122</v>
      </c>
      <c r="K584" t="s">
        <v>74</v>
      </c>
      <c r="L584" t="s">
        <v>74</v>
      </c>
      <c r="M584" t="s">
        <v>78</v>
      </c>
      <c r="N584" t="s">
        <v>79</v>
      </c>
      <c r="O584" t="s">
        <v>74</v>
      </c>
      <c r="P584" t="s">
        <v>74</v>
      </c>
      <c r="Q584" t="s">
        <v>74</v>
      </c>
      <c r="R584" t="s">
        <v>74</v>
      </c>
      <c r="S584" t="s">
        <v>74</v>
      </c>
      <c r="T584" t="s">
        <v>11123</v>
      </c>
      <c r="U584" t="s">
        <v>11124</v>
      </c>
      <c r="V584" t="s">
        <v>11125</v>
      </c>
      <c r="W584" t="s">
        <v>11126</v>
      </c>
      <c r="X584" t="s">
        <v>11127</v>
      </c>
      <c r="Y584" t="s">
        <v>11128</v>
      </c>
      <c r="Z584" t="s">
        <v>11129</v>
      </c>
      <c r="AA584" t="s">
        <v>74</v>
      </c>
      <c r="AB584" t="s">
        <v>11130</v>
      </c>
      <c r="AC584" t="s">
        <v>11131</v>
      </c>
      <c r="AD584" t="s">
        <v>11132</v>
      </c>
      <c r="AE584" t="s">
        <v>11133</v>
      </c>
      <c r="AF584" t="s">
        <v>74</v>
      </c>
      <c r="AG584">
        <v>113</v>
      </c>
      <c r="AH584">
        <v>6</v>
      </c>
      <c r="AI584">
        <v>6</v>
      </c>
      <c r="AJ584">
        <v>42</v>
      </c>
      <c r="AK584">
        <v>83</v>
      </c>
      <c r="AL584" t="s">
        <v>209</v>
      </c>
      <c r="AM584" t="s">
        <v>210</v>
      </c>
      <c r="AN584" t="s">
        <v>211</v>
      </c>
      <c r="AO584" t="s">
        <v>11134</v>
      </c>
      <c r="AP584" t="s">
        <v>11135</v>
      </c>
      <c r="AQ584" t="s">
        <v>74</v>
      </c>
      <c r="AR584" t="s">
        <v>11136</v>
      </c>
      <c r="AS584" t="s">
        <v>11137</v>
      </c>
      <c r="AT584" t="s">
        <v>121</v>
      </c>
      <c r="AU584">
        <v>2022</v>
      </c>
      <c r="AV584">
        <v>42</v>
      </c>
      <c r="AW584" t="s">
        <v>74</v>
      </c>
      <c r="AX584" t="s">
        <v>74</v>
      </c>
      <c r="AY584" t="s">
        <v>74</v>
      </c>
      <c r="AZ584" t="s">
        <v>74</v>
      </c>
      <c r="BA584" t="s">
        <v>74</v>
      </c>
      <c r="BB584" t="s">
        <v>74</v>
      </c>
      <c r="BC584" t="s">
        <v>74</v>
      </c>
      <c r="BD584">
        <v>100867</v>
      </c>
      <c r="BE584" t="s">
        <v>11138</v>
      </c>
      <c r="BF584" t="str">
        <f>HYPERLINK("http://dx.doi.org/10.1016/j.esr.2022.100867","http://dx.doi.org/10.1016/j.esr.2022.100867")</f>
        <v>http://dx.doi.org/10.1016/j.esr.2022.100867</v>
      </c>
      <c r="BG584" t="s">
        <v>74</v>
      </c>
      <c r="BH584" t="s">
        <v>2921</v>
      </c>
      <c r="BI584">
        <v>11</v>
      </c>
      <c r="BJ584" t="s">
        <v>7643</v>
      </c>
      <c r="BK584" t="s">
        <v>98</v>
      </c>
      <c r="BL584" t="s">
        <v>7643</v>
      </c>
      <c r="BM584" t="s">
        <v>11139</v>
      </c>
      <c r="BN584" t="s">
        <v>74</v>
      </c>
      <c r="BO584" t="s">
        <v>126</v>
      </c>
      <c r="BP584" t="s">
        <v>74</v>
      </c>
      <c r="BQ584" t="s">
        <v>74</v>
      </c>
      <c r="BR584" t="s">
        <v>102</v>
      </c>
      <c r="BS584" t="s">
        <v>11140</v>
      </c>
      <c r="BT584" t="str">
        <f>HYPERLINK("https%3A%2F%2Fwww.webofscience.com%2Fwos%2Fwoscc%2Ffull-record%2FWOS:000876855500003","View Full Record in Web of Science")</f>
        <v>View Full Record in Web of Science</v>
      </c>
    </row>
    <row r="585" spans="1:72" x14ac:dyDescent="0.2">
      <c r="A585" t="s">
        <v>72</v>
      </c>
      <c r="B585" t="s">
        <v>11141</v>
      </c>
      <c r="C585" t="s">
        <v>74</v>
      </c>
      <c r="D585" t="s">
        <v>74</v>
      </c>
      <c r="E585" t="s">
        <v>74</v>
      </c>
      <c r="F585" t="s">
        <v>11142</v>
      </c>
      <c r="G585" t="s">
        <v>74</v>
      </c>
      <c r="H585" t="s">
        <v>74</v>
      </c>
      <c r="I585" t="s">
        <v>11143</v>
      </c>
      <c r="J585" t="s">
        <v>4172</v>
      </c>
      <c r="K585" t="s">
        <v>74</v>
      </c>
      <c r="L585" t="s">
        <v>74</v>
      </c>
      <c r="M585" t="s">
        <v>78</v>
      </c>
      <c r="N585" t="s">
        <v>108</v>
      </c>
      <c r="O585" t="s">
        <v>74</v>
      </c>
      <c r="P585" t="s">
        <v>74</v>
      </c>
      <c r="Q585" t="s">
        <v>74</v>
      </c>
      <c r="R585" t="s">
        <v>74</v>
      </c>
      <c r="S585" t="s">
        <v>74</v>
      </c>
      <c r="T585" t="s">
        <v>11144</v>
      </c>
      <c r="U585" t="s">
        <v>11145</v>
      </c>
      <c r="V585" t="s">
        <v>11146</v>
      </c>
      <c r="W585" t="s">
        <v>11147</v>
      </c>
      <c r="X585" t="s">
        <v>11148</v>
      </c>
      <c r="Y585" t="s">
        <v>11149</v>
      </c>
      <c r="Z585" t="s">
        <v>11150</v>
      </c>
      <c r="AA585" t="s">
        <v>11151</v>
      </c>
      <c r="AB585" t="s">
        <v>11152</v>
      </c>
      <c r="AC585" t="s">
        <v>11153</v>
      </c>
      <c r="AD585" t="s">
        <v>11034</v>
      </c>
      <c r="AE585" t="s">
        <v>11154</v>
      </c>
      <c r="AF585" t="s">
        <v>74</v>
      </c>
      <c r="AG585">
        <v>52</v>
      </c>
      <c r="AH585">
        <v>12</v>
      </c>
      <c r="AI585">
        <v>12</v>
      </c>
      <c r="AJ585">
        <v>0</v>
      </c>
      <c r="AK585">
        <v>17</v>
      </c>
      <c r="AL585" t="s">
        <v>543</v>
      </c>
      <c r="AM585" t="s">
        <v>260</v>
      </c>
      <c r="AN585" t="s">
        <v>544</v>
      </c>
      <c r="AO585" t="s">
        <v>4180</v>
      </c>
      <c r="AP585" t="s">
        <v>4181</v>
      </c>
      <c r="AQ585" t="s">
        <v>74</v>
      </c>
      <c r="AR585" t="s">
        <v>4182</v>
      </c>
      <c r="AS585" t="s">
        <v>4183</v>
      </c>
      <c r="AT585" t="s">
        <v>174</v>
      </c>
      <c r="AU585">
        <v>2018</v>
      </c>
      <c r="AV585">
        <v>98</v>
      </c>
      <c r="AW585" t="s">
        <v>74</v>
      </c>
      <c r="AX585" t="s">
        <v>74</v>
      </c>
      <c r="AY585" t="s">
        <v>74</v>
      </c>
      <c r="AZ585" t="s">
        <v>74</v>
      </c>
      <c r="BA585" t="s">
        <v>74</v>
      </c>
      <c r="BB585">
        <v>113</v>
      </c>
      <c r="BC585">
        <v>126</v>
      </c>
      <c r="BD585" t="s">
        <v>74</v>
      </c>
      <c r="BE585" t="s">
        <v>11155</v>
      </c>
      <c r="BF585" t="str">
        <f>HYPERLINK("http://dx.doi.org/10.1016/j.cor.2018.05.011","http://dx.doi.org/10.1016/j.cor.2018.05.011")</f>
        <v>http://dx.doi.org/10.1016/j.cor.2018.05.011</v>
      </c>
      <c r="BG585" t="s">
        <v>74</v>
      </c>
      <c r="BH585" t="s">
        <v>74</v>
      </c>
      <c r="BI585">
        <v>14</v>
      </c>
      <c r="BJ585" t="s">
        <v>4185</v>
      </c>
      <c r="BK585" t="s">
        <v>147</v>
      </c>
      <c r="BL585" t="s">
        <v>2060</v>
      </c>
      <c r="BM585" t="s">
        <v>7261</v>
      </c>
      <c r="BN585" t="s">
        <v>74</v>
      </c>
      <c r="BO585" t="s">
        <v>74</v>
      </c>
      <c r="BP585" t="s">
        <v>74</v>
      </c>
      <c r="BQ585" t="s">
        <v>74</v>
      </c>
      <c r="BR585" t="s">
        <v>102</v>
      </c>
      <c r="BS585" t="s">
        <v>11156</v>
      </c>
      <c r="BT585" t="str">
        <f>HYPERLINK("https%3A%2F%2Fwww.webofscience.com%2Fwos%2Fwoscc%2Ffull-record%2FWOS:000440526800009","View Full Record in Web of Science")</f>
        <v>View Full Record in Web of Science</v>
      </c>
    </row>
    <row r="586" spans="1:72" x14ac:dyDescent="0.2">
      <c r="A586" t="s">
        <v>475</v>
      </c>
      <c r="B586" t="s">
        <v>11157</v>
      </c>
      <c r="C586" t="s">
        <v>74</v>
      </c>
      <c r="D586" t="s">
        <v>477</v>
      </c>
      <c r="E586" t="s">
        <v>74</v>
      </c>
      <c r="F586" t="s">
        <v>11158</v>
      </c>
      <c r="G586" t="s">
        <v>74</v>
      </c>
      <c r="H586" t="s">
        <v>74</v>
      </c>
      <c r="I586" t="s">
        <v>11159</v>
      </c>
      <c r="J586" t="s">
        <v>480</v>
      </c>
      <c r="K586" t="s">
        <v>481</v>
      </c>
      <c r="L586" t="s">
        <v>74</v>
      </c>
      <c r="M586" t="s">
        <v>78</v>
      </c>
      <c r="N586" t="s">
        <v>482</v>
      </c>
      <c r="O586" t="s">
        <v>483</v>
      </c>
      <c r="P586" t="s">
        <v>484</v>
      </c>
      <c r="Q586" t="s">
        <v>485</v>
      </c>
      <c r="R586" t="s">
        <v>486</v>
      </c>
      <c r="S586" t="s">
        <v>74</v>
      </c>
      <c r="T586" t="s">
        <v>11160</v>
      </c>
      <c r="U586" t="s">
        <v>11161</v>
      </c>
      <c r="V586" t="s">
        <v>11162</v>
      </c>
      <c r="W586" t="s">
        <v>11163</v>
      </c>
      <c r="X586" t="s">
        <v>11164</v>
      </c>
      <c r="Y586" t="s">
        <v>11165</v>
      </c>
      <c r="Z586" t="s">
        <v>11166</v>
      </c>
      <c r="AA586" t="s">
        <v>11167</v>
      </c>
      <c r="AB586" t="s">
        <v>11168</v>
      </c>
      <c r="AC586" t="s">
        <v>74</v>
      </c>
      <c r="AD586" t="s">
        <v>74</v>
      </c>
      <c r="AE586" t="s">
        <v>74</v>
      </c>
      <c r="AF586" t="s">
        <v>74</v>
      </c>
      <c r="AG586">
        <v>22</v>
      </c>
      <c r="AH586">
        <v>1</v>
      </c>
      <c r="AI586">
        <v>1</v>
      </c>
      <c r="AJ586">
        <v>1</v>
      </c>
      <c r="AK586">
        <v>2</v>
      </c>
      <c r="AL586" t="s">
        <v>495</v>
      </c>
      <c r="AM586" t="s">
        <v>496</v>
      </c>
      <c r="AN586" t="s">
        <v>497</v>
      </c>
      <c r="AO586" t="s">
        <v>498</v>
      </c>
      <c r="AP586" t="s">
        <v>499</v>
      </c>
      <c r="AQ586" t="s">
        <v>500</v>
      </c>
      <c r="AR586" t="s">
        <v>501</v>
      </c>
      <c r="AS586" t="s">
        <v>74</v>
      </c>
      <c r="AT586" t="s">
        <v>74</v>
      </c>
      <c r="AU586">
        <v>2021</v>
      </c>
      <c r="AV586">
        <v>633</v>
      </c>
      <c r="AW586" t="s">
        <v>74</v>
      </c>
      <c r="AX586" t="s">
        <v>74</v>
      </c>
      <c r="AY586" t="s">
        <v>74</v>
      </c>
      <c r="AZ586" t="s">
        <v>74</v>
      </c>
      <c r="BA586" t="s">
        <v>74</v>
      </c>
      <c r="BB586">
        <v>169</v>
      </c>
      <c r="BC586">
        <v>178</v>
      </c>
      <c r="BD586" t="s">
        <v>74</v>
      </c>
      <c r="BE586" t="s">
        <v>11169</v>
      </c>
      <c r="BF586" t="str">
        <f>HYPERLINK("http://dx.doi.org/10.1007/978-3-030-85910-7_18","http://dx.doi.org/10.1007/978-3-030-85910-7_18")</f>
        <v>http://dx.doi.org/10.1007/978-3-030-85910-7_18</v>
      </c>
      <c r="BG586" t="s">
        <v>74</v>
      </c>
      <c r="BH586" t="s">
        <v>74</v>
      </c>
      <c r="BI586">
        <v>10</v>
      </c>
      <c r="BJ586" t="s">
        <v>503</v>
      </c>
      <c r="BK586" t="s">
        <v>504</v>
      </c>
      <c r="BL586" t="s">
        <v>505</v>
      </c>
      <c r="BM586" t="s">
        <v>506</v>
      </c>
      <c r="BN586" t="s">
        <v>74</v>
      </c>
      <c r="BO586" t="s">
        <v>74</v>
      </c>
      <c r="BP586" t="s">
        <v>74</v>
      </c>
      <c r="BQ586" t="s">
        <v>74</v>
      </c>
      <c r="BR586" t="s">
        <v>102</v>
      </c>
      <c r="BS586" t="s">
        <v>11170</v>
      </c>
      <c r="BT586" t="str">
        <f>HYPERLINK("https%3A%2F%2Fwww.webofscience.com%2Fwos%2Fwoscc%2Ffull-record%2FWOS:000717519900018","View Full Record in Web of Science")</f>
        <v>View Full Record in Web of Science</v>
      </c>
    </row>
    <row r="587" spans="1:72" x14ac:dyDescent="0.2">
      <c r="A587" t="s">
        <v>72</v>
      </c>
      <c r="B587" t="s">
        <v>11171</v>
      </c>
      <c r="C587" t="s">
        <v>74</v>
      </c>
      <c r="D587" t="s">
        <v>74</v>
      </c>
      <c r="E587" t="s">
        <v>74</v>
      </c>
      <c r="F587" t="s">
        <v>11171</v>
      </c>
      <c r="G587" t="s">
        <v>74</v>
      </c>
      <c r="H587" t="s">
        <v>74</v>
      </c>
      <c r="I587" t="s">
        <v>11172</v>
      </c>
      <c r="J587" t="s">
        <v>11173</v>
      </c>
      <c r="K587" t="s">
        <v>74</v>
      </c>
      <c r="L587" t="s">
        <v>74</v>
      </c>
      <c r="M587" t="s">
        <v>78</v>
      </c>
      <c r="N587" t="s">
        <v>482</v>
      </c>
      <c r="O587" t="s">
        <v>11174</v>
      </c>
      <c r="P587" t="s">
        <v>11175</v>
      </c>
      <c r="Q587" t="s">
        <v>11176</v>
      </c>
      <c r="R587" t="s">
        <v>74</v>
      </c>
      <c r="S587" t="s">
        <v>11177</v>
      </c>
      <c r="T587" t="s">
        <v>11178</v>
      </c>
      <c r="U587" t="s">
        <v>11179</v>
      </c>
      <c r="V587" t="s">
        <v>11180</v>
      </c>
      <c r="W587" t="s">
        <v>11181</v>
      </c>
      <c r="X587" t="s">
        <v>11182</v>
      </c>
      <c r="Y587" t="s">
        <v>11183</v>
      </c>
      <c r="Z587" t="s">
        <v>11184</v>
      </c>
      <c r="AA587" t="s">
        <v>11185</v>
      </c>
      <c r="AB587" t="s">
        <v>74</v>
      </c>
      <c r="AC587" t="s">
        <v>11186</v>
      </c>
      <c r="AD587" t="s">
        <v>11187</v>
      </c>
      <c r="AE587" t="s">
        <v>74</v>
      </c>
      <c r="AF587" t="s">
        <v>74</v>
      </c>
      <c r="AG587">
        <v>41</v>
      </c>
      <c r="AH587">
        <v>62</v>
      </c>
      <c r="AI587">
        <v>62</v>
      </c>
      <c r="AJ587">
        <v>1</v>
      </c>
      <c r="AK587">
        <v>21</v>
      </c>
      <c r="AL587" t="s">
        <v>6915</v>
      </c>
      <c r="AM587" t="s">
        <v>260</v>
      </c>
      <c r="AN587" t="s">
        <v>6916</v>
      </c>
      <c r="AO587" t="s">
        <v>11188</v>
      </c>
      <c r="AP587" t="s">
        <v>11189</v>
      </c>
      <c r="AQ587" t="s">
        <v>74</v>
      </c>
      <c r="AR587" t="s">
        <v>11190</v>
      </c>
      <c r="AS587" t="s">
        <v>11191</v>
      </c>
      <c r="AT587" t="s">
        <v>6756</v>
      </c>
      <c r="AU587">
        <v>2005</v>
      </c>
      <c r="AV587">
        <v>29</v>
      </c>
      <c r="AW587">
        <v>3</v>
      </c>
      <c r="AX587" t="s">
        <v>74</v>
      </c>
      <c r="AY587" t="s">
        <v>74</v>
      </c>
      <c r="AZ587" t="s">
        <v>74</v>
      </c>
      <c r="BA587" t="s">
        <v>74</v>
      </c>
      <c r="BB587">
        <v>325</v>
      </c>
      <c r="BC587">
        <v>341</v>
      </c>
      <c r="BD587" t="s">
        <v>74</v>
      </c>
      <c r="BE587" t="s">
        <v>11192</v>
      </c>
      <c r="BF587" t="str">
        <f>HYPERLINK("http://dx.doi.org/10.1093/cje/bei045","http://dx.doi.org/10.1093/cje/bei045")</f>
        <v>http://dx.doi.org/10.1093/cje/bei045</v>
      </c>
      <c r="BG587" t="s">
        <v>74</v>
      </c>
      <c r="BH587" t="s">
        <v>74</v>
      </c>
      <c r="BI587">
        <v>17</v>
      </c>
      <c r="BJ587" t="s">
        <v>1661</v>
      </c>
      <c r="BK587" t="s">
        <v>11193</v>
      </c>
      <c r="BL587" t="s">
        <v>419</v>
      </c>
      <c r="BM587" t="s">
        <v>11194</v>
      </c>
      <c r="BN587" t="s">
        <v>74</v>
      </c>
      <c r="BO587" t="s">
        <v>74</v>
      </c>
      <c r="BP587" t="s">
        <v>74</v>
      </c>
      <c r="BQ587" t="s">
        <v>74</v>
      </c>
      <c r="BR587" t="s">
        <v>102</v>
      </c>
      <c r="BS587" t="s">
        <v>11195</v>
      </c>
      <c r="BT587" t="str">
        <f>HYPERLINK("https%3A%2F%2Fwww.webofscience.com%2Fwos%2Fwoscc%2Ffull-record%2FWOS:000228635900001","View Full Record in Web of Science")</f>
        <v>View Full Record in Web of Science</v>
      </c>
    </row>
    <row r="588" spans="1:72" x14ac:dyDescent="0.2">
      <c r="A588" t="s">
        <v>72</v>
      </c>
      <c r="B588" t="s">
        <v>11196</v>
      </c>
      <c r="C588" t="s">
        <v>74</v>
      </c>
      <c r="D588" t="s">
        <v>74</v>
      </c>
      <c r="E588" t="s">
        <v>74</v>
      </c>
      <c r="F588" t="s">
        <v>11197</v>
      </c>
      <c r="G588" t="s">
        <v>74</v>
      </c>
      <c r="H588" t="s">
        <v>74</v>
      </c>
      <c r="I588" t="s">
        <v>11198</v>
      </c>
      <c r="J588" t="s">
        <v>11199</v>
      </c>
      <c r="K588" t="s">
        <v>74</v>
      </c>
      <c r="L588" t="s">
        <v>74</v>
      </c>
      <c r="M588" t="s">
        <v>78</v>
      </c>
      <c r="N588" t="s">
        <v>79</v>
      </c>
      <c r="O588" t="s">
        <v>74</v>
      </c>
      <c r="P588" t="s">
        <v>74</v>
      </c>
      <c r="Q588" t="s">
        <v>74</v>
      </c>
      <c r="R588" t="s">
        <v>74</v>
      </c>
      <c r="S588" t="s">
        <v>74</v>
      </c>
      <c r="T588" t="s">
        <v>11200</v>
      </c>
      <c r="U588" t="s">
        <v>11201</v>
      </c>
      <c r="V588" t="s">
        <v>11202</v>
      </c>
      <c r="W588" t="s">
        <v>11203</v>
      </c>
      <c r="X588" t="s">
        <v>11204</v>
      </c>
      <c r="Y588" t="s">
        <v>11205</v>
      </c>
      <c r="Z588" t="s">
        <v>11206</v>
      </c>
      <c r="AA588" t="s">
        <v>11207</v>
      </c>
      <c r="AB588" t="s">
        <v>11208</v>
      </c>
      <c r="AC588" t="s">
        <v>11209</v>
      </c>
      <c r="AD588" t="s">
        <v>11210</v>
      </c>
      <c r="AE588" t="s">
        <v>11211</v>
      </c>
      <c r="AF588" t="s">
        <v>74</v>
      </c>
      <c r="AG588">
        <v>37</v>
      </c>
      <c r="AH588">
        <v>7</v>
      </c>
      <c r="AI588">
        <v>8</v>
      </c>
      <c r="AJ588">
        <v>0</v>
      </c>
      <c r="AK588">
        <v>22</v>
      </c>
      <c r="AL588" t="s">
        <v>543</v>
      </c>
      <c r="AM588" t="s">
        <v>260</v>
      </c>
      <c r="AN588" t="s">
        <v>544</v>
      </c>
      <c r="AO588" t="s">
        <v>11212</v>
      </c>
      <c r="AP588" t="s">
        <v>74</v>
      </c>
      <c r="AQ588" t="s">
        <v>74</v>
      </c>
      <c r="AR588" t="s">
        <v>11213</v>
      </c>
      <c r="AS588" t="s">
        <v>11214</v>
      </c>
      <c r="AT588" t="s">
        <v>11215</v>
      </c>
      <c r="AU588">
        <v>2009</v>
      </c>
      <c r="AV588">
        <v>65</v>
      </c>
      <c r="AW588" t="s">
        <v>3740</v>
      </c>
      <c r="AX588" t="s">
        <v>74</v>
      </c>
      <c r="AY588" t="s">
        <v>74</v>
      </c>
      <c r="AZ588" t="s">
        <v>74</v>
      </c>
      <c r="BA588" t="s">
        <v>74</v>
      </c>
      <c r="BB588">
        <v>330</v>
      </c>
      <c r="BC588">
        <v>346</v>
      </c>
      <c r="BD588" t="s">
        <v>74</v>
      </c>
      <c r="BE588" t="s">
        <v>11216</v>
      </c>
      <c r="BF588" t="str">
        <f>HYPERLINK("http://dx.doi.org/10.1016/j.actaastro.2009.02.017","http://dx.doi.org/10.1016/j.actaastro.2009.02.017")</f>
        <v>http://dx.doi.org/10.1016/j.actaastro.2009.02.017</v>
      </c>
      <c r="BG588" t="s">
        <v>74</v>
      </c>
      <c r="BH588" t="s">
        <v>74</v>
      </c>
      <c r="BI588">
        <v>17</v>
      </c>
      <c r="BJ588" t="s">
        <v>11217</v>
      </c>
      <c r="BK588" t="s">
        <v>98</v>
      </c>
      <c r="BL588" t="s">
        <v>1292</v>
      </c>
      <c r="BM588" t="s">
        <v>11218</v>
      </c>
      <c r="BN588" t="s">
        <v>74</v>
      </c>
      <c r="BO588" t="s">
        <v>74</v>
      </c>
      <c r="BP588" t="s">
        <v>74</v>
      </c>
      <c r="BQ588" t="s">
        <v>74</v>
      </c>
      <c r="BR588" t="s">
        <v>102</v>
      </c>
      <c r="BS588" t="s">
        <v>11219</v>
      </c>
      <c r="BT588" t="str">
        <f>HYPERLINK("https%3A%2F%2Fwww.webofscience.com%2Fwos%2Fwoscc%2Ffull-record%2FWOS:000267257600005","View Full Record in Web of Science")</f>
        <v>View Full Record in Web of Science</v>
      </c>
    </row>
    <row r="589" spans="1:72" x14ac:dyDescent="0.2">
      <c r="A589" t="s">
        <v>72</v>
      </c>
      <c r="B589" t="s">
        <v>11220</v>
      </c>
      <c r="C589" t="s">
        <v>74</v>
      </c>
      <c r="D589" t="s">
        <v>74</v>
      </c>
      <c r="E589" t="s">
        <v>74</v>
      </c>
      <c r="F589" t="s">
        <v>11221</v>
      </c>
      <c r="G589" t="s">
        <v>74</v>
      </c>
      <c r="H589" t="s">
        <v>74</v>
      </c>
      <c r="I589" t="s">
        <v>11222</v>
      </c>
      <c r="J589" t="s">
        <v>1600</v>
      </c>
      <c r="K589" t="s">
        <v>74</v>
      </c>
      <c r="L589" t="s">
        <v>74</v>
      </c>
      <c r="M589" t="s">
        <v>78</v>
      </c>
      <c r="N589" t="s">
        <v>108</v>
      </c>
      <c r="O589" t="s">
        <v>74</v>
      </c>
      <c r="P589" t="s">
        <v>74</v>
      </c>
      <c r="Q589" t="s">
        <v>74</v>
      </c>
      <c r="R589" t="s">
        <v>74</v>
      </c>
      <c r="S589" t="s">
        <v>74</v>
      </c>
      <c r="T589" t="s">
        <v>11223</v>
      </c>
      <c r="U589" t="s">
        <v>11224</v>
      </c>
      <c r="V589" t="s">
        <v>11225</v>
      </c>
      <c r="W589" t="s">
        <v>11226</v>
      </c>
      <c r="X589" t="s">
        <v>11227</v>
      </c>
      <c r="Y589" t="s">
        <v>11228</v>
      </c>
      <c r="Z589" t="s">
        <v>11229</v>
      </c>
      <c r="AA589" t="s">
        <v>74</v>
      </c>
      <c r="AB589" t="s">
        <v>11230</v>
      </c>
      <c r="AC589" t="s">
        <v>74</v>
      </c>
      <c r="AD589" t="s">
        <v>74</v>
      </c>
      <c r="AE589" t="s">
        <v>74</v>
      </c>
      <c r="AF589" t="s">
        <v>74</v>
      </c>
      <c r="AG589">
        <v>60</v>
      </c>
      <c r="AH589">
        <v>3</v>
      </c>
      <c r="AI589">
        <v>3</v>
      </c>
      <c r="AJ589">
        <v>6</v>
      </c>
      <c r="AK589">
        <v>21</v>
      </c>
      <c r="AL589" t="s">
        <v>116</v>
      </c>
      <c r="AM589" t="s">
        <v>117</v>
      </c>
      <c r="AN589" t="s">
        <v>118</v>
      </c>
      <c r="AO589" t="s">
        <v>74</v>
      </c>
      <c r="AP589" t="s">
        <v>1609</v>
      </c>
      <c r="AQ589" t="s">
        <v>74</v>
      </c>
      <c r="AR589" t="s">
        <v>1610</v>
      </c>
      <c r="AS589" t="s">
        <v>1611</v>
      </c>
      <c r="AT589" t="s">
        <v>174</v>
      </c>
      <c r="AU589">
        <v>2022</v>
      </c>
      <c r="AV589">
        <v>10</v>
      </c>
      <c r="AW589">
        <v>19</v>
      </c>
      <c r="AX589" t="s">
        <v>74</v>
      </c>
      <c r="AY589" t="s">
        <v>74</v>
      </c>
      <c r="AZ589" t="s">
        <v>74</v>
      </c>
      <c r="BA589" t="s">
        <v>74</v>
      </c>
      <c r="BB589" t="s">
        <v>74</v>
      </c>
      <c r="BC589" t="s">
        <v>74</v>
      </c>
      <c r="BD589">
        <v>3669</v>
      </c>
      <c r="BE589" t="s">
        <v>11231</v>
      </c>
      <c r="BF589" t="str">
        <f>HYPERLINK("http://dx.doi.org/10.3390/math10193669","http://dx.doi.org/10.3390/math10193669")</f>
        <v>http://dx.doi.org/10.3390/math10193669</v>
      </c>
      <c r="BG589" t="s">
        <v>74</v>
      </c>
      <c r="BH589" t="s">
        <v>74</v>
      </c>
      <c r="BI589">
        <v>19</v>
      </c>
      <c r="BJ589" t="s">
        <v>1611</v>
      </c>
      <c r="BK589" t="s">
        <v>98</v>
      </c>
      <c r="BL589" t="s">
        <v>1611</v>
      </c>
      <c r="BM589" t="s">
        <v>11232</v>
      </c>
      <c r="BN589" t="s">
        <v>74</v>
      </c>
      <c r="BO589" t="s">
        <v>126</v>
      </c>
      <c r="BP589" t="s">
        <v>74</v>
      </c>
      <c r="BQ589" t="s">
        <v>74</v>
      </c>
      <c r="BR589" t="s">
        <v>102</v>
      </c>
      <c r="BS589" t="s">
        <v>11233</v>
      </c>
      <c r="BT589" t="str">
        <f>HYPERLINK("https%3A%2F%2Fwww.webofscience.com%2Fwos%2Fwoscc%2Ffull-record%2FWOS:000867097500001","View Full Record in Web of Science")</f>
        <v>View Full Record in Web of Science</v>
      </c>
    </row>
    <row r="590" spans="1:72" x14ac:dyDescent="0.2">
      <c r="A590" t="s">
        <v>72</v>
      </c>
      <c r="B590" t="s">
        <v>11234</v>
      </c>
      <c r="C590" t="s">
        <v>74</v>
      </c>
      <c r="D590" t="s">
        <v>74</v>
      </c>
      <c r="E590" t="s">
        <v>74</v>
      </c>
      <c r="F590" t="s">
        <v>11235</v>
      </c>
      <c r="G590" t="s">
        <v>74</v>
      </c>
      <c r="H590" t="s">
        <v>74</v>
      </c>
      <c r="I590" t="s">
        <v>11236</v>
      </c>
      <c r="J590" t="s">
        <v>2042</v>
      </c>
      <c r="K590" t="s">
        <v>74</v>
      </c>
      <c r="L590" t="s">
        <v>74</v>
      </c>
      <c r="M590" t="s">
        <v>78</v>
      </c>
      <c r="N590" t="s">
        <v>108</v>
      </c>
      <c r="O590" t="s">
        <v>74</v>
      </c>
      <c r="P590" t="s">
        <v>74</v>
      </c>
      <c r="Q590" t="s">
        <v>74</v>
      </c>
      <c r="R590" t="s">
        <v>74</v>
      </c>
      <c r="S590" t="s">
        <v>74</v>
      </c>
      <c r="T590" t="s">
        <v>11237</v>
      </c>
      <c r="U590" t="s">
        <v>11238</v>
      </c>
      <c r="V590" t="s">
        <v>11239</v>
      </c>
      <c r="W590" t="s">
        <v>11240</v>
      </c>
      <c r="X590" t="s">
        <v>11241</v>
      </c>
      <c r="Y590" t="s">
        <v>11242</v>
      </c>
      <c r="Z590" t="s">
        <v>11243</v>
      </c>
      <c r="AA590" t="s">
        <v>74</v>
      </c>
      <c r="AB590" t="s">
        <v>11244</v>
      </c>
      <c r="AC590" t="s">
        <v>74</v>
      </c>
      <c r="AD590" t="s">
        <v>74</v>
      </c>
      <c r="AE590" t="s">
        <v>74</v>
      </c>
      <c r="AF590" t="s">
        <v>74</v>
      </c>
      <c r="AG590">
        <v>18</v>
      </c>
      <c r="AH590">
        <v>20</v>
      </c>
      <c r="AI590">
        <v>23</v>
      </c>
      <c r="AJ590">
        <v>2</v>
      </c>
      <c r="AK590">
        <v>14</v>
      </c>
      <c r="AL590" t="s">
        <v>543</v>
      </c>
      <c r="AM590" t="s">
        <v>260</v>
      </c>
      <c r="AN590" t="s">
        <v>544</v>
      </c>
      <c r="AO590" t="s">
        <v>2054</v>
      </c>
      <c r="AP590" t="s">
        <v>2055</v>
      </c>
      <c r="AQ590" t="s">
        <v>74</v>
      </c>
      <c r="AR590" t="s">
        <v>2056</v>
      </c>
      <c r="AS590" t="s">
        <v>2057</v>
      </c>
      <c r="AT590" t="s">
        <v>194</v>
      </c>
      <c r="AU590">
        <v>2008</v>
      </c>
      <c r="AV590">
        <v>35</v>
      </c>
      <c r="AW590">
        <v>4</v>
      </c>
      <c r="AX590" t="s">
        <v>74</v>
      </c>
      <c r="AY590" t="s">
        <v>74</v>
      </c>
      <c r="AZ590" t="s">
        <v>74</v>
      </c>
      <c r="BA590" t="s">
        <v>74</v>
      </c>
      <c r="BB590">
        <v>1575</v>
      </c>
      <c r="BC590">
        <v>1582</v>
      </c>
      <c r="BD590" t="s">
        <v>74</v>
      </c>
      <c r="BE590" t="s">
        <v>11245</v>
      </c>
      <c r="BF590" t="str">
        <f>HYPERLINK("http://dx.doi.org/10.1016/j.eswa.2007.08.099","http://dx.doi.org/10.1016/j.eswa.2007.08.099")</f>
        <v>http://dx.doi.org/10.1016/j.eswa.2007.08.099</v>
      </c>
      <c r="BG590" t="s">
        <v>74</v>
      </c>
      <c r="BH590" t="s">
        <v>74</v>
      </c>
      <c r="BI590">
        <v>8</v>
      </c>
      <c r="BJ590" t="s">
        <v>2059</v>
      </c>
      <c r="BK590" t="s">
        <v>147</v>
      </c>
      <c r="BL590" t="s">
        <v>2060</v>
      </c>
      <c r="BM590" t="s">
        <v>11246</v>
      </c>
      <c r="BN590" t="s">
        <v>74</v>
      </c>
      <c r="BO590" t="s">
        <v>1833</v>
      </c>
      <c r="BP590" t="s">
        <v>74</v>
      </c>
      <c r="BQ590" t="s">
        <v>74</v>
      </c>
      <c r="BR590" t="s">
        <v>102</v>
      </c>
      <c r="BS590" t="s">
        <v>11247</v>
      </c>
      <c r="BT590" t="str">
        <f>HYPERLINK("https%3A%2F%2Fwww.webofscience.com%2Fwos%2Fwoscc%2Ffull-record%2FWOS:000259432600008","View Full Record in Web of Science")</f>
        <v>View Full Record in Web of Science</v>
      </c>
    </row>
    <row r="591" spans="1:72" x14ac:dyDescent="0.2">
      <c r="A591" t="s">
        <v>72</v>
      </c>
      <c r="B591" t="s">
        <v>11248</v>
      </c>
      <c r="C591" t="s">
        <v>74</v>
      </c>
      <c r="D591" t="s">
        <v>74</v>
      </c>
      <c r="E591" t="s">
        <v>74</v>
      </c>
      <c r="F591" t="s">
        <v>11249</v>
      </c>
      <c r="G591" t="s">
        <v>74</v>
      </c>
      <c r="H591" t="s">
        <v>74</v>
      </c>
      <c r="I591" t="s">
        <v>11250</v>
      </c>
      <c r="J591" t="s">
        <v>11251</v>
      </c>
      <c r="K591" t="s">
        <v>74</v>
      </c>
      <c r="L591" t="s">
        <v>74</v>
      </c>
      <c r="M591" t="s">
        <v>78</v>
      </c>
      <c r="N591" t="s">
        <v>108</v>
      </c>
      <c r="O591" t="s">
        <v>74</v>
      </c>
      <c r="P591" t="s">
        <v>74</v>
      </c>
      <c r="Q591" t="s">
        <v>74</v>
      </c>
      <c r="R591" t="s">
        <v>74</v>
      </c>
      <c r="S591" t="s">
        <v>74</v>
      </c>
      <c r="T591" t="s">
        <v>11252</v>
      </c>
      <c r="U591" t="s">
        <v>11253</v>
      </c>
      <c r="V591" t="s">
        <v>11254</v>
      </c>
      <c r="W591" t="s">
        <v>11255</v>
      </c>
      <c r="X591" t="s">
        <v>11256</v>
      </c>
      <c r="Y591" t="s">
        <v>11257</v>
      </c>
      <c r="Z591" t="s">
        <v>11258</v>
      </c>
      <c r="AA591" t="s">
        <v>74</v>
      </c>
      <c r="AB591" t="s">
        <v>74</v>
      </c>
      <c r="AC591" t="s">
        <v>74</v>
      </c>
      <c r="AD591" t="s">
        <v>74</v>
      </c>
      <c r="AE591" t="s">
        <v>74</v>
      </c>
      <c r="AF591" t="s">
        <v>74</v>
      </c>
      <c r="AG591">
        <v>95</v>
      </c>
      <c r="AH591">
        <v>0</v>
      </c>
      <c r="AI591">
        <v>0</v>
      </c>
      <c r="AJ591">
        <v>4</v>
      </c>
      <c r="AK591">
        <v>4</v>
      </c>
      <c r="AL591" t="s">
        <v>209</v>
      </c>
      <c r="AM591" t="s">
        <v>210</v>
      </c>
      <c r="AN591" t="s">
        <v>211</v>
      </c>
      <c r="AO591" t="s">
        <v>11259</v>
      </c>
      <c r="AP591" t="s">
        <v>11260</v>
      </c>
      <c r="AQ591" t="s">
        <v>74</v>
      </c>
      <c r="AR591" t="s">
        <v>11261</v>
      </c>
      <c r="AS591" t="s">
        <v>11262</v>
      </c>
      <c r="AT591" t="s">
        <v>616</v>
      </c>
      <c r="AU591">
        <v>2023</v>
      </c>
      <c r="AV591">
        <v>94</v>
      </c>
      <c r="AW591" t="s">
        <v>74</v>
      </c>
      <c r="AX591" t="s">
        <v>74</v>
      </c>
      <c r="AY591" t="s">
        <v>74</v>
      </c>
      <c r="AZ591" t="s">
        <v>74</v>
      </c>
      <c r="BA591" t="s">
        <v>74</v>
      </c>
      <c r="BB591" t="s">
        <v>74</v>
      </c>
      <c r="BC591" t="s">
        <v>74</v>
      </c>
      <c r="BD591">
        <v>103428</v>
      </c>
      <c r="BE591" t="s">
        <v>11263</v>
      </c>
      <c r="BF591" t="str">
        <f>HYPERLINK("http://dx.doi.org/10.1016/j.ergon.2023.103428","http://dx.doi.org/10.1016/j.ergon.2023.103428")</f>
        <v>http://dx.doi.org/10.1016/j.ergon.2023.103428</v>
      </c>
      <c r="BG591" t="s">
        <v>74</v>
      </c>
      <c r="BH591" t="s">
        <v>6185</v>
      </c>
      <c r="BI591">
        <v>9</v>
      </c>
      <c r="BJ591" t="s">
        <v>11264</v>
      </c>
      <c r="BK591" t="s">
        <v>147</v>
      </c>
      <c r="BL591" t="s">
        <v>1292</v>
      </c>
      <c r="BM591" t="s">
        <v>11265</v>
      </c>
      <c r="BN591">
        <v>37288316</v>
      </c>
      <c r="BO591" t="s">
        <v>74</v>
      </c>
      <c r="BP591" t="s">
        <v>74</v>
      </c>
      <c r="BQ591" t="s">
        <v>74</v>
      </c>
      <c r="BR591" t="s">
        <v>102</v>
      </c>
      <c r="BS591" t="s">
        <v>11266</v>
      </c>
      <c r="BT591" t="str">
        <f>HYPERLINK("https%3A%2F%2Fwww.webofscience.com%2Fwos%2Fwoscc%2Ffull-record%2FWOS:000992941200001","View Full Record in Web of Science")</f>
        <v>View Full Record in Web of Science</v>
      </c>
    </row>
    <row r="592" spans="1:72" x14ac:dyDescent="0.2">
      <c r="A592" t="s">
        <v>72</v>
      </c>
      <c r="B592" t="s">
        <v>11267</v>
      </c>
      <c r="C592" t="s">
        <v>74</v>
      </c>
      <c r="D592" t="s">
        <v>74</v>
      </c>
      <c r="E592" t="s">
        <v>74</v>
      </c>
      <c r="F592" t="s">
        <v>11268</v>
      </c>
      <c r="G592" t="s">
        <v>74</v>
      </c>
      <c r="H592" t="s">
        <v>74</v>
      </c>
      <c r="I592" t="s">
        <v>11269</v>
      </c>
      <c r="J592" t="s">
        <v>4106</v>
      </c>
      <c r="K592" t="s">
        <v>74</v>
      </c>
      <c r="L592" t="s">
        <v>74</v>
      </c>
      <c r="M592" t="s">
        <v>78</v>
      </c>
      <c r="N592" t="s">
        <v>108</v>
      </c>
      <c r="O592" t="s">
        <v>74</v>
      </c>
      <c r="P592" t="s">
        <v>74</v>
      </c>
      <c r="Q592" t="s">
        <v>74</v>
      </c>
      <c r="R592" t="s">
        <v>74</v>
      </c>
      <c r="S592" t="s">
        <v>74</v>
      </c>
      <c r="T592" t="s">
        <v>11270</v>
      </c>
      <c r="U592" t="s">
        <v>11271</v>
      </c>
      <c r="V592" t="s">
        <v>11272</v>
      </c>
      <c r="W592" t="s">
        <v>11273</v>
      </c>
      <c r="X592" t="s">
        <v>11274</v>
      </c>
      <c r="Y592" t="s">
        <v>11275</v>
      </c>
      <c r="Z592" t="s">
        <v>11276</v>
      </c>
      <c r="AA592" t="s">
        <v>74</v>
      </c>
      <c r="AB592" t="s">
        <v>74</v>
      </c>
      <c r="AC592" t="s">
        <v>74</v>
      </c>
      <c r="AD592" t="s">
        <v>74</v>
      </c>
      <c r="AE592" t="s">
        <v>74</v>
      </c>
      <c r="AF592" t="s">
        <v>74</v>
      </c>
      <c r="AG592">
        <v>28</v>
      </c>
      <c r="AH592">
        <v>15</v>
      </c>
      <c r="AI592">
        <v>15</v>
      </c>
      <c r="AJ592">
        <v>0</v>
      </c>
      <c r="AK592">
        <v>47</v>
      </c>
      <c r="AL592" t="s">
        <v>321</v>
      </c>
      <c r="AM592" t="s">
        <v>322</v>
      </c>
      <c r="AN592" t="s">
        <v>323</v>
      </c>
      <c r="AO592" t="s">
        <v>4115</v>
      </c>
      <c r="AP592" t="s">
        <v>4116</v>
      </c>
      <c r="AQ592" t="s">
        <v>74</v>
      </c>
      <c r="AR592" t="s">
        <v>4117</v>
      </c>
      <c r="AS592" t="s">
        <v>4118</v>
      </c>
      <c r="AT592" t="s">
        <v>239</v>
      </c>
      <c r="AU592">
        <v>2016</v>
      </c>
      <c r="AV592">
        <v>27</v>
      </c>
      <c r="AW592">
        <v>4</v>
      </c>
      <c r="AX592" t="s">
        <v>74</v>
      </c>
      <c r="AY592" t="s">
        <v>74</v>
      </c>
      <c r="AZ592" t="s">
        <v>74</v>
      </c>
      <c r="BA592" t="s">
        <v>74</v>
      </c>
      <c r="BB592">
        <v>751</v>
      </c>
      <c r="BC592">
        <v>763</v>
      </c>
      <c r="BD592" t="s">
        <v>74</v>
      </c>
      <c r="BE592" t="s">
        <v>11277</v>
      </c>
      <c r="BF592" t="str">
        <f>HYPERLINK("http://dx.doi.org/10.1007/s10845-014-0911-x","http://dx.doi.org/10.1007/s10845-014-0911-x")</f>
        <v>http://dx.doi.org/10.1007/s10845-014-0911-x</v>
      </c>
      <c r="BG592" t="s">
        <v>74</v>
      </c>
      <c r="BH592" t="s">
        <v>74</v>
      </c>
      <c r="BI592">
        <v>13</v>
      </c>
      <c r="BJ592" t="s">
        <v>4120</v>
      </c>
      <c r="BK592" t="s">
        <v>98</v>
      </c>
      <c r="BL592" t="s">
        <v>269</v>
      </c>
      <c r="BM592" t="s">
        <v>11278</v>
      </c>
      <c r="BN592" t="s">
        <v>74</v>
      </c>
      <c r="BO592" t="s">
        <v>74</v>
      </c>
      <c r="BP592" t="s">
        <v>74</v>
      </c>
      <c r="BQ592" t="s">
        <v>74</v>
      </c>
      <c r="BR592" t="s">
        <v>102</v>
      </c>
      <c r="BS592" t="s">
        <v>11279</v>
      </c>
      <c r="BT592" t="str">
        <f>HYPERLINK("https%3A%2F%2Fwww.webofscience.com%2Fwos%2Fwoscc%2Ffull-record%2FWOS:000379230800004","View Full Record in Web of Science")</f>
        <v>View Full Record in Web of Science</v>
      </c>
    </row>
    <row r="593" spans="1:72" x14ac:dyDescent="0.2">
      <c r="A593" t="s">
        <v>72</v>
      </c>
      <c r="B593" t="s">
        <v>11280</v>
      </c>
      <c r="C593" t="s">
        <v>74</v>
      </c>
      <c r="D593" t="s">
        <v>74</v>
      </c>
      <c r="E593" t="s">
        <v>74</v>
      </c>
      <c r="F593" t="s">
        <v>11281</v>
      </c>
      <c r="G593" t="s">
        <v>74</v>
      </c>
      <c r="H593" t="s">
        <v>74</v>
      </c>
      <c r="I593" t="s">
        <v>11282</v>
      </c>
      <c r="J593" t="s">
        <v>11283</v>
      </c>
      <c r="K593" t="s">
        <v>74</v>
      </c>
      <c r="L593" t="s">
        <v>74</v>
      </c>
      <c r="M593" t="s">
        <v>78</v>
      </c>
      <c r="N593" t="s">
        <v>108</v>
      </c>
      <c r="O593" t="s">
        <v>74</v>
      </c>
      <c r="P593" t="s">
        <v>74</v>
      </c>
      <c r="Q593" t="s">
        <v>74</v>
      </c>
      <c r="R593" t="s">
        <v>74</v>
      </c>
      <c r="S593" t="s">
        <v>74</v>
      </c>
      <c r="T593" t="s">
        <v>74</v>
      </c>
      <c r="U593" t="s">
        <v>11284</v>
      </c>
      <c r="V593" t="s">
        <v>11285</v>
      </c>
      <c r="W593" t="s">
        <v>11286</v>
      </c>
      <c r="X593" t="s">
        <v>11287</v>
      </c>
      <c r="Y593" t="s">
        <v>11288</v>
      </c>
      <c r="Z593" t="s">
        <v>11289</v>
      </c>
      <c r="AA593" t="s">
        <v>11290</v>
      </c>
      <c r="AB593" t="s">
        <v>11291</v>
      </c>
      <c r="AC593" t="s">
        <v>11292</v>
      </c>
      <c r="AD593" t="s">
        <v>11293</v>
      </c>
      <c r="AE593" t="s">
        <v>11294</v>
      </c>
      <c r="AF593" t="s">
        <v>74</v>
      </c>
      <c r="AG593">
        <v>114</v>
      </c>
      <c r="AH593">
        <v>19</v>
      </c>
      <c r="AI593">
        <v>19</v>
      </c>
      <c r="AJ593">
        <v>4</v>
      </c>
      <c r="AK593">
        <v>24</v>
      </c>
      <c r="AL593" t="s">
        <v>409</v>
      </c>
      <c r="AM593" t="s">
        <v>410</v>
      </c>
      <c r="AN593" t="s">
        <v>411</v>
      </c>
      <c r="AO593" t="s">
        <v>11295</v>
      </c>
      <c r="AP593" t="s">
        <v>11296</v>
      </c>
      <c r="AQ593" t="s">
        <v>74</v>
      </c>
      <c r="AR593" t="s">
        <v>11297</v>
      </c>
      <c r="AS593" t="s">
        <v>11298</v>
      </c>
      <c r="AT593" t="s">
        <v>846</v>
      </c>
      <c r="AU593">
        <v>2022</v>
      </c>
      <c r="AV593">
        <v>67</v>
      </c>
      <c r="AW593">
        <v>5</v>
      </c>
      <c r="AX593" t="s">
        <v>74</v>
      </c>
      <c r="AY593" t="s">
        <v>74</v>
      </c>
      <c r="AZ593" t="s">
        <v>74</v>
      </c>
      <c r="BA593" t="s">
        <v>74</v>
      </c>
      <c r="BB593">
        <v>1007</v>
      </c>
      <c r="BC593">
        <v>1021</v>
      </c>
      <c r="BD593" t="s">
        <v>74</v>
      </c>
      <c r="BE593" t="s">
        <v>11299</v>
      </c>
      <c r="BF593" t="str">
        <f>HYPERLINK("http://dx.doi.org/10.1002/lno.12053","http://dx.doi.org/10.1002/lno.12053")</f>
        <v>http://dx.doi.org/10.1002/lno.12053</v>
      </c>
      <c r="BG593" t="s">
        <v>74</v>
      </c>
      <c r="BH593" t="s">
        <v>329</v>
      </c>
      <c r="BI593">
        <v>15</v>
      </c>
      <c r="BJ593" t="s">
        <v>11300</v>
      </c>
      <c r="BK593" t="s">
        <v>98</v>
      </c>
      <c r="BL593" t="s">
        <v>11301</v>
      </c>
      <c r="BM593" t="s">
        <v>11302</v>
      </c>
      <c r="BN593" t="s">
        <v>74</v>
      </c>
      <c r="BO593" t="s">
        <v>1019</v>
      </c>
      <c r="BP593" t="s">
        <v>74</v>
      </c>
      <c r="BQ593" t="s">
        <v>74</v>
      </c>
      <c r="BR593" t="s">
        <v>102</v>
      </c>
      <c r="BS593" t="s">
        <v>11303</v>
      </c>
      <c r="BT593" t="str">
        <f>HYPERLINK("https%3A%2F%2Fwww.webofscience.com%2Fwos%2Fwoscc%2Ffull-record%2FWOS:000764985300001","View Full Record in Web of Science")</f>
        <v>View Full Record in Web of Science</v>
      </c>
    </row>
    <row r="594" spans="1:72" x14ac:dyDescent="0.2">
      <c r="A594" t="s">
        <v>72</v>
      </c>
      <c r="B594" t="s">
        <v>11304</v>
      </c>
      <c r="C594" t="s">
        <v>74</v>
      </c>
      <c r="D594" t="s">
        <v>74</v>
      </c>
      <c r="E594" t="s">
        <v>74</v>
      </c>
      <c r="F594" t="s">
        <v>11305</v>
      </c>
      <c r="G594" t="s">
        <v>74</v>
      </c>
      <c r="H594" t="s">
        <v>74</v>
      </c>
      <c r="I594" t="s">
        <v>11306</v>
      </c>
      <c r="J594" t="s">
        <v>11307</v>
      </c>
      <c r="K594" t="s">
        <v>74</v>
      </c>
      <c r="L594" t="s">
        <v>74</v>
      </c>
      <c r="M594" t="s">
        <v>78</v>
      </c>
      <c r="N594" t="s">
        <v>108</v>
      </c>
      <c r="O594" t="s">
        <v>74</v>
      </c>
      <c r="P594" t="s">
        <v>74</v>
      </c>
      <c r="Q594" t="s">
        <v>74</v>
      </c>
      <c r="R594" t="s">
        <v>74</v>
      </c>
      <c r="S594" t="s">
        <v>74</v>
      </c>
      <c r="T594" t="s">
        <v>11308</v>
      </c>
      <c r="U594" t="s">
        <v>74</v>
      </c>
      <c r="V594" t="s">
        <v>11309</v>
      </c>
      <c r="W594" t="s">
        <v>11310</v>
      </c>
      <c r="X594" t="s">
        <v>11311</v>
      </c>
      <c r="Y594" t="s">
        <v>11312</v>
      </c>
      <c r="Z594" t="s">
        <v>11313</v>
      </c>
      <c r="AA594" t="s">
        <v>74</v>
      </c>
      <c r="AB594" t="s">
        <v>74</v>
      </c>
      <c r="AC594" t="s">
        <v>11314</v>
      </c>
      <c r="AD594" t="s">
        <v>11315</v>
      </c>
      <c r="AE594" t="s">
        <v>11316</v>
      </c>
      <c r="AF594" t="s">
        <v>74</v>
      </c>
      <c r="AG594">
        <v>15</v>
      </c>
      <c r="AH594">
        <v>0</v>
      </c>
      <c r="AI594">
        <v>0</v>
      </c>
      <c r="AJ594">
        <v>0</v>
      </c>
      <c r="AK594">
        <v>0</v>
      </c>
      <c r="AL594" t="s">
        <v>409</v>
      </c>
      <c r="AM594" t="s">
        <v>410</v>
      </c>
      <c r="AN594" t="s">
        <v>411</v>
      </c>
      <c r="AO594" t="s">
        <v>11317</v>
      </c>
      <c r="AP594" t="s">
        <v>11318</v>
      </c>
      <c r="AQ594" t="s">
        <v>74</v>
      </c>
      <c r="AR594" t="s">
        <v>11319</v>
      </c>
      <c r="AS594" t="s">
        <v>11320</v>
      </c>
      <c r="AT594" t="s">
        <v>239</v>
      </c>
      <c r="AU594">
        <v>2023</v>
      </c>
      <c r="AV594">
        <v>59</v>
      </c>
      <c r="AW594">
        <v>15</v>
      </c>
      <c r="AX594" t="s">
        <v>74</v>
      </c>
      <c r="AY594" t="s">
        <v>74</v>
      </c>
      <c r="AZ594" t="s">
        <v>74</v>
      </c>
      <c r="BA594" t="s">
        <v>74</v>
      </c>
      <c r="BB594" t="s">
        <v>74</v>
      </c>
      <c r="BC594" t="s">
        <v>74</v>
      </c>
      <c r="BD594" t="s">
        <v>11321</v>
      </c>
      <c r="BE594" t="s">
        <v>11322</v>
      </c>
      <c r="BF594" t="str">
        <f>HYPERLINK("http://dx.doi.org/10.1049/ell2.12902","http://dx.doi.org/10.1049/ell2.12902")</f>
        <v>http://dx.doi.org/10.1049/ell2.12902</v>
      </c>
      <c r="BG594" t="s">
        <v>74</v>
      </c>
      <c r="BH594" t="s">
        <v>74</v>
      </c>
      <c r="BI594">
        <v>4</v>
      </c>
      <c r="BJ594" t="s">
        <v>8460</v>
      </c>
      <c r="BK594" t="s">
        <v>98</v>
      </c>
      <c r="BL594" t="s">
        <v>1292</v>
      </c>
      <c r="BM594" t="s">
        <v>11323</v>
      </c>
      <c r="BN594" t="s">
        <v>74</v>
      </c>
      <c r="BO594" t="s">
        <v>126</v>
      </c>
      <c r="BP594" t="s">
        <v>74</v>
      </c>
      <c r="BQ594" t="s">
        <v>74</v>
      </c>
      <c r="BR594" t="s">
        <v>102</v>
      </c>
      <c r="BS594" t="s">
        <v>11324</v>
      </c>
      <c r="BT594" t="str">
        <f>HYPERLINK("https%3A%2F%2Fwww.webofscience.com%2Fwos%2Fwoscc%2Ffull-record%2FWOS:001036736600001","View Full Record in Web of Science")</f>
        <v>View Full Record in Web of Science</v>
      </c>
    </row>
    <row r="595" spans="1:72" x14ac:dyDescent="0.2">
      <c r="A595" t="s">
        <v>72</v>
      </c>
      <c r="B595" t="s">
        <v>11325</v>
      </c>
      <c r="C595" t="s">
        <v>74</v>
      </c>
      <c r="D595" t="s">
        <v>74</v>
      </c>
      <c r="E595" t="s">
        <v>74</v>
      </c>
      <c r="F595" t="s">
        <v>11326</v>
      </c>
      <c r="G595" t="s">
        <v>74</v>
      </c>
      <c r="H595" t="s">
        <v>74</v>
      </c>
      <c r="I595" t="s">
        <v>11327</v>
      </c>
      <c r="J595" t="s">
        <v>4106</v>
      </c>
      <c r="K595" t="s">
        <v>74</v>
      </c>
      <c r="L595" t="s">
        <v>74</v>
      </c>
      <c r="M595" t="s">
        <v>78</v>
      </c>
      <c r="N595" t="s">
        <v>108</v>
      </c>
      <c r="O595" t="s">
        <v>74</v>
      </c>
      <c r="P595" t="s">
        <v>74</v>
      </c>
      <c r="Q595" t="s">
        <v>74</v>
      </c>
      <c r="R595" t="s">
        <v>74</v>
      </c>
      <c r="S595" t="s">
        <v>74</v>
      </c>
      <c r="T595" t="s">
        <v>11328</v>
      </c>
      <c r="U595" t="s">
        <v>11329</v>
      </c>
      <c r="V595" t="s">
        <v>11330</v>
      </c>
      <c r="W595" t="s">
        <v>11331</v>
      </c>
      <c r="X595" t="s">
        <v>11332</v>
      </c>
      <c r="Y595" t="s">
        <v>11333</v>
      </c>
      <c r="Z595" t="s">
        <v>11334</v>
      </c>
      <c r="AA595" t="s">
        <v>74</v>
      </c>
      <c r="AB595" t="s">
        <v>11335</v>
      </c>
      <c r="AC595" t="s">
        <v>11336</v>
      </c>
      <c r="AD595" t="s">
        <v>11337</v>
      </c>
      <c r="AE595" t="s">
        <v>11338</v>
      </c>
      <c r="AF595" t="s">
        <v>74</v>
      </c>
      <c r="AG595">
        <v>63</v>
      </c>
      <c r="AH595">
        <v>16</v>
      </c>
      <c r="AI595">
        <v>16</v>
      </c>
      <c r="AJ595">
        <v>0</v>
      </c>
      <c r="AK595">
        <v>12</v>
      </c>
      <c r="AL595" t="s">
        <v>321</v>
      </c>
      <c r="AM595" t="s">
        <v>322</v>
      </c>
      <c r="AN595" t="s">
        <v>323</v>
      </c>
      <c r="AO595" t="s">
        <v>4115</v>
      </c>
      <c r="AP595" t="s">
        <v>4116</v>
      </c>
      <c r="AQ595" t="s">
        <v>74</v>
      </c>
      <c r="AR595" t="s">
        <v>4117</v>
      </c>
      <c r="AS595" t="s">
        <v>4118</v>
      </c>
      <c r="AT595" t="s">
        <v>372</v>
      </c>
      <c r="AU595">
        <v>2022</v>
      </c>
      <c r="AV595">
        <v>33</v>
      </c>
      <c r="AW595">
        <v>1</v>
      </c>
      <c r="AX595" t="s">
        <v>74</v>
      </c>
      <c r="AY595" t="s">
        <v>74</v>
      </c>
      <c r="AZ595" t="s">
        <v>74</v>
      </c>
      <c r="BA595" t="s">
        <v>74</v>
      </c>
      <c r="BB595">
        <v>259</v>
      </c>
      <c r="BC595">
        <v>282</v>
      </c>
      <c r="BD595" t="s">
        <v>74</v>
      </c>
      <c r="BE595" t="s">
        <v>11339</v>
      </c>
      <c r="BF595" t="str">
        <f>HYPERLINK("http://dx.doi.org/10.1007/s10845-021-01789-w","http://dx.doi.org/10.1007/s10845-021-01789-w")</f>
        <v>http://dx.doi.org/10.1007/s10845-021-01789-w</v>
      </c>
      <c r="BG595" t="s">
        <v>74</v>
      </c>
      <c r="BH595" t="s">
        <v>4013</v>
      </c>
      <c r="BI595">
        <v>24</v>
      </c>
      <c r="BJ595" t="s">
        <v>4120</v>
      </c>
      <c r="BK595" t="s">
        <v>98</v>
      </c>
      <c r="BL595" t="s">
        <v>269</v>
      </c>
      <c r="BM595" t="s">
        <v>11340</v>
      </c>
      <c r="BN595" t="s">
        <v>74</v>
      </c>
      <c r="BO595" t="s">
        <v>702</v>
      </c>
      <c r="BP595" t="s">
        <v>74</v>
      </c>
      <c r="BQ595" t="s">
        <v>74</v>
      </c>
      <c r="BR595" t="s">
        <v>102</v>
      </c>
      <c r="BS595" t="s">
        <v>11341</v>
      </c>
      <c r="BT595" t="str">
        <f>HYPERLINK("https%3A%2F%2Fwww.webofscience.com%2Fwos%2Fwoscc%2Ffull-record%2FWOS:000658085400001","View Full Record in Web of Science")</f>
        <v>View Full Record in Web of Science</v>
      </c>
    </row>
    <row r="596" spans="1:72" x14ac:dyDescent="0.2">
      <c r="A596" t="s">
        <v>72</v>
      </c>
      <c r="B596" t="s">
        <v>11342</v>
      </c>
      <c r="C596" t="s">
        <v>74</v>
      </c>
      <c r="D596" t="s">
        <v>74</v>
      </c>
      <c r="E596" t="s">
        <v>74</v>
      </c>
      <c r="F596" t="s">
        <v>11343</v>
      </c>
      <c r="G596" t="s">
        <v>74</v>
      </c>
      <c r="H596" t="s">
        <v>74</v>
      </c>
      <c r="I596" t="s">
        <v>11344</v>
      </c>
      <c r="J596" t="s">
        <v>11345</v>
      </c>
      <c r="K596" t="s">
        <v>74</v>
      </c>
      <c r="L596" t="s">
        <v>74</v>
      </c>
      <c r="M596" t="s">
        <v>78</v>
      </c>
      <c r="N596" t="s">
        <v>108</v>
      </c>
      <c r="O596" t="s">
        <v>74</v>
      </c>
      <c r="P596" t="s">
        <v>74</v>
      </c>
      <c r="Q596" t="s">
        <v>74</v>
      </c>
      <c r="R596" t="s">
        <v>74</v>
      </c>
      <c r="S596" t="s">
        <v>74</v>
      </c>
      <c r="T596" t="s">
        <v>74</v>
      </c>
      <c r="U596" t="s">
        <v>11346</v>
      </c>
      <c r="V596" t="s">
        <v>11347</v>
      </c>
      <c r="W596" t="s">
        <v>11348</v>
      </c>
      <c r="X596" t="s">
        <v>11349</v>
      </c>
      <c r="Y596" t="s">
        <v>11350</v>
      </c>
      <c r="Z596" t="s">
        <v>11351</v>
      </c>
      <c r="AA596" t="s">
        <v>74</v>
      </c>
      <c r="AB596" t="s">
        <v>11352</v>
      </c>
      <c r="AC596" t="s">
        <v>11353</v>
      </c>
      <c r="AD596" t="s">
        <v>11354</v>
      </c>
      <c r="AE596" t="s">
        <v>11355</v>
      </c>
      <c r="AF596" t="s">
        <v>74</v>
      </c>
      <c r="AG596">
        <v>52</v>
      </c>
      <c r="AH596">
        <v>22</v>
      </c>
      <c r="AI596">
        <v>22</v>
      </c>
      <c r="AJ596">
        <v>3</v>
      </c>
      <c r="AK596">
        <v>27</v>
      </c>
      <c r="AL596" t="s">
        <v>2952</v>
      </c>
      <c r="AM596" t="s">
        <v>90</v>
      </c>
      <c r="AN596" t="s">
        <v>2953</v>
      </c>
      <c r="AO596" t="s">
        <v>11356</v>
      </c>
      <c r="AP596" t="s">
        <v>11357</v>
      </c>
      <c r="AQ596" t="s">
        <v>74</v>
      </c>
      <c r="AR596" t="s">
        <v>11345</v>
      </c>
      <c r="AS596" t="s">
        <v>11358</v>
      </c>
      <c r="AT596" t="s">
        <v>74</v>
      </c>
      <c r="AU596">
        <v>2018</v>
      </c>
      <c r="AV596" t="s">
        <v>74</v>
      </c>
      <c r="AW596" t="s">
        <v>74</v>
      </c>
      <c r="AX596" t="s">
        <v>74</v>
      </c>
      <c r="AY596" t="s">
        <v>74</v>
      </c>
      <c r="AZ596" t="s">
        <v>74</v>
      </c>
      <c r="BA596" t="s">
        <v>74</v>
      </c>
      <c r="BB596" t="s">
        <v>74</v>
      </c>
      <c r="BC596" t="s">
        <v>74</v>
      </c>
      <c r="BD596">
        <v>3924361</v>
      </c>
      <c r="BE596" t="s">
        <v>11359</v>
      </c>
      <c r="BF596" t="str">
        <f>HYPERLINK("http://dx.doi.org/10.1155/2018/3924361","http://dx.doi.org/10.1155/2018/3924361")</f>
        <v>http://dx.doi.org/10.1155/2018/3924361</v>
      </c>
      <c r="BG596" t="s">
        <v>74</v>
      </c>
      <c r="BH596" t="s">
        <v>74</v>
      </c>
      <c r="BI596">
        <v>23</v>
      </c>
      <c r="BJ596" t="s">
        <v>7525</v>
      </c>
      <c r="BK596" t="s">
        <v>147</v>
      </c>
      <c r="BL596" t="s">
        <v>7526</v>
      </c>
      <c r="BM596" t="s">
        <v>11360</v>
      </c>
      <c r="BN596" t="s">
        <v>74</v>
      </c>
      <c r="BO596" t="s">
        <v>8752</v>
      </c>
      <c r="BP596" t="s">
        <v>74</v>
      </c>
      <c r="BQ596" t="s">
        <v>74</v>
      </c>
      <c r="BR596" t="s">
        <v>102</v>
      </c>
      <c r="BS596" t="s">
        <v>11361</v>
      </c>
      <c r="BT596" t="str">
        <f>HYPERLINK("https%3A%2F%2Fwww.webofscience.com%2Fwos%2Fwoscc%2Ffull-record%2FWOS:000447439100001","View Full Record in Web of Science")</f>
        <v>View Full Record in Web of Science</v>
      </c>
    </row>
    <row r="597" spans="1:72" x14ac:dyDescent="0.2">
      <c r="A597" t="s">
        <v>72</v>
      </c>
      <c r="B597" t="s">
        <v>11362</v>
      </c>
      <c r="C597" t="s">
        <v>74</v>
      </c>
      <c r="D597" t="s">
        <v>74</v>
      </c>
      <c r="E597" t="s">
        <v>74</v>
      </c>
      <c r="F597" t="s">
        <v>11363</v>
      </c>
      <c r="G597" t="s">
        <v>74</v>
      </c>
      <c r="H597" t="s">
        <v>74</v>
      </c>
      <c r="I597" t="s">
        <v>11364</v>
      </c>
      <c r="J597" t="s">
        <v>11365</v>
      </c>
      <c r="K597" t="s">
        <v>74</v>
      </c>
      <c r="L597" t="s">
        <v>74</v>
      </c>
      <c r="M597" t="s">
        <v>78</v>
      </c>
      <c r="N597" t="s">
        <v>108</v>
      </c>
      <c r="O597" t="s">
        <v>74</v>
      </c>
      <c r="P597" t="s">
        <v>74</v>
      </c>
      <c r="Q597" t="s">
        <v>74</v>
      </c>
      <c r="R597" t="s">
        <v>74</v>
      </c>
      <c r="S597" t="s">
        <v>74</v>
      </c>
      <c r="T597" t="s">
        <v>11366</v>
      </c>
      <c r="U597" t="s">
        <v>74</v>
      </c>
      <c r="V597" t="s">
        <v>11367</v>
      </c>
      <c r="W597" t="s">
        <v>11368</v>
      </c>
      <c r="X597" t="s">
        <v>11369</v>
      </c>
      <c r="Y597" t="s">
        <v>11370</v>
      </c>
      <c r="Z597" t="s">
        <v>11371</v>
      </c>
      <c r="AA597" t="s">
        <v>74</v>
      </c>
      <c r="AB597" t="s">
        <v>74</v>
      </c>
      <c r="AC597" t="s">
        <v>74</v>
      </c>
      <c r="AD597" t="s">
        <v>74</v>
      </c>
      <c r="AE597" t="s">
        <v>74</v>
      </c>
      <c r="AF597" t="s">
        <v>74</v>
      </c>
      <c r="AG597">
        <v>11</v>
      </c>
      <c r="AH597">
        <v>1</v>
      </c>
      <c r="AI597">
        <v>1</v>
      </c>
      <c r="AJ597">
        <v>1</v>
      </c>
      <c r="AK597">
        <v>24</v>
      </c>
      <c r="AL597" t="s">
        <v>11372</v>
      </c>
      <c r="AM597" t="s">
        <v>11373</v>
      </c>
      <c r="AN597" t="s">
        <v>11374</v>
      </c>
      <c r="AO597" t="s">
        <v>11375</v>
      </c>
      <c r="AP597" t="s">
        <v>11376</v>
      </c>
      <c r="AQ597" t="s">
        <v>74</v>
      </c>
      <c r="AR597" t="s">
        <v>11377</v>
      </c>
      <c r="AS597" t="s">
        <v>11378</v>
      </c>
      <c r="AT597" t="s">
        <v>74</v>
      </c>
      <c r="AU597">
        <v>2020</v>
      </c>
      <c r="AV597">
        <v>29</v>
      </c>
      <c r="AW597">
        <v>4</v>
      </c>
      <c r="AX597" t="s">
        <v>74</v>
      </c>
      <c r="AY597" t="s">
        <v>74</v>
      </c>
      <c r="AZ597" t="s">
        <v>74</v>
      </c>
      <c r="BA597" t="s">
        <v>74</v>
      </c>
      <c r="BB597">
        <v>2459</v>
      </c>
      <c r="BC597">
        <v>2468</v>
      </c>
      <c r="BD597" t="s">
        <v>74</v>
      </c>
      <c r="BE597" t="s">
        <v>74</v>
      </c>
      <c r="BF597" t="s">
        <v>74</v>
      </c>
      <c r="BG597" t="s">
        <v>74</v>
      </c>
      <c r="BH597" t="s">
        <v>74</v>
      </c>
      <c r="BI597">
        <v>10</v>
      </c>
      <c r="BJ597" t="s">
        <v>674</v>
      </c>
      <c r="BK597" t="s">
        <v>98</v>
      </c>
      <c r="BL597" t="s">
        <v>675</v>
      </c>
      <c r="BM597" t="s">
        <v>11379</v>
      </c>
      <c r="BN597" t="s">
        <v>74</v>
      </c>
      <c r="BO597" t="s">
        <v>74</v>
      </c>
      <c r="BP597" t="s">
        <v>74</v>
      </c>
      <c r="BQ597" t="s">
        <v>74</v>
      </c>
      <c r="BR597" t="s">
        <v>102</v>
      </c>
      <c r="BS597" t="s">
        <v>11380</v>
      </c>
      <c r="BT597" t="str">
        <f>HYPERLINK("https%3A%2F%2Fwww.webofscience.com%2Fwos%2Fwoscc%2Ffull-record%2FWOS:000535839500059","View Full Record in Web of Science")</f>
        <v>View Full Record in Web of Science</v>
      </c>
    </row>
    <row r="598" spans="1:72" x14ac:dyDescent="0.2">
      <c r="A598" t="s">
        <v>72</v>
      </c>
      <c r="B598" t="s">
        <v>11381</v>
      </c>
      <c r="C598" t="s">
        <v>74</v>
      </c>
      <c r="D598" t="s">
        <v>74</v>
      </c>
      <c r="E598" t="s">
        <v>74</v>
      </c>
      <c r="F598" t="s">
        <v>11382</v>
      </c>
      <c r="G598" t="s">
        <v>74</v>
      </c>
      <c r="H598" t="s">
        <v>74</v>
      </c>
      <c r="I598" t="s">
        <v>11383</v>
      </c>
      <c r="J598" t="s">
        <v>6741</v>
      </c>
      <c r="K598" t="s">
        <v>74</v>
      </c>
      <c r="L598" t="s">
        <v>74</v>
      </c>
      <c r="M598" t="s">
        <v>78</v>
      </c>
      <c r="N598" t="s">
        <v>108</v>
      </c>
      <c r="O598" t="s">
        <v>74</v>
      </c>
      <c r="P598" t="s">
        <v>74</v>
      </c>
      <c r="Q598" t="s">
        <v>74</v>
      </c>
      <c r="R598" t="s">
        <v>74</v>
      </c>
      <c r="S598" t="s">
        <v>74</v>
      </c>
      <c r="T598" t="s">
        <v>11384</v>
      </c>
      <c r="U598" t="s">
        <v>11385</v>
      </c>
      <c r="V598" t="s">
        <v>11386</v>
      </c>
      <c r="W598" t="s">
        <v>11387</v>
      </c>
      <c r="X598" t="s">
        <v>6233</v>
      </c>
      <c r="Y598" t="s">
        <v>11388</v>
      </c>
      <c r="Z598" t="s">
        <v>11389</v>
      </c>
      <c r="AA598" t="s">
        <v>74</v>
      </c>
      <c r="AB598" t="s">
        <v>74</v>
      </c>
      <c r="AC598" t="s">
        <v>74</v>
      </c>
      <c r="AD598" t="s">
        <v>74</v>
      </c>
      <c r="AE598" t="s">
        <v>74</v>
      </c>
      <c r="AF598" t="s">
        <v>74</v>
      </c>
      <c r="AG598">
        <v>27</v>
      </c>
      <c r="AH598">
        <v>19</v>
      </c>
      <c r="AI598">
        <v>26</v>
      </c>
      <c r="AJ598">
        <v>0</v>
      </c>
      <c r="AK598">
        <v>11</v>
      </c>
      <c r="AL598" t="s">
        <v>209</v>
      </c>
      <c r="AM598" t="s">
        <v>210</v>
      </c>
      <c r="AN598" t="s">
        <v>211</v>
      </c>
      <c r="AO598" t="s">
        <v>6752</v>
      </c>
      <c r="AP598" t="s">
        <v>6753</v>
      </c>
      <c r="AQ598" t="s">
        <v>74</v>
      </c>
      <c r="AR598" t="s">
        <v>6754</v>
      </c>
      <c r="AS598" t="s">
        <v>6755</v>
      </c>
      <c r="AT598" t="s">
        <v>3612</v>
      </c>
      <c r="AU598">
        <v>2007</v>
      </c>
      <c r="AV598">
        <v>378</v>
      </c>
      <c r="AW598">
        <v>2</v>
      </c>
      <c r="AX598" t="s">
        <v>74</v>
      </c>
      <c r="AY598" t="s">
        <v>74</v>
      </c>
      <c r="AZ598" t="s">
        <v>74</v>
      </c>
      <c r="BA598" t="s">
        <v>74</v>
      </c>
      <c r="BB598">
        <v>561</v>
      </c>
      <c r="BC598">
        <v>572</v>
      </c>
      <c r="BD598" t="s">
        <v>74</v>
      </c>
      <c r="BE598" t="s">
        <v>11390</v>
      </c>
      <c r="BF598" t="str">
        <f>HYPERLINK("http://dx.doi.org/10.1016/j.physa.2006.11.070","http://dx.doi.org/10.1016/j.physa.2006.11.070")</f>
        <v>http://dx.doi.org/10.1016/j.physa.2006.11.070</v>
      </c>
      <c r="BG598" t="s">
        <v>74</v>
      </c>
      <c r="BH598" t="s">
        <v>74</v>
      </c>
      <c r="BI598">
        <v>12</v>
      </c>
      <c r="BJ598" t="s">
        <v>6758</v>
      </c>
      <c r="BK598" t="s">
        <v>98</v>
      </c>
      <c r="BL598" t="s">
        <v>6759</v>
      </c>
      <c r="BM598" t="s">
        <v>11391</v>
      </c>
      <c r="BN598" t="s">
        <v>74</v>
      </c>
      <c r="BO598" t="s">
        <v>74</v>
      </c>
      <c r="BP598" t="s">
        <v>74</v>
      </c>
      <c r="BQ598" t="s">
        <v>74</v>
      </c>
      <c r="BR598" t="s">
        <v>102</v>
      </c>
      <c r="BS598" t="s">
        <v>11392</v>
      </c>
      <c r="BT598" t="str">
        <f>HYPERLINK("https%3A%2F%2Fwww.webofscience.com%2Fwos%2Fwoscc%2Ffull-record%2FWOS:000245531100039","View Full Record in Web of Science")</f>
        <v>View Full Record in Web of Science</v>
      </c>
    </row>
    <row r="599" spans="1:72" x14ac:dyDescent="0.2">
      <c r="A599" t="s">
        <v>72</v>
      </c>
      <c r="B599" t="s">
        <v>11393</v>
      </c>
      <c r="C599" t="s">
        <v>74</v>
      </c>
      <c r="D599" t="s">
        <v>74</v>
      </c>
      <c r="E599" t="s">
        <v>74</v>
      </c>
      <c r="F599" t="s">
        <v>11394</v>
      </c>
      <c r="G599" t="s">
        <v>74</v>
      </c>
      <c r="H599" t="s">
        <v>74</v>
      </c>
      <c r="I599" t="s">
        <v>11395</v>
      </c>
      <c r="J599" t="s">
        <v>131</v>
      </c>
      <c r="K599" t="s">
        <v>74</v>
      </c>
      <c r="L599" t="s">
        <v>74</v>
      </c>
      <c r="M599" t="s">
        <v>78</v>
      </c>
      <c r="N599" t="s">
        <v>108</v>
      </c>
      <c r="O599" t="s">
        <v>74</v>
      </c>
      <c r="P599" t="s">
        <v>74</v>
      </c>
      <c r="Q599" t="s">
        <v>74</v>
      </c>
      <c r="R599" t="s">
        <v>74</v>
      </c>
      <c r="S599" t="s">
        <v>74</v>
      </c>
      <c r="T599" t="s">
        <v>11396</v>
      </c>
      <c r="U599" t="s">
        <v>11397</v>
      </c>
      <c r="V599" t="s">
        <v>11398</v>
      </c>
      <c r="W599" t="s">
        <v>11399</v>
      </c>
      <c r="X599" t="s">
        <v>11400</v>
      </c>
      <c r="Y599" t="s">
        <v>11401</v>
      </c>
      <c r="Z599" t="s">
        <v>11402</v>
      </c>
      <c r="AA599" t="s">
        <v>11403</v>
      </c>
      <c r="AB599" t="s">
        <v>11404</v>
      </c>
      <c r="AC599" t="s">
        <v>11405</v>
      </c>
      <c r="AD599" t="s">
        <v>11406</v>
      </c>
      <c r="AE599" t="s">
        <v>11407</v>
      </c>
      <c r="AF599" t="s">
        <v>74</v>
      </c>
      <c r="AG599">
        <v>78</v>
      </c>
      <c r="AH599">
        <v>5</v>
      </c>
      <c r="AI599">
        <v>5</v>
      </c>
      <c r="AJ599">
        <v>2</v>
      </c>
      <c r="AK599">
        <v>9</v>
      </c>
      <c r="AL599" t="s">
        <v>116</v>
      </c>
      <c r="AM599" t="s">
        <v>117</v>
      </c>
      <c r="AN599" t="s">
        <v>118</v>
      </c>
      <c r="AO599" t="s">
        <v>74</v>
      </c>
      <c r="AP599" t="s">
        <v>142</v>
      </c>
      <c r="AQ599" t="s">
        <v>74</v>
      </c>
      <c r="AR599" t="s">
        <v>143</v>
      </c>
      <c r="AS599" t="s">
        <v>144</v>
      </c>
      <c r="AT599" t="s">
        <v>416</v>
      </c>
      <c r="AU599">
        <v>2022</v>
      </c>
      <c r="AV599">
        <v>14</v>
      </c>
      <c r="AW599">
        <v>12</v>
      </c>
      <c r="AX599" t="s">
        <v>74</v>
      </c>
      <c r="AY599" t="s">
        <v>74</v>
      </c>
      <c r="AZ599" t="s">
        <v>74</v>
      </c>
      <c r="BA599" t="s">
        <v>74</v>
      </c>
      <c r="BB599" t="s">
        <v>74</v>
      </c>
      <c r="BC599" t="s">
        <v>74</v>
      </c>
      <c r="BD599">
        <v>6958</v>
      </c>
      <c r="BE599" t="s">
        <v>11408</v>
      </c>
      <c r="BF599" t="str">
        <f>HYPERLINK("http://dx.doi.org/10.3390/su14126958","http://dx.doi.org/10.3390/su14126958")</f>
        <v>http://dx.doi.org/10.3390/su14126958</v>
      </c>
      <c r="BG599" t="s">
        <v>74</v>
      </c>
      <c r="BH599" t="s">
        <v>74</v>
      </c>
      <c r="BI599">
        <v>15</v>
      </c>
      <c r="BJ599" t="s">
        <v>146</v>
      </c>
      <c r="BK599" t="s">
        <v>147</v>
      </c>
      <c r="BL599" t="s">
        <v>148</v>
      </c>
      <c r="BM599" t="s">
        <v>11409</v>
      </c>
      <c r="BN599" t="s">
        <v>74</v>
      </c>
      <c r="BO599" t="s">
        <v>126</v>
      </c>
      <c r="BP599" t="s">
        <v>74</v>
      </c>
      <c r="BQ599" t="s">
        <v>74</v>
      </c>
      <c r="BR599" t="s">
        <v>102</v>
      </c>
      <c r="BS599" t="s">
        <v>11410</v>
      </c>
      <c r="BT599" t="str">
        <f>HYPERLINK("https%3A%2F%2Fwww.webofscience.com%2Fwos%2Fwoscc%2Ffull-record%2FWOS:000816809600001","View Full Record in Web of Science")</f>
        <v>View Full Record in Web of Science</v>
      </c>
    </row>
    <row r="600" spans="1:72" x14ac:dyDescent="0.2">
      <c r="A600" t="s">
        <v>72</v>
      </c>
      <c r="B600" t="s">
        <v>11411</v>
      </c>
      <c r="C600" t="s">
        <v>74</v>
      </c>
      <c r="D600" t="s">
        <v>74</v>
      </c>
      <c r="E600" t="s">
        <v>74</v>
      </c>
      <c r="F600" t="s">
        <v>11412</v>
      </c>
      <c r="G600" t="s">
        <v>74</v>
      </c>
      <c r="H600" t="s">
        <v>74</v>
      </c>
      <c r="I600" t="s">
        <v>11413</v>
      </c>
      <c r="J600" t="s">
        <v>11414</v>
      </c>
      <c r="K600" t="s">
        <v>74</v>
      </c>
      <c r="L600" t="s">
        <v>74</v>
      </c>
      <c r="M600" t="s">
        <v>78</v>
      </c>
      <c r="N600" t="s">
        <v>108</v>
      </c>
      <c r="O600" t="s">
        <v>74</v>
      </c>
      <c r="P600" t="s">
        <v>74</v>
      </c>
      <c r="Q600" t="s">
        <v>74</v>
      </c>
      <c r="R600" t="s">
        <v>74</v>
      </c>
      <c r="S600" t="s">
        <v>74</v>
      </c>
      <c r="T600" t="s">
        <v>11415</v>
      </c>
      <c r="U600" t="s">
        <v>11416</v>
      </c>
      <c r="V600" t="s">
        <v>11417</v>
      </c>
      <c r="W600" t="s">
        <v>11418</v>
      </c>
      <c r="X600" t="s">
        <v>11419</v>
      </c>
      <c r="Y600" t="s">
        <v>11420</v>
      </c>
      <c r="Z600" t="s">
        <v>11421</v>
      </c>
      <c r="AA600" t="s">
        <v>11422</v>
      </c>
      <c r="AB600" t="s">
        <v>11423</v>
      </c>
      <c r="AC600" t="s">
        <v>74</v>
      </c>
      <c r="AD600" t="s">
        <v>74</v>
      </c>
      <c r="AE600" t="s">
        <v>74</v>
      </c>
      <c r="AF600" t="s">
        <v>74</v>
      </c>
      <c r="AG600">
        <v>87</v>
      </c>
      <c r="AH600">
        <v>3</v>
      </c>
      <c r="AI600">
        <v>3</v>
      </c>
      <c r="AJ600">
        <v>2</v>
      </c>
      <c r="AK600">
        <v>8</v>
      </c>
      <c r="AL600" t="s">
        <v>116</v>
      </c>
      <c r="AM600" t="s">
        <v>117</v>
      </c>
      <c r="AN600" t="s">
        <v>118</v>
      </c>
      <c r="AO600" t="s">
        <v>74</v>
      </c>
      <c r="AP600" t="s">
        <v>11424</v>
      </c>
      <c r="AQ600" t="s">
        <v>74</v>
      </c>
      <c r="AR600" t="s">
        <v>11414</v>
      </c>
      <c r="AS600" t="s">
        <v>11425</v>
      </c>
      <c r="AT600" t="s">
        <v>616</v>
      </c>
      <c r="AU600">
        <v>2022</v>
      </c>
      <c r="AV600">
        <v>11</v>
      </c>
      <c r="AW600">
        <v>5</v>
      </c>
      <c r="AX600" t="s">
        <v>74</v>
      </c>
      <c r="AY600" t="s">
        <v>74</v>
      </c>
      <c r="AZ600" t="s">
        <v>74</v>
      </c>
      <c r="BA600" t="s">
        <v>74</v>
      </c>
      <c r="BB600" t="s">
        <v>74</v>
      </c>
      <c r="BC600" t="s">
        <v>74</v>
      </c>
      <c r="BD600">
        <v>631</v>
      </c>
      <c r="BE600" t="s">
        <v>11426</v>
      </c>
      <c r="BF600" t="str">
        <f>HYPERLINK("http://dx.doi.org/10.3390/plants11050631","http://dx.doi.org/10.3390/plants11050631")</f>
        <v>http://dx.doi.org/10.3390/plants11050631</v>
      </c>
      <c r="BG600" t="s">
        <v>74</v>
      </c>
      <c r="BH600" t="s">
        <v>74</v>
      </c>
      <c r="BI600">
        <v>18</v>
      </c>
      <c r="BJ600" t="s">
        <v>11427</v>
      </c>
      <c r="BK600" t="s">
        <v>98</v>
      </c>
      <c r="BL600" t="s">
        <v>11427</v>
      </c>
      <c r="BM600" t="s">
        <v>11428</v>
      </c>
      <c r="BN600">
        <v>35270101</v>
      </c>
      <c r="BO600" t="s">
        <v>623</v>
      </c>
      <c r="BP600" t="s">
        <v>74</v>
      </c>
      <c r="BQ600" t="s">
        <v>74</v>
      </c>
      <c r="BR600" t="s">
        <v>102</v>
      </c>
      <c r="BS600" t="s">
        <v>11429</v>
      </c>
      <c r="BT600" t="str">
        <f>HYPERLINK("https%3A%2F%2Fwww.webofscience.com%2Fwos%2Fwoscc%2Ffull-record%2FWOS:000769105100001","View Full Record in Web of Science")</f>
        <v>View Full Record in Web of Science</v>
      </c>
    </row>
    <row r="601" spans="1:72" x14ac:dyDescent="0.2">
      <c r="A601" t="s">
        <v>72</v>
      </c>
      <c r="B601" t="s">
        <v>11430</v>
      </c>
      <c r="C601" t="s">
        <v>74</v>
      </c>
      <c r="D601" t="s">
        <v>74</v>
      </c>
      <c r="E601" t="s">
        <v>74</v>
      </c>
      <c r="F601" t="s">
        <v>11431</v>
      </c>
      <c r="G601" t="s">
        <v>74</v>
      </c>
      <c r="H601" t="s">
        <v>74</v>
      </c>
      <c r="I601" t="s">
        <v>11432</v>
      </c>
      <c r="J601" t="s">
        <v>10998</v>
      </c>
      <c r="K601" t="s">
        <v>74</v>
      </c>
      <c r="L601" t="s">
        <v>74</v>
      </c>
      <c r="M601" t="s">
        <v>78</v>
      </c>
      <c r="N601" t="s">
        <v>108</v>
      </c>
      <c r="O601" t="s">
        <v>74</v>
      </c>
      <c r="P601" t="s">
        <v>74</v>
      </c>
      <c r="Q601" t="s">
        <v>74</v>
      </c>
      <c r="R601" t="s">
        <v>74</v>
      </c>
      <c r="S601" t="s">
        <v>74</v>
      </c>
      <c r="T601" t="s">
        <v>11433</v>
      </c>
      <c r="U601" t="s">
        <v>11434</v>
      </c>
      <c r="V601" t="s">
        <v>11435</v>
      </c>
      <c r="W601" t="s">
        <v>11436</v>
      </c>
      <c r="X601" t="s">
        <v>11437</v>
      </c>
      <c r="Y601" t="s">
        <v>11438</v>
      </c>
      <c r="Z601" t="s">
        <v>11439</v>
      </c>
      <c r="AA601" t="s">
        <v>74</v>
      </c>
      <c r="AB601" t="s">
        <v>11440</v>
      </c>
      <c r="AC601" t="s">
        <v>74</v>
      </c>
      <c r="AD601" t="s">
        <v>74</v>
      </c>
      <c r="AE601" t="s">
        <v>74</v>
      </c>
      <c r="AF601" t="s">
        <v>74</v>
      </c>
      <c r="AG601">
        <v>68</v>
      </c>
      <c r="AH601">
        <v>4</v>
      </c>
      <c r="AI601">
        <v>4</v>
      </c>
      <c r="AJ601">
        <v>4</v>
      </c>
      <c r="AK601">
        <v>13</v>
      </c>
      <c r="AL601" t="s">
        <v>437</v>
      </c>
      <c r="AM601" t="s">
        <v>438</v>
      </c>
      <c r="AN601" t="s">
        <v>439</v>
      </c>
      <c r="AO601" t="s">
        <v>11011</v>
      </c>
      <c r="AP601" t="s">
        <v>11012</v>
      </c>
      <c r="AQ601" t="s">
        <v>74</v>
      </c>
      <c r="AR601" t="s">
        <v>11013</v>
      </c>
      <c r="AS601" t="s">
        <v>11014</v>
      </c>
      <c r="AT601" t="s">
        <v>10991</v>
      </c>
      <c r="AU601">
        <v>2022</v>
      </c>
      <c r="AV601">
        <v>124</v>
      </c>
      <c r="AW601">
        <v>12</v>
      </c>
      <c r="AX601" t="s">
        <v>74</v>
      </c>
      <c r="AY601" t="s">
        <v>74</v>
      </c>
      <c r="AZ601" t="s">
        <v>74</v>
      </c>
      <c r="BA601" t="s">
        <v>74</v>
      </c>
      <c r="BB601">
        <v>4782</v>
      </c>
      <c r="BC601">
        <v>4799</v>
      </c>
      <c r="BD601" t="s">
        <v>74</v>
      </c>
      <c r="BE601" t="s">
        <v>11441</v>
      </c>
      <c r="BF601" t="str">
        <f>HYPERLINK("http://dx.doi.org/10.1108/BFJ-07-2021-0738","http://dx.doi.org/10.1108/BFJ-07-2021-0738")</f>
        <v>http://dx.doi.org/10.1108/BFJ-07-2021-0738</v>
      </c>
      <c r="BG601" t="s">
        <v>74</v>
      </c>
      <c r="BH601" t="s">
        <v>470</v>
      </c>
      <c r="BI601">
        <v>18</v>
      </c>
      <c r="BJ601" t="s">
        <v>11016</v>
      </c>
      <c r="BK601" t="s">
        <v>98</v>
      </c>
      <c r="BL601" t="s">
        <v>11017</v>
      </c>
      <c r="BM601" t="s">
        <v>11442</v>
      </c>
      <c r="BN601" t="s">
        <v>74</v>
      </c>
      <c r="BO601" t="s">
        <v>74</v>
      </c>
      <c r="BP601" t="s">
        <v>74</v>
      </c>
      <c r="BQ601" t="s">
        <v>74</v>
      </c>
      <c r="BR601" t="s">
        <v>102</v>
      </c>
      <c r="BS601" t="s">
        <v>11443</v>
      </c>
      <c r="BT601" t="str">
        <f>HYPERLINK("https%3A%2F%2Fwww.webofscience.com%2Fwos%2Fwoscc%2Ffull-record%2FWOS:000763380300001","View Full Record in Web of Science")</f>
        <v>View Full Record in Web of Science</v>
      </c>
    </row>
    <row r="602" spans="1:72" x14ac:dyDescent="0.2">
      <c r="A602" t="s">
        <v>72</v>
      </c>
      <c r="B602" t="s">
        <v>3501</v>
      </c>
      <c r="C602" t="s">
        <v>74</v>
      </c>
      <c r="D602" t="s">
        <v>74</v>
      </c>
      <c r="E602" t="s">
        <v>74</v>
      </c>
      <c r="F602" t="s">
        <v>3502</v>
      </c>
      <c r="G602" t="s">
        <v>74</v>
      </c>
      <c r="H602" t="s">
        <v>74</v>
      </c>
      <c r="I602" t="s">
        <v>11444</v>
      </c>
      <c r="J602" t="s">
        <v>11445</v>
      </c>
      <c r="K602" t="s">
        <v>74</v>
      </c>
      <c r="L602" t="s">
        <v>74</v>
      </c>
      <c r="M602" t="s">
        <v>78</v>
      </c>
      <c r="N602" t="s">
        <v>108</v>
      </c>
      <c r="O602" t="s">
        <v>74</v>
      </c>
      <c r="P602" t="s">
        <v>74</v>
      </c>
      <c r="Q602" t="s">
        <v>74</v>
      </c>
      <c r="R602" t="s">
        <v>74</v>
      </c>
      <c r="S602" t="s">
        <v>74</v>
      </c>
      <c r="T602" t="s">
        <v>11446</v>
      </c>
      <c r="U602" t="s">
        <v>11447</v>
      </c>
      <c r="V602" t="s">
        <v>11448</v>
      </c>
      <c r="W602" t="s">
        <v>11449</v>
      </c>
      <c r="X602" t="s">
        <v>3509</v>
      </c>
      <c r="Y602" t="s">
        <v>11450</v>
      </c>
      <c r="Z602" t="s">
        <v>3511</v>
      </c>
      <c r="AA602" t="s">
        <v>3512</v>
      </c>
      <c r="AB602" t="s">
        <v>3513</v>
      </c>
      <c r="AC602" t="s">
        <v>74</v>
      </c>
      <c r="AD602" t="s">
        <v>74</v>
      </c>
      <c r="AE602" t="s">
        <v>74</v>
      </c>
      <c r="AF602" t="s">
        <v>74</v>
      </c>
      <c r="AG602">
        <v>30</v>
      </c>
      <c r="AH602">
        <v>6</v>
      </c>
      <c r="AI602">
        <v>10</v>
      </c>
      <c r="AJ602">
        <v>3</v>
      </c>
      <c r="AK602">
        <v>34</v>
      </c>
      <c r="AL602" t="s">
        <v>2147</v>
      </c>
      <c r="AM602" t="s">
        <v>90</v>
      </c>
      <c r="AN602" t="s">
        <v>2148</v>
      </c>
      <c r="AO602" t="s">
        <v>11451</v>
      </c>
      <c r="AP602" t="s">
        <v>11452</v>
      </c>
      <c r="AQ602" t="s">
        <v>74</v>
      </c>
      <c r="AR602" t="s">
        <v>11453</v>
      </c>
      <c r="AS602" t="s">
        <v>11454</v>
      </c>
      <c r="AT602" t="s">
        <v>416</v>
      </c>
      <c r="AU602">
        <v>2016</v>
      </c>
      <c r="AV602">
        <v>24</v>
      </c>
      <c r="AW602">
        <v>2</v>
      </c>
      <c r="AX602" t="s">
        <v>74</v>
      </c>
      <c r="AY602" t="s">
        <v>74</v>
      </c>
      <c r="AZ602" t="s">
        <v>74</v>
      </c>
      <c r="BA602" t="s">
        <v>74</v>
      </c>
      <c r="BB602">
        <v>139</v>
      </c>
      <c r="BC602">
        <v>152</v>
      </c>
      <c r="BD602" t="s">
        <v>74</v>
      </c>
      <c r="BE602" t="s">
        <v>11455</v>
      </c>
      <c r="BF602" t="str">
        <f>HYPERLINK("http://dx.doi.org/10.1177/1063293X16635721","http://dx.doi.org/10.1177/1063293X16635721")</f>
        <v>http://dx.doi.org/10.1177/1063293X16635721</v>
      </c>
      <c r="BG602" t="s">
        <v>74</v>
      </c>
      <c r="BH602" t="s">
        <v>74</v>
      </c>
      <c r="BI602">
        <v>14</v>
      </c>
      <c r="BJ602" t="s">
        <v>3240</v>
      </c>
      <c r="BK602" t="s">
        <v>98</v>
      </c>
      <c r="BL602" t="s">
        <v>2060</v>
      </c>
      <c r="BM602" t="s">
        <v>11456</v>
      </c>
      <c r="BN602" t="s">
        <v>74</v>
      </c>
      <c r="BO602" t="s">
        <v>74</v>
      </c>
      <c r="BP602" t="s">
        <v>74</v>
      </c>
      <c r="BQ602" t="s">
        <v>74</v>
      </c>
      <c r="BR602" t="s">
        <v>102</v>
      </c>
      <c r="BS602" t="s">
        <v>11457</v>
      </c>
      <c r="BT602" t="str">
        <f>HYPERLINK("https%3A%2F%2Fwww.webofscience.com%2Fwos%2Fwoscc%2Ffull-record%2FWOS:000378035600004","View Full Record in Web of Science")</f>
        <v>View Full Record in Web of Science</v>
      </c>
    </row>
    <row r="603" spans="1:72" x14ac:dyDescent="0.2">
      <c r="A603" t="s">
        <v>72</v>
      </c>
      <c r="B603" t="s">
        <v>11458</v>
      </c>
      <c r="C603" t="s">
        <v>74</v>
      </c>
      <c r="D603" t="s">
        <v>74</v>
      </c>
      <c r="E603" t="s">
        <v>74</v>
      </c>
      <c r="F603" t="s">
        <v>11459</v>
      </c>
      <c r="G603" t="s">
        <v>74</v>
      </c>
      <c r="H603" t="s">
        <v>74</v>
      </c>
      <c r="I603" t="s">
        <v>11460</v>
      </c>
      <c r="J603" t="s">
        <v>2945</v>
      </c>
      <c r="K603" t="s">
        <v>74</v>
      </c>
      <c r="L603" t="s">
        <v>74</v>
      </c>
      <c r="M603" t="s">
        <v>78</v>
      </c>
      <c r="N603" t="s">
        <v>108</v>
      </c>
      <c r="O603" t="s">
        <v>74</v>
      </c>
      <c r="P603" t="s">
        <v>74</v>
      </c>
      <c r="Q603" t="s">
        <v>74</v>
      </c>
      <c r="R603" t="s">
        <v>74</v>
      </c>
      <c r="S603" t="s">
        <v>74</v>
      </c>
      <c r="T603" t="s">
        <v>74</v>
      </c>
      <c r="U603" t="s">
        <v>74</v>
      </c>
      <c r="V603" t="s">
        <v>11461</v>
      </c>
      <c r="W603" t="s">
        <v>11462</v>
      </c>
      <c r="X603" t="s">
        <v>11463</v>
      </c>
      <c r="Y603" t="s">
        <v>11464</v>
      </c>
      <c r="Z603" t="s">
        <v>11465</v>
      </c>
      <c r="AA603" t="s">
        <v>11466</v>
      </c>
      <c r="AB603" t="s">
        <v>74</v>
      </c>
      <c r="AC603" t="s">
        <v>11467</v>
      </c>
      <c r="AD603" t="s">
        <v>11468</v>
      </c>
      <c r="AE603" t="s">
        <v>11469</v>
      </c>
      <c r="AF603" t="s">
        <v>74</v>
      </c>
      <c r="AG603">
        <v>18</v>
      </c>
      <c r="AH603">
        <v>0</v>
      </c>
      <c r="AI603">
        <v>0</v>
      </c>
      <c r="AJ603">
        <v>11</v>
      </c>
      <c r="AK603">
        <v>19</v>
      </c>
      <c r="AL603" t="s">
        <v>2952</v>
      </c>
      <c r="AM603" t="s">
        <v>90</v>
      </c>
      <c r="AN603" t="s">
        <v>2953</v>
      </c>
      <c r="AO603" t="s">
        <v>2954</v>
      </c>
      <c r="AP603" t="s">
        <v>2955</v>
      </c>
      <c r="AQ603" t="s">
        <v>74</v>
      </c>
      <c r="AR603" t="s">
        <v>2956</v>
      </c>
      <c r="AS603" t="s">
        <v>2957</v>
      </c>
      <c r="AT603" t="s">
        <v>6096</v>
      </c>
      <c r="AU603">
        <v>2022</v>
      </c>
      <c r="AV603">
        <v>2022</v>
      </c>
      <c r="AW603" t="s">
        <v>74</v>
      </c>
      <c r="AX603" t="s">
        <v>74</v>
      </c>
      <c r="AY603" t="s">
        <v>74</v>
      </c>
      <c r="AZ603" t="s">
        <v>74</v>
      </c>
      <c r="BA603" t="s">
        <v>74</v>
      </c>
      <c r="BB603" t="s">
        <v>74</v>
      </c>
      <c r="BC603" t="s">
        <v>74</v>
      </c>
      <c r="BD603">
        <v>3830137</v>
      </c>
      <c r="BE603" t="s">
        <v>11470</v>
      </c>
      <c r="BF603" t="str">
        <f>HYPERLINK("http://dx.doi.org/10.1155/2022/3830137","http://dx.doi.org/10.1155/2022/3830137")</f>
        <v>http://dx.doi.org/10.1155/2022/3830137</v>
      </c>
      <c r="BG603" t="s">
        <v>74</v>
      </c>
      <c r="BH603" t="s">
        <v>74</v>
      </c>
      <c r="BI603">
        <v>15</v>
      </c>
      <c r="BJ603" t="s">
        <v>2959</v>
      </c>
      <c r="BK603" t="s">
        <v>98</v>
      </c>
      <c r="BL603" t="s">
        <v>2960</v>
      </c>
      <c r="BM603" t="s">
        <v>11471</v>
      </c>
      <c r="BN603" t="s">
        <v>74</v>
      </c>
      <c r="BO603" t="s">
        <v>126</v>
      </c>
      <c r="BP603" t="s">
        <v>74</v>
      </c>
      <c r="BQ603" t="s">
        <v>74</v>
      </c>
      <c r="BR603" t="s">
        <v>102</v>
      </c>
      <c r="BS603" t="s">
        <v>11472</v>
      </c>
      <c r="BT603" t="str">
        <f>HYPERLINK("https%3A%2F%2Fwww.webofscience.com%2Fwos%2Fwoscc%2Ffull-record%2FWOS:000807294700009","View Full Record in Web of Science")</f>
        <v>View Full Record in Web of Science</v>
      </c>
    </row>
    <row r="604" spans="1:72" x14ac:dyDescent="0.2">
      <c r="A604" t="s">
        <v>72</v>
      </c>
      <c r="B604" t="s">
        <v>11473</v>
      </c>
      <c r="C604" t="s">
        <v>74</v>
      </c>
      <c r="D604" t="s">
        <v>74</v>
      </c>
      <c r="E604" t="s">
        <v>74</v>
      </c>
      <c r="F604" t="s">
        <v>11474</v>
      </c>
      <c r="G604" t="s">
        <v>74</v>
      </c>
      <c r="H604" t="s">
        <v>74</v>
      </c>
      <c r="I604" t="s">
        <v>11475</v>
      </c>
      <c r="J604" t="s">
        <v>11476</v>
      </c>
      <c r="K604" t="s">
        <v>74</v>
      </c>
      <c r="L604" t="s">
        <v>74</v>
      </c>
      <c r="M604" t="s">
        <v>78</v>
      </c>
      <c r="N604" t="s">
        <v>108</v>
      </c>
      <c r="O604" t="s">
        <v>74</v>
      </c>
      <c r="P604" t="s">
        <v>74</v>
      </c>
      <c r="Q604" t="s">
        <v>74</v>
      </c>
      <c r="R604" t="s">
        <v>74</v>
      </c>
      <c r="S604" t="s">
        <v>74</v>
      </c>
      <c r="T604" t="s">
        <v>11477</v>
      </c>
      <c r="U604" t="s">
        <v>74</v>
      </c>
      <c r="V604" t="s">
        <v>11478</v>
      </c>
      <c r="W604" t="s">
        <v>11479</v>
      </c>
      <c r="X604" t="s">
        <v>11480</v>
      </c>
      <c r="Y604" t="s">
        <v>11481</v>
      </c>
      <c r="Z604" t="s">
        <v>11482</v>
      </c>
      <c r="AA604" t="s">
        <v>11483</v>
      </c>
      <c r="AB604" t="s">
        <v>11484</v>
      </c>
      <c r="AC604" t="s">
        <v>11485</v>
      </c>
      <c r="AD604" t="s">
        <v>11486</v>
      </c>
      <c r="AE604" t="s">
        <v>11487</v>
      </c>
      <c r="AF604" t="s">
        <v>74</v>
      </c>
      <c r="AG604">
        <v>47</v>
      </c>
      <c r="AH604">
        <v>2</v>
      </c>
      <c r="AI604">
        <v>2</v>
      </c>
      <c r="AJ604">
        <v>2</v>
      </c>
      <c r="AK604">
        <v>23</v>
      </c>
      <c r="AL604" t="s">
        <v>2147</v>
      </c>
      <c r="AM604" t="s">
        <v>90</v>
      </c>
      <c r="AN604" t="s">
        <v>2148</v>
      </c>
      <c r="AO604" t="s">
        <v>11488</v>
      </c>
      <c r="AP604" t="s">
        <v>11489</v>
      </c>
      <c r="AQ604" t="s">
        <v>74</v>
      </c>
      <c r="AR604" t="s">
        <v>11490</v>
      </c>
      <c r="AS604" t="s">
        <v>11491</v>
      </c>
      <c r="AT604" t="s">
        <v>216</v>
      </c>
      <c r="AU604">
        <v>2021</v>
      </c>
      <c r="AV604">
        <v>235</v>
      </c>
      <c r="AW604">
        <v>6</v>
      </c>
      <c r="AX604" t="s">
        <v>74</v>
      </c>
      <c r="AY604" t="s">
        <v>74</v>
      </c>
      <c r="AZ604" t="s">
        <v>74</v>
      </c>
      <c r="BA604" t="s">
        <v>74</v>
      </c>
      <c r="BB604">
        <v>1057</v>
      </c>
      <c r="BC604">
        <v>1071</v>
      </c>
      <c r="BD604" t="s">
        <v>11492</v>
      </c>
      <c r="BE604" t="s">
        <v>11493</v>
      </c>
      <c r="BF604" t="str">
        <f>HYPERLINK("http://dx.doi.org/10.1177/1748006X211009329","http://dx.doi.org/10.1177/1748006X211009329")</f>
        <v>http://dx.doi.org/10.1177/1748006X211009329</v>
      </c>
      <c r="BG604" t="s">
        <v>74</v>
      </c>
      <c r="BH604" t="s">
        <v>848</v>
      </c>
      <c r="BI604">
        <v>15</v>
      </c>
      <c r="BJ604" t="s">
        <v>11494</v>
      </c>
      <c r="BK604" t="s">
        <v>98</v>
      </c>
      <c r="BL604" t="s">
        <v>781</v>
      </c>
      <c r="BM604" t="s">
        <v>11495</v>
      </c>
      <c r="BN604" t="s">
        <v>74</v>
      </c>
      <c r="BO604" t="s">
        <v>74</v>
      </c>
      <c r="BP604" t="s">
        <v>74</v>
      </c>
      <c r="BQ604" t="s">
        <v>74</v>
      </c>
      <c r="BR604" t="s">
        <v>102</v>
      </c>
      <c r="BS604" t="s">
        <v>11496</v>
      </c>
      <c r="BT604" t="str">
        <f>HYPERLINK("https%3A%2F%2Fwww.webofscience.com%2Fwos%2Fwoscc%2Ffull-record%2FWOS:000641115800001","View Full Record in Web of Science")</f>
        <v>View Full Record in Web of Science</v>
      </c>
    </row>
    <row r="605" spans="1:72" x14ac:dyDescent="0.2">
      <c r="A605" t="s">
        <v>72</v>
      </c>
      <c r="B605" t="s">
        <v>11497</v>
      </c>
      <c r="C605" t="s">
        <v>74</v>
      </c>
      <c r="D605" t="s">
        <v>74</v>
      </c>
      <c r="E605" t="s">
        <v>74</v>
      </c>
      <c r="F605" t="s">
        <v>11498</v>
      </c>
      <c r="G605" t="s">
        <v>74</v>
      </c>
      <c r="H605" t="s">
        <v>74</v>
      </c>
      <c r="I605" t="s">
        <v>11499</v>
      </c>
      <c r="J605" t="s">
        <v>11500</v>
      </c>
      <c r="K605" t="s">
        <v>74</v>
      </c>
      <c r="L605" t="s">
        <v>74</v>
      </c>
      <c r="M605" t="s">
        <v>78</v>
      </c>
      <c r="N605" t="s">
        <v>108</v>
      </c>
      <c r="O605" t="s">
        <v>74</v>
      </c>
      <c r="P605" t="s">
        <v>74</v>
      </c>
      <c r="Q605" t="s">
        <v>74</v>
      </c>
      <c r="R605" t="s">
        <v>74</v>
      </c>
      <c r="S605" t="s">
        <v>74</v>
      </c>
      <c r="T605" t="s">
        <v>11501</v>
      </c>
      <c r="U605" t="s">
        <v>11502</v>
      </c>
      <c r="V605" t="s">
        <v>11503</v>
      </c>
      <c r="W605" t="s">
        <v>11504</v>
      </c>
      <c r="X605" t="s">
        <v>11505</v>
      </c>
      <c r="Y605" t="s">
        <v>11506</v>
      </c>
      <c r="Z605" t="s">
        <v>11507</v>
      </c>
      <c r="AA605" t="s">
        <v>11508</v>
      </c>
      <c r="AB605" t="s">
        <v>11509</v>
      </c>
      <c r="AC605" t="s">
        <v>74</v>
      </c>
      <c r="AD605" t="s">
        <v>74</v>
      </c>
      <c r="AE605" t="s">
        <v>74</v>
      </c>
      <c r="AF605" t="s">
        <v>74</v>
      </c>
      <c r="AG605">
        <v>26</v>
      </c>
      <c r="AH605">
        <v>4</v>
      </c>
      <c r="AI605">
        <v>4</v>
      </c>
      <c r="AJ605">
        <v>2</v>
      </c>
      <c r="AK605">
        <v>12</v>
      </c>
      <c r="AL605" t="s">
        <v>321</v>
      </c>
      <c r="AM605" t="s">
        <v>348</v>
      </c>
      <c r="AN605" t="s">
        <v>1454</v>
      </c>
      <c r="AO605" t="s">
        <v>11510</v>
      </c>
      <c r="AP605" t="s">
        <v>11511</v>
      </c>
      <c r="AQ605" t="s">
        <v>74</v>
      </c>
      <c r="AR605" t="s">
        <v>11500</v>
      </c>
      <c r="AS605" t="s">
        <v>219</v>
      </c>
      <c r="AT605" t="s">
        <v>394</v>
      </c>
      <c r="AU605">
        <v>2015</v>
      </c>
      <c r="AV605">
        <v>42</v>
      </c>
      <c r="AW605">
        <v>5</v>
      </c>
      <c r="AX605" t="s">
        <v>74</v>
      </c>
      <c r="AY605" t="s">
        <v>74</v>
      </c>
      <c r="AZ605" t="s">
        <v>570</v>
      </c>
      <c r="BA605" t="s">
        <v>74</v>
      </c>
      <c r="BB605">
        <v>857</v>
      </c>
      <c r="BC605">
        <v>878</v>
      </c>
      <c r="BD605" t="s">
        <v>74</v>
      </c>
      <c r="BE605" t="s">
        <v>11512</v>
      </c>
      <c r="BF605" t="str">
        <f>HYPERLINK("http://dx.doi.org/10.1007/s11116-015-9650-x","http://dx.doi.org/10.1007/s11116-015-9650-x")</f>
        <v>http://dx.doi.org/10.1007/s11116-015-9650-x</v>
      </c>
      <c r="BG605" t="s">
        <v>74</v>
      </c>
      <c r="BH605" t="s">
        <v>74</v>
      </c>
      <c r="BI605">
        <v>22</v>
      </c>
      <c r="BJ605" t="s">
        <v>7605</v>
      </c>
      <c r="BK605" t="s">
        <v>147</v>
      </c>
      <c r="BL605" t="s">
        <v>7606</v>
      </c>
      <c r="BM605" t="s">
        <v>11513</v>
      </c>
      <c r="BN605" t="s">
        <v>74</v>
      </c>
      <c r="BO605" t="s">
        <v>74</v>
      </c>
      <c r="BP605" t="s">
        <v>74</v>
      </c>
      <c r="BQ605" t="s">
        <v>74</v>
      </c>
      <c r="BR605" t="s">
        <v>102</v>
      </c>
      <c r="BS605" t="s">
        <v>11514</v>
      </c>
      <c r="BT605" t="str">
        <f>HYPERLINK("https%3A%2F%2Fwww.webofscience.com%2Fwos%2Fwoscc%2Ffull-record%2FWOS:000361888300008","View Full Record in Web of Science")</f>
        <v>View Full Record in Web of Science</v>
      </c>
    </row>
    <row r="606" spans="1:72" x14ac:dyDescent="0.2">
      <c r="A606" t="s">
        <v>72</v>
      </c>
      <c r="B606" t="s">
        <v>11515</v>
      </c>
      <c r="C606" t="s">
        <v>74</v>
      </c>
      <c r="D606" t="s">
        <v>74</v>
      </c>
      <c r="E606" t="s">
        <v>74</v>
      </c>
      <c r="F606" t="s">
        <v>11516</v>
      </c>
      <c r="G606" t="s">
        <v>74</v>
      </c>
      <c r="H606" t="s">
        <v>74</v>
      </c>
      <c r="I606" t="s">
        <v>11517</v>
      </c>
      <c r="J606" t="s">
        <v>11518</v>
      </c>
      <c r="K606" t="s">
        <v>74</v>
      </c>
      <c r="L606" t="s">
        <v>74</v>
      </c>
      <c r="M606" t="s">
        <v>78</v>
      </c>
      <c r="N606" t="s">
        <v>79</v>
      </c>
      <c r="O606" t="s">
        <v>74</v>
      </c>
      <c r="P606" t="s">
        <v>74</v>
      </c>
      <c r="Q606" t="s">
        <v>74</v>
      </c>
      <c r="R606" t="s">
        <v>74</v>
      </c>
      <c r="S606" t="s">
        <v>74</v>
      </c>
      <c r="T606" t="s">
        <v>11519</v>
      </c>
      <c r="U606" t="s">
        <v>11520</v>
      </c>
      <c r="V606" t="s">
        <v>11521</v>
      </c>
      <c r="W606" t="s">
        <v>11522</v>
      </c>
      <c r="X606" t="s">
        <v>11523</v>
      </c>
      <c r="Y606" t="s">
        <v>11524</v>
      </c>
      <c r="Z606" t="s">
        <v>11525</v>
      </c>
      <c r="AA606" t="s">
        <v>74</v>
      </c>
      <c r="AB606" t="s">
        <v>74</v>
      </c>
      <c r="AC606" t="s">
        <v>74</v>
      </c>
      <c r="AD606" t="s">
        <v>74</v>
      </c>
      <c r="AE606" t="s">
        <v>74</v>
      </c>
      <c r="AF606" t="s">
        <v>74</v>
      </c>
      <c r="AG606">
        <v>161</v>
      </c>
      <c r="AH606">
        <v>1</v>
      </c>
      <c r="AI606">
        <v>1</v>
      </c>
      <c r="AJ606">
        <v>10</v>
      </c>
      <c r="AK606">
        <v>30</v>
      </c>
      <c r="AL606" t="s">
        <v>437</v>
      </c>
      <c r="AM606" t="s">
        <v>438</v>
      </c>
      <c r="AN606" t="s">
        <v>439</v>
      </c>
      <c r="AO606" t="s">
        <v>11526</v>
      </c>
      <c r="AP606" t="s">
        <v>11527</v>
      </c>
      <c r="AQ606" t="s">
        <v>74</v>
      </c>
      <c r="AR606" t="s">
        <v>11518</v>
      </c>
      <c r="AS606" t="s">
        <v>11528</v>
      </c>
      <c r="AT606" t="s">
        <v>11529</v>
      </c>
      <c r="AU606">
        <v>2023</v>
      </c>
      <c r="AV606">
        <v>25</v>
      </c>
      <c r="AW606">
        <v>2</v>
      </c>
      <c r="AX606" t="s">
        <v>74</v>
      </c>
      <c r="AY606" t="s">
        <v>74</v>
      </c>
      <c r="AZ606" t="s">
        <v>570</v>
      </c>
      <c r="BA606" t="s">
        <v>74</v>
      </c>
      <c r="BB606">
        <v>264</v>
      </c>
      <c r="BC606">
        <v>286</v>
      </c>
      <c r="BD606" t="s">
        <v>74</v>
      </c>
      <c r="BE606" t="s">
        <v>11530</v>
      </c>
      <c r="BF606" t="str">
        <f>HYPERLINK("http://dx.doi.org/10.1108/FS-10-2021-0210","http://dx.doi.org/10.1108/FS-10-2021-0210")</f>
        <v>http://dx.doi.org/10.1108/FS-10-2021-0210</v>
      </c>
      <c r="BG606" t="s">
        <v>74</v>
      </c>
      <c r="BH606" t="s">
        <v>4492</v>
      </c>
      <c r="BI606">
        <v>23</v>
      </c>
      <c r="BJ606" t="s">
        <v>11531</v>
      </c>
      <c r="BK606" t="s">
        <v>124</v>
      </c>
      <c r="BL606" t="s">
        <v>10957</v>
      </c>
      <c r="BM606" t="s">
        <v>11532</v>
      </c>
      <c r="BN606" t="s">
        <v>74</v>
      </c>
      <c r="BO606" t="s">
        <v>74</v>
      </c>
      <c r="BP606" t="s">
        <v>74</v>
      </c>
      <c r="BQ606" t="s">
        <v>74</v>
      </c>
      <c r="BR606" t="s">
        <v>102</v>
      </c>
      <c r="BS606" t="s">
        <v>11533</v>
      </c>
      <c r="BT606" t="str">
        <f>HYPERLINK("https%3A%2F%2Fwww.webofscience.com%2Fwos%2Fwoscc%2Ffull-record%2FWOS:000854169100001","View Full Record in Web of Science")</f>
        <v>View Full Record in Web of Science</v>
      </c>
    </row>
    <row r="607" spans="1:72" x14ac:dyDescent="0.2">
      <c r="A607" t="s">
        <v>72</v>
      </c>
      <c r="B607" t="s">
        <v>11534</v>
      </c>
      <c r="C607" t="s">
        <v>74</v>
      </c>
      <c r="D607" t="s">
        <v>74</v>
      </c>
      <c r="E607" t="s">
        <v>74</v>
      </c>
      <c r="F607" t="s">
        <v>11535</v>
      </c>
      <c r="G607" t="s">
        <v>74</v>
      </c>
      <c r="H607" t="s">
        <v>74</v>
      </c>
      <c r="I607" t="s">
        <v>11536</v>
      </c>
      <c r="J607" t="s">
        <v>11537</v>
      </c>
      <c r="K607" t="s">
        <v>74</v>
      </c>
      <c r="L607" t="s">
        <v>74</v>
      </c>
      <c r="M607" t="s">
        <v>78</v>
      </c>
      <c r="N607" t="s">
        <v>108</v>
      </c>
      <c r="O607" t="s">
        <v>74</v>
      </c>
      <c r="P607" t="s">
        <v>74</v>
      </c>
      <c r="Q607" t="s">
        <v>74</v>
      </c>
      <c r="R607" t="s">
        <v>74</v>
      </c>
      <c r="S607" t="s">
        <v>74</v>
      </c>
      <c r="T607" t="s">
        <v>11538</v>
      </c>
      <c r="U607" t="s">
        <v>11539</v>
      </c>
      <c r="V607" t="s">
        <v>11540</v>
      </c>
      <c r="W607" t="s">
        <v>11541</v>
      </c>
      <c r="X607" t="s">
        <v>74</v>
      </c>
      <c r="Y607" t="s">
        <v>11542</v>
      </c>
      <c r="Z607" t="s">
        <v>11543</v>
      </c>
      <c r="AA607" t="s">
        <v>74</v>
      </c>
      <c r="AB607" t="s">
        <v>74</v>
      </c>
      <c r="AC607" t="s">
        <v>74</v>
      </c>
      <c r="AD607" t="s">
        <v>74</v>
      </c>
      <c r="AE607" t="s">
        <v>74</v>
      </c>
      <c r="AF607" t="s">
        <v>74</v>
      </c>
      <c r="AG607">
        <v>48</v>
      </c>
      <c r="AH607">
        <v>0</v>
      </c>
      <c r="AI607">
        <v>0</v>
      </c>
      <c r="AJ607">
        <v>1</v>
      </c>
      <c r="AK607">
        <v>1</v>
      </c>
      <c r="AL607" t="s">
        <v>11544</v>
      </c>
      <c r="AM607" t="s">
        <v>11545</v>
      </c>
      <c r="AN607" t="s">
        <v>11546</v>
      </c>
      <c r="AO607" t="s">
        <v>11547</v>
      </c>
      <c r="AP607" t="s">
        <v>74</v>
      </c>
      <c r="AQ607" t="s">
        <v>74</v>
      </c>
      <c r="AR607" t="s">
        <v>11548</v>
      </c>
      <c r="AS607" t="s">
        <v>11549</v>
      </c>
      <c r="AT607" t="s">
        <v>616</v>
      </c>
      <c r="AU607">
        <v>2023</v>
      </c>
      <c r="AV607">
        <v>23</v>
      </c>
      <c r="AW607">
        <v>1</v>
      </c>
      <c r="AX607" t="s">
        <v>74</v>
      </c>
      <c r="AY607" t="s">
        <v>74</v>
      </c>
      <c r="AZ607" t="s">
        <v>74</v>
      </c>
      <c r="BA607" t="s">
        <v>74</v>
      </c>
      <c r="BB607">
        <v>23</v>
      </c>
      <c r="BC607">
        <v>38</v>
      </c>
      <c r="BD607" t="s">
        <v>74</v>
      </c>
      <c r="BE607" t="s">
        <v>74</v>
      </c>
      <c r="BF607" t="s">
        <v>74</v>
      </c>
      <c r="BG607" t="s">
        <v>74</v>
      </c>
      <c r="BH607" t="s">
        <v>74</v>
      </c>
      <c r="BI607">
        <v>16</v>
      </c>
      <c r="BJ607" t="s">
        <v>7643</v>
      </c>
      <c r="BK607" t="s">
        <v>124</v>
      </c>
      <c r="BL607" t="s">
        <v>7643</v>
      </c>
      <c r="BM607" t="s">
        <v>11550</v>
      </c>
      <c r="BN607" t="s">
        <v>74</v>
      </c>
      <c r="BO607" t="s">
        <v>74</v>
      </c>
      <c r="BP607" t="s">
        <v>74</v>
      </c>
      <c r="BQ607" t="s">
        <v>74</v>
      </c>
      <c r="BR607" t="s">
        <v>102</v>
      </c>
      <c r="BS607" t="s">
        <v>11551</v>
      </c>
      <c r="BT607" t="str">
        <f>HYPERLINK("https%3A%2F%2Fwww.webofscience.com%2Fwos%2Fwoscc%2Ffull-record%2FWOS:000947909300003","View Full Record in Web of Science")</f>
        <v>View Full Record in Web of Science</v>
      </c>
    </row>
    <row r="608" spans="1:72" x14ac:dyDescent="0.2">
      <c r="A608" t="s">
        <v>72</v>
      </c>
      <c r="B608" t="s">
        <v>11552</v>
      </c>
      <c r="C608" t="s">
        <v>74</v>
      </c>
      <c r="D608" t="s">
        <v>74</v>
      </c>
      <c r="E608" t="s">
        <v>74</v>
      </c>
      <c r="F608" t="s">
        <v>11553</v>
      </c>
      <c r="G608" t="s">
        <v>74</v>
      </c>
      <c r="H608" t="s">
        <v>74</v>
      </c>
      <c r="I608" t="s">
        <v>11554</v>
      </c>
      <c r="J608" t="s">
        <v>11555</v>
      </c>
      <c r="K608" t="s">
        <v>74</v>
      </c>
      <c r="L608" t="s">
        <v>74</v>
      </c>
      <c r="M608" t="s">
        <v>78</v>
      </c>
      <c r="N608" t="s">
        <v>108</v>
      </c>
      <c r="O608" t="s">
        <v>74</v>
      </c>
      <c r="P608" t="s">
        <v>74</v>
      </c>
      <c r="Q608" t="s">
        <v>74</v>
      </c>
      <c r="R608" t="s">
        <v>74</v>
      </c>
      <c r="S608" t="s">
        <v>74</v>
      </c>
      <c r="T608" t="s">
        <v>11556</v>
      </c>
      <c r="U608" t="s">
        <v>11557</v>
      </c>
      <c r="V608" t="s">
        <v>11558</v>
      </c>
      <c r="W608" t="s">
        <v>11559</v>
      </c>
      <c r="X608" t="s">
        <v>11560</v>
      </c>
      <c r="Y608" t="s">
        <v>11561</v>
      </c>
      <c r="Z608" t="s">
        <v>11562</v>
      </c>
      <c r="AA608" t="s">
        <v>11563</v>
      </c>
      <c r="AB608" t="s">
        <v>11564</v>
      </c>
      <c r="AC608" t="s">
        <v>74</v>
      </c>
      <c r="AD608" t="s">
        <v>74</v>
      </c>
      <c r="AE608" t="s">
        <v>74</v>
      </c>
      <c r="AF608" t="s">
        <v>74</v>
      </c>
      <c r="AG608">
        <v>55</v>
      </c>
      <c r="AH608">
        <v>22</v>
      </c>
      <c r="AI608">
        <v>22</v>
      </c>
      <c r="AJ608">
        <v>1</v>
      </c>
      <c r="AK608">
        <v>37</v>
      </c>
      <c r="AL608" t="s">
        <v>462</v>
      </c>
      <c r="AM608" t="s">
        <v>280</v>
      </c>
      <c r="AN608" t="s">
        <v>11565</v>
      </c>
      <c r="AO608" t="s">
        <v>11566</v>
      </c>
      <c r="AP608" t="s">
        <v>11567</v>
      </c>
      <c r="AQ608" t="s">
        <v>74</v>
      </c>
      <c r="AR608" t="s">
        <v>11568</v>
      </c>
      <c r="AS608" t="s">
        <v>11569</v>
      </c>
      <c r="AT608" t="s">
        <v>993</v>
      </c>
      <c r="AU608">
        <v>2013</v>
      </c>
      <c r="AV608">
        <v>44</v>
      </c>
      <c r="AW608">
        <v>4</v>
      </c>
      <c r="AX608" t="s">
        <v>74</v>
      </c>
      <c r="AY608" t="s">
        <v>74</v>
      </c>
      <c r="AZ608" t="s">
        <v>74</v>
      </c>
      <c r="BA608" t="s">
        <v>74</v>
      </c>
      <c r="BB608">
        <v>383</v>
      </c>
      <c r="BC608">
        <v>400</v>
      </c>
      <c r="BD608" t="s">
        <v>74</v>
      </c>
      <c r="BE608" t="s">
        <v>11570</v>
      </c>
      <c r="BF608" t="str">
        <f>HYPERLINK("http://dx.doi.org/10.1080/00049182.2013.852505","http://dx.doi.org/10.1080/00049182.2013.852505")</f>
        <v>http://dx.doi.org/10.1080/00049182.2013.852505</v>
      </c>
      <c r="BG608" t="s">
        <v>74</v>
      </c>
      <c r="BH608" t="s">
        <v>74</v>
      </c>
      <c r="BI608">
        <v>18</v>
      </c>
      <c r="BJ608" t="s">
        <v>11571</v>
      </c>
      <c r="BK608" t="s">
        <v>242</v>
      </c>
      <c r="BL608" t="s">
        <v>11571</v>
      </c>
      <c r="BM608" t="s">
        <v>11572</v>
      </c>
      <c r="BN608" t="s">
        <v>74</v>
      </c>
      <c r="BO608" t="s">
        <v>74</v>
      </c>
      <c r="BP608" t="s">
        <v>74</v>
      </c>
      <c r="BQ608" t="s">
        <v>74</v>
      </c>
      <c r="BR608" t="s">
        <v>102</v>
      </c>
      <c r="BS608" t="s">
        <v>11573</v>
      </c>
      <c r="BT608" t="str">
        <f>HYPERLINK("https%3A%2F%2Fwww.webofscience.com%2Fwos%2Fwoscc%2Ffull-record%2FWOS:000327929400003","View Full Record in Web of Science")</f>
        <v>View Full Record in Web of Science</v>
      </c>
    </row>
    <row r="609" spans="1:72" x14ac:dyDescent="0.2">
      <c r="A609" t="s">
        <v>72</v>
      </c>
      <c r="B609" t="s">
        <v>11574</v>
      </c>
      <c r="C609" t="s">
        <v>74</v>
      </c>
      <c r="D609" t="s">
        <v>74</v>
      </c>
      <c r="E609" t="s">
        <v>74</v>
      </c>
      <c r="F609" t="s">
        <v>11575</v>
      </c>
      <c r="G609" t="s">
        <v>74</v>
      </c>
      <c r="H609" t="s">
        <v>74</v>
      </c>
      <c r="I609" t="s">
        <v>11576</v>
      </c>
      <c r="J609" t="s">
        <v>4693</v>
      </c>
      <c r="K609" t="s">
        <v>74</v>
      </c>
      <c r="L609" t="s">
        <v>74</v>
      </c>
      <c r="M609" t="s">
        <v>78</v>
      </c>
      <c r="N609" t="s">
        <v>108</v>
      </c>
      <c r="O609" t="s">
        <v>74</v>
      </c>
      <c r="P609" t="s">
        <v>74</v>
      </c>
      <c r="Q609" t="s">
        <v>74</v>
      </c>
      <c r="R609" t="s">
        <v>74</v>
      </c>
      <c r="S609" t="s">
        <v>74</v>
      </c>
      <c r="T609" t="s">
        <v>11577</v>
      </c>
      <c r="U609" t="s">
        <v>11578</v>
      </c>
      <c r="V609" t="s">
        <v>11579</v>
      </c>
      <c r="W609" t="s">
        <v>11580</v>
      </c>
      <c r="X609" t="s">
        <v>3431</v>
      </c>
      <c r="Y609" t="s">
        <v>11581</v>
      </c>
      <c r="Z609" t="s">
        <v>11582</v>
      </c>
      <c r="AA609" t="s">
        <v>11583</v>
      </c>
      <c r="AB609" t="s">
        <v>11584</v>
      </c>
      <c r="AC609" t="s">
        <v>74</v>
      </c>
      <c r="AD609" t="s">
        <v>74</v>
      </c>
      <c r="AE609" t="s">
        <v>74</v>
      </c>
      <c r="AF609" t="s">
        <v>74</v>
      </c>
      <c r="AG609">
        <v>27</v>
      </c>
      <c r="AH609">
        <v>0</v>
      </c>
      <c r="AI609">
        <v>0</v>
      </c>
      <c r="AJ609">
        <v>1</v>
      </c>
      <c r="AK609">
        <v>17</v>
      </c>
      <c r="AL609" t="s">
        <v>259</v>
      </c>
      <c r="AM609" t="s">
        <v>260</v>
      </c>
      <c r="AN609" t="s">
        <v>261</v>
      </c>
      <c r="AO609" t="s">
        <v>4705</v>
      </c>
      <c r="AP609" t="s">
        <v>4706</v>
      </c>
      <c r="AQ609" t="s">
        <v>74</v>
      </c>
      <c r="AR609" t="s">
        <v>4707</v>
      </c>
      <c r="AS609" t="s">
        <v>4708</v>
      </c>
      <c r="AT609" t="s">
        <v>738</v>
      </c>
      <c r="AU609">
        <v>2022</v>
      </c>
      <c r="AV609">
        <v>314</v>
      </c>
      <c r="AW609" t="s">
        <v>74</v>
      </c>
      <c r="AX609" t="s">
        <v>74</v>
      </c>
      <c r="AY609" t="s">
        <v>74</v>
      </c>
      <c r="AZ609" t="s">
        <v>74</v>
      </c>
      <c r="BA609" t="s">
        <v>74</v>
      </c>
      <c r="BB609" t="s">
        <v>74</v>
      </c>
      <c r="BC609" t="s">
        <v>74</v>
      </c>
      <c r="BD609">
        <v>110777</v>
      </c>
      <c r="BE609" t="s">
        <v>11585</v>
      </c>
      <c r="BF609" t="str">
        <f>HYPERLINK("http://dx.doi.org/10.1016/j.jfoodeng.2021.110777","http://dx.doi.org/10.1016/j.jfoodeng.2021.110777")</f>
        <v>http://dx.doi.org/10.1016/j.jfoodeng.2021.110777</v>
      </c>
      <c r="BG609" t="s">
        <v>74</v>
      </c>
      <c r="BH609" t="s">
        <v>1373</v>
      </c>
      <c r="BI609">
        <v>13</v>
      </c>
      <c r="BJ609" t="s">
        <v>4710</v>
      </c>
      <c r="BK609" t="s">
        <v>98</v>
      </c>
      <c r="BL609" t="s">
        <v>4711</v>
      </c>
      <c r="BM609" t="s">
        <v>11586</v>
      </c>
      <c r="BN609" t="s">
        <v>74</v>
      </c>
      <c r="BO609" t="s">
        <v>74</v>
      </c>
      <c r="BP609" t="s">
        <v>74</v>
      </c>
      <c r="BQ609" t="s">
        <v>74</v>
      </c>
      <c r="BR609" t="s">
        <v>102</v>
      </c>
      <c r="BS609" t="s">
        <v>11587</v>
      </c>
      <c r="BT609" t="str">
        <f>HYPERLINK("https%3A%2F%2Fwww.webofscience.com%2Fwos%2Fwoscc%2Ffull-record%2FWOS:000703894000009","View Full Record in Web of Science")</f>
        <v>View Full Record in Web of Science</v>
      </c>
    </row>
    <row r="610" spans="1:72" x14ac:dyDescent="0.2">
      <c r="A610" t="s">
        <v>72</v>
      </c>
      <c r="B610" t="s">
        <v>11588</v>
      </c>
      <c r="C610" t="s">
        <v>74</v>
      </c>
      <c r="D610" t="s">
        <v>74</v>
      </c>
      <c r="E610" t="s">
        <v>74</v>
      </c>
      <c r="F610" t="s">
        <v>11589</v>
      </c>
      <c r="G610" t="s">
        <v>74</v>
      </c>
      <c r="H610" t="s">
        <v>74</v>
      </c>
      <c r="I610" t="s">
        <v>11590</v>
      </c>
      <c r="J610" t="s">
        <v>4384</v>
      </c>
      <c r="K610" t="s">
        <v>74</v>
      </c>
      <c r="L610" t="s">
        <v>74</v>
      </c>
      <c r="M610" t="s">
        <v>78</v>
      </c>
      <c r="N610" t="s">
        <v>108</v>
      </c>
      <c r="O610" t="s">
        <v>74</v>
      </c>
      <c r="P610" t="s">
        <v>74</v>
      </c>
      <c r="Q610" t="s">
        <v>74</v>
      </c>
      <c r="R610" t="s">
        <v>74</v>
      </c>
      <c r="S610" t="s">
        <v>74</v>
      </c>
      <c r="T610" t="s">
        <v>11591</v>
      </c>
      <c r="U610" t="s">
        <v>11592</v>
      </c>
      <c r="V610" t="s">
        <v>11593</v>
      </c>
      <c r="W610" t="s">
        <v>11594</v>
      </c>
      <c r="X610" t="s">
        <v>74</v>
      </c>
      <c r="Y610" t="s">
        <v>11595</v>
      </c>
      <c r="Z610" t="s">
        <v>11596</v>
      </c>
      <c r="AA610" t="s">
        <v>11597</v>
      </c>
      <c r="AB610" t="s">
        <v>11598</v>
      </c>
      <c r="AC610" t="s">
        <v>11599</v>
      </c>
      <c r="AD610" t="s">
        <v>11600</v>
      </c>
      <c r="AE610" t="s">
        <v>11601</v>
      </c>
      <c r="AF610" t="s">
        <v>74</v>
      </c>
      <c r="AG610">
        <v>63</v>
      </c>
      <c r="AH610">
        <v>17</v>
      </c>
      <c r="AI610">
        <v>18</v>
      </c>
      <c r="AJ610">
        <v>2</v>
      </c>
      <c r="AK610">
        <v>33</v>
      </c>
      <c r="AL610" t="s">
        <v>167</v>
      </c>
      <c r="AM610" t="s">
        <v>168</v>
      </c>
      <c r="AN610" t="s">
        <v>169</v>
      </c>
      <c r="AO610" t="s">
        <v>4393</v>
      </c>
      <c r="AP610" t="s">
        <v>74</v>
      </c>
      <c r="AQ610" t="s">
        <v>74</v>
      </c>
      <c r="AR610" t="s">
        <v>4384</v>
      </c>
      <c r="AS610" t="s">
        <v>4394</v>
      </c>
      <c r="AT610" t="s">
        <v>74</v>
      </c>
      <c r="AU610">
        <v>2019</v>
      </c>
      <c r="AV610">
        <v>7</v>
      </c>
      <c r="AW610" t="s">
        <v>74</v>
      </c>
      <c r="AX610" t="s">
        <v>74</v>
      </c>
      <c r="AY610" t="s">
        <v>74</v>
      </c>
      <c r="AZ610" t="s">
        <v>74</v>
      </c>
      <c r="BA610" t="s">
        <v>74</v>
      </c>
      <c r="BB610">
        <v>83785</v>
      </c>
      <c r="BC610">
        <v>83796</v>
      </c>
      <c r="BD610" t="s">
        <v>74</v>
      </c>
      <c r="BE610" t="s">
        <v>11602</v>
      </c>
      <c r="BF610" t="str">
        <f>HYPERLINK("http://dx.doi.org/10.1109/ACCESS.2019.2924445","http://dx.doi.org/10.1109/ACCESS.2019.2924445")</f>
        <v>http://dx.doi.org/10.1109/ACCESS.2019.2924445</v>
      </c>
      <c r="BG610" t="s">
        <v>74</v>
      </c>
      <c r="BH610" t="s">
        <v>74</v>
      </c>
      <c r="BI610">
        <v>12</v>
      </c>
      <c r="BJ610" t="s">
        <v>2959</v>
      </c>
      <c r="BK610" t="s">
        <v>98</v>
      </c>
      <c r="BL610" t="s">
        <v>2960</v>
      </c>
      <c r="BM610" t="s">
        <v>11603</v>
      </c>
      <c r="BN610" t="s">
        <v>74</v>
      </c>
      <c r="BO610" t="s">
        <v>126</v>
      </c>
      <c r="BP610" t="s">
        <v>74</v>
      </c>
      <c r="BQ610" t="s">
        <v>74</v>
      </c>
      <c r="BR610" t="s">
        <v>102</v>
      </c>
      <c r="BS610" t="s">
        <v>11604</v>
      </c>
      <c r="BT610" t="str">
        <f>HYPERLINK("https%3A%2F%2Fwww.webofscience.com%2Fwos%2Fwoscc%2Ffull-record%2FWOS:000475803200001","View Full Record in Web of Science")</f>
        <v>View Full Record in Web of Science</v>
      </c>
    </row>
    <row r="611" spans="1:72" x14ac:dyDescent="0.2">
      <c r="A611" t="s">
        <v>72</v>
      </c>
      <c r="B611" t="s">
        <v>11605</v>
      </c>
      <c r="C611" t="s">
        <v>74</v>
      </c>
      <c r="D611" t="s">
        <v>74</v>
      </c>
      <c r="E611" t="s">
        <v>74</v>
      </c>
      <c r="F611" t="s">
        <v>11606</v>
      </c>
      <c r="G611" t="s">
        <v>74</v>
      </c>
      <c r="H611" t="s">
        <v>74</v>
      </c>
      <c r="I611" t="s">
        <v>11607</v>
      </c>
      <c r="J611" t="s">
        <v>11608</v>
      </c>
      <c r="K611" t="s">
        <v>74</v>
      </c>
      <c r="L611" t="s">
        <v>74</v>
      </c>
      <c r="M611" t="s">
        <v>78</v>
      </c>
      <c r="N611" t="s">
        <v>79</v>
      </c>
      <c r="O611" t="s">
        <v>74</v>
      </c>
      <c r="P611" t="s">
        <v>74</v>
      </c>
      <c r="Q611" t="s">
        <v>74</v>
      </c>
      <c r="R611" t="s">
        <v>74</v>
      </c>
      <c r="S611" t="s">
        <v>74</v>
      </c>
      <c r="T611" t="s">
        <v>11609</v>
      </c>
      <c r="U611" t="s">
        <v>11610</v>
      </c>
      <c r="V611" t="s">
        <v>11611</v>
      </c>
      <c r="W611" t="s">
        <v>11612</v>
      </c>
      <c r="X611" t="s">
        <v>11613</v>
      </c>
      <c r="Y611" t="s">
        <v>11614</v>
      </c>
      <c r="Z611" t="s">
        <v>11615</v>
      </c>
      <c r="AA611" t="s">
        <v>11616</v>
      </c>
      <c r="AB611" t="s">
        <v>11617</v>
      </c>
      <c r="AC611" t="s">
        <v>11618</v>
      </c>
      <c r="AD611" t="s">
        <v>11619</v>
      </c>
      <c r="AE611" t="s">
        <v>11620</v>
      </c>
      <c r="AF611" t="s">
        <v>74</v>
      </c>
      <c r="AG611">
        <v>80</v>
      </c>
      <c r="AH611">
        <v>2</v>
      </c>
      <c r="AI611">
        <v>2</v>
      </c>
      <c r="AJ611">
        <v>3</v>
      </c>
      <c r="AK611">
        <v>12</v>
      </c>
      <c r="AL611" t="s">
        <v>5729</v>
      </c>
      <c r="AM611" t="s">
        <v>5730</v>
      </c>
      <c r="AN611" t="s">
        <v>5731</v>
      </c>
      <c r="AO611" t="s">
        <v>11621</v>
      </c>
      <c r="AP611" t="s">
        <v>74</v>
      </c>
      <c r="AQ611" t="s">
        <v>74</v>
      </c>
      <c r="AR611" t="s">
        <v>11622</v>
      </c>
      <c r="AS611" t="s">
        <v>11623</v>
      </c>
      <c r="AT611" t="s">
        <v>74</v>
      </c>
      <c r="AU611">
        <v>2023</v>
      </c>
      <c r="AV611">
        <v>8</v>
      </c>
      <c r="AW611">
        <v>1</v>
      </c>
      <c r="AX611" t="s">
        <v>74</v>
      </c>
      <c r="AY611" t="s">
        <v>74</v>
      </c>
      <c r="AZ611" t="s">
        <v>74</v>
      </c>
      <c r="BA611" t="s">
        <v>74</v>
      </c>
      <c r="BB611">
        <v>48</v>
      </c>
      <c r="BC611">
        <v>77</v>
      </c>
      <c r="BD611" t="s">
        <v>74</v>
      </c>
      <c r="BE611" t="s">
        <v>11624</v>
      </c>
      <c r="BF611" t="str">
        <f>HYPERLINK("http://dx.doi.org/10.3934/agrfood.2023003","http://dx.doi.org/10.3934/agrfood.2023003")</f>
        <v>http://dx.doi.org/10.3934/agrfood.2023003</v>
      </c>
      <c r="BG611" t="s">
        <v>74</v>
      </c>
      <c r="BH611" t="s">
        <v>74</v>
      </c>
      <c r="BI611">
        <v>30</v>
      </c>
      <c r="BJ611" t="s">
        <v>11625</v>
      </c>
      <c r="BK611" t="s">
        <v>124</v>
      </c>
      <c r="BL611" t="s">
        <v>11017</v>
      </c>
      <c r="BM611" t="s">
        <v>11626</v>
      </c>
      <c r="BN611" t="s">
        <v>74</v>
      </c>
      <c r="BO611" t="s">
        <v>126</v>
      </c>
      <c r="BP611" t="s">
        <v>74</v>
      </c>
      <c r="BQ611" t="s">
        <v>74</v>
      </c>
      <c r="BR611" t="s">
        <v>102</v>
      </c>
      <c r="BS611" t="s">
        <v>11627</v>
      </c>
      <c r="BT611" t="str">
        <f>HYPERLINK("https%3A%2F%2Fwww.webofscience.com%2Fwos%2Fwoscc%2Ffull-record%2FWOS:000894644400001","View Full Record in Web of Science")</f>
        <v>View Full Record in Web of Science</v>
      </c>
    </row>
    <row r="612" spans="1:72" x14ac:dyDescent="0.2">
      <c r="A612" t="s">
        <v>72</v>
      </c>
      <c r="B612" t="s">
        <v>11628</v>
      </c>
      <c r="C612" t="s">
        <v>74</v>
      </c>
      <c r="D612" t="s">
        <v>74</v>
      </c>
      <c r="E612" t="s">
        <v>74</v>
      </c>
      <c r="F612" t="s">
        <v>11629</v>
      </c>
      <c r="G612" t="s">
        <v>74</v>
      </c>
      <c r="H612" t="s">
        <v>74</v>
      </c>
      <c r="I612" t="s">
        <v>11630</v>
      </c>
      <c r="J612" t="s">
        <v>11631</v>
      </c>
      <c r="K612" t="s">
        <v>74</v>
      </c>
      <c r="L612" t="s">
        <v>74</v>
      </c>
      <c r="M612" t="s">
        <v>78</v>
      </c>
      <c r="N612" t="s">
        <v>108</v>
      </c>
      <c r="O612" t="s">
        <v>74</v>
      </c>
      <c r="P612" t="s">
        <v>74</v>
      </c>
      <c r="Q612" t="s">
        <v>74</v>
      </c>
      <c r="R612" t="s">
        <v>74</v>
      </c>
      <c r="S612" t="s">
        <v>74</v>
      </c>
      <c r="T612" t="s">
        <v>11632</v>
      </c>
      <c r="U612" t="s">
        <v>11633</v>
      </c>
      <c r="V612" t="s">
        <v>11634</v>
      </c>
      <c r="W612" t="s">
        <v>11635</v>
      </c>
      <c r="X612" t="s">
        <v>11636</v>
      </c>
      <c r="Y612" t="s">
        <v>11637</v>
      </c>
      <c r="Z612" t="s">
        <v>11638</v>
      </c>
      <c r="AA612" t="s">
        <v>11639</v>
      </c>
      <c r="AB612" t="s">
        <v>11640</v>
      </c>
      <c r="AC612" t="s">
        <v>74</v>
      </c>
      <c r="AD612" t="s">
        <v>74</v>
      </c>
      <c r="AE612" t="s">
        <v>74</v>
      </c>
      <c r="AF612" t="s">
        <v>74</v>
      </c>
      <c r="AG612">
        <v>57</v>
      </c>
      <c r="AH612">
        <v>9</v>
      </c>
      <c r="AI612">
        <v>9</v>
      </c>
      <c r="AJ612">
        <v>0</v>
      </c>
      <c r="AK612">
        <v>17</v>
      </c>
      <c r="AL612" t="s">
        <v>437</v>
      </c>
      <c r="AM612" t="s">
        <v>438</v>
      </c>
      <c r="AN612" t="s">
        <v>439</v>
      </c>
      <c r="AO612" t="s">
        <v>11641</v>
      </c>
      <c r="AP612" t="s">
        <v>11642</v>
      </c>
      <c r="AQ612" t="s">
        <v>74</v>
      </c>
      <c r="AR612" t="s">
        <v>11643</v>
      </c>
      <c r="AS612" t="s">
        <v>11644</v>
      </c>
      <c r="AT612" t="s">
        <v>74</v>
      </c>
      <c r="AU612">
        <v>2018</v>
      </c>
      <c r="AV612">
        <v>27</v>
      </c>
      <c r="AW612">
        <v>1</v>
      </c>
      <c r="AX612" t="s">
        <v>74</v>
      </c>
      <c r="AY612" t="s">
        <v>74</v>
      </c>
      <c r="AZ612" t="s">
        <v>570</v>
      </c>
      <c r="BA612" t="s">
        <v>74</v>
      </c>
      <c r="BB612">
        <v>42</v>
      </c>
      <c r="BC612">
        <v>65</v>
      </c>
      <c r="BD612" t="s">
        <v>74</v>
      </c>
      <c r="BE612" t="s">
        <v>11645</v>
      </c>
      <c r="BF612" t="str">
        <f>HYPERLINK("http://dx.doi.org/10.1108/EJMBE-11-2017-0052","http://dx.doi.org/10.1108/EJMBE-11-2017-0052")</f>
        <v>http://dx.doi.org/10.1108/EJMBE-11-2017-0052</v>
      </c>
      <c r="BG612" t="s">
        <v>74</v>
      </c>
      <c r="BH612" t="s">
        <v>74</v>
      </c>
      <c r="BI612">
        <v>24</v>
      </c>
      <c r="BJ612" t="s">
        <v>931</v>
      </c>
      <c r="BK612" t="s">
        <v>124</v>
      </c>
      <c r="BL612" t="s">
        <v>419</v>
      </c>
      <c r="BM612" t="s">
        <v>11646</v>
      </c>
      <c r="BN612" t="s">
        <v>74</v>
      </c>
      <c r="BO612" t="s">
        <v>306</v>
      </c>
      <c r="BP612" t="s">
        <v>74</v>
      </c>
      <c r="BQ612" t="s">
        <v>74</v>
      </c>
      <c r="BR612" t="s">
        <v>102</v>
      </c>
      <c r="BS612" t="s">
        <v>11647</v>
      </c>
      <c r="BT612" t="str">
        <f>HYPERLINK("https%3A%2F%2Fwww.webofscience.com%2Fwos%2Fwoscc%2Ffull-record%2FWOS:000440629700004","View Full Record in Web of Science")</f>
        <v>View Full Record in Web of Science</v>
      </c>
    </row>
    <row r="613" spans="1:72" x14ac:dyDescent="0.2">
      <c r="A613" t="s">
        <v>72</v>
      </c>
      <c r="B613" t="s">
        <v>11648</v>
      </c>
      <c r="C613" t="s">
        <v>74</v>
      </c>
      <c r="D613" t="s">
        <v>74</v>
      </c>
      <c r="E613" t="s">
        <v>74</v>
      </c>
      <c r="F613" t="s">
        <v>11649</v>
      </c>
      <c r="G613" t="s">
        <v>74</v>
      </c>
      <c r="H613" t="s">
        <v>74</v>
      </c>
      <c r="I613" t="s">
        <v>11650</v>
      </c>
      <c r="J613" t="s">
        <v>11651</v>
      </c>
      <c r="K613" t="s">
        <v>74</v>
      </c>
      <c r="L613" t="s">
        <v>74</v>
      </c>
      <c r="M613" t="s">
        <v>78</v>
      </c>
      <c r="N613" t="s">
        <v>108</v>
      </c>
      <c r="O613" t="s">
        <v>74</v>
      </c>
      <c r="P613" t="s">
        <v>74</v>
      </c>
      <c r="Q613" t="s">
        <v>74</v>
      </c>
      <c r="R613" t="s">
        <v>74</v>
      </c>
      <c r="S613" t="s">
        <v>74</v>
      </c>
      <c r="T613" t="s">
        <v>11652</v>
      </c>
      <c r="U613" t="s">
        <v>74</v>
      </c>
      <c r="V613" t="s">
        <v>11653</v>
      </c>
      <c r="W613" t="s">
        <v>11654</v>
      </c>
      <c r="X613" t="s">
        <v>11655</v>
      </c>
      <c r="Y613" t="s">
        <v>11656</v>
      </c>
      <c r="Z613" t="s">
        <v>11657</v>
      </c>
      <c r="AA613" t="s">
        <v>11658</v>
      </c>
      <c r="AB613" t="s">
        <v>11659</v>
      </c>
      <c r="AC613" t="s">
        <v>74</v>
      </c>
      <c r="AD613" t="s">
        <v>74</v>
      </c>
      <c r="AE613" t="s">
        <v>74</v>
      </c>
      <c r="AF613" t="s">
        <v>74</v>
      </c>
      <c r="AG613">
        <v>15</v>
      </c>
      <c r="AH613">
        <v>10</v>
      </c>
      <c r="AI613">
        <v>10</v>
      </c>
      <c r="AJ613">
        <v>0</v>
      </c>
      <c r="AK613">
        <v>18</v>
      </c>
      <c r="AL613" t="s">
        <v>11660</v>
      </c>
      <c r="AM613" t="s">
        <v>11661</v>
      </c>
      <c r="AN613" t="s">
        <v>11662</v>
      </c>
      <c r="AO613" t="s">
        <v>11663</v>
      </c>
      <c r="AP613" t="s">
        <v>11664</v>
      </c>
      <c r="AQ613" t="s">
        <v>74</v>
      </c>
      <c r="AR613" t="s">
        <v>11665</v>
      </c>
      <c r="AS613" t="s">
        <v>11666</v>
      </c>
      <c r="AT613" t="s">
        <v>800</v>
      </c>
      <c r="AU613">
        <v>2019</v>
      </c>
      <c r="AV613">
        <v>46</v>
      </c>
      <c r="AW613">
        <v>4</v>
      </c>
      <c r="AX613" t="s">
        <v>74</v>
      </c>
      <c r="AY613" t="s">
        <v>74</v>
      </c>
      <c r="AZ613" t="s">
        <v>74</v>
      </c>
      <c r="BA613" t="s">
        <v>74</v>
      </c>
      <c r="BB613">
        <v>278</v>
      </c>
      <c r="BC613">
        <v>286</v>
      </c>
      <c r="BD613" t="s">
        <v>74</v>
      </c>
      <c r="BE613" t="s">
        <v>11667</v>
      </c>
      <c r="BF613" t="str">
        <f>HYPERLINK("http://dx.doi.org/10.1139/cjce-2018-0229","http://dx.doi.org/10.1139/cjce-2018-0229")</f>
        <v>http://dx.doi.org/10.1139/cjce-2018-0229</v>
      </c>
      <c r="BG613" t="s">
        <v>74</v>
      </c>
      <c r="BH613" t="s">
        <v>74</v>
      </c>
      <c r="BI613">
        <v>9</v>
      </c>
      <c r="BJ613" t="s">
        <v>11668</v>
      </c>
      <c r="BK613" t="s">
        <v>98</v>
      </c>
      <c r="BL613" t="s">
        <v>1292</v>
      </c>
      <c r="BM613" t="s">
        <v>11669</v>
      </c>
      <c r="BN613" t="s">
        <v>74</v>
      </c>
      <c r="BO613" t="s">
        <v>74</v>
      </c>
      <c r="BP613" t="s">
        <v>74</v>
      </c>
      <c r="BQ613" t="s">
        <v>74</v>
      </c>
      <c r="BR613" t="s">
        <v>102</v>
      </c>
      <c r="BS613" t="s">
        <v>11670</v>
      </c>
      <c r="BT613" t="str">
        <f>HYPERLINK("https%3A%2F%2Fwww.webofscience.com%2Fwos%2Fwoscc%2Ffull-record%2FWOS:000463470000004","View Full Record in Web of Science")</f>
        <v>View Full Record in Web of Science</v>
      </c>
    </row>
    <row r="614" spans="1:72" x14ac:dyDescent="0.2">
      <c r="A614" t="s">
        <v>72</v>
      </c>
      <c r="B614" t="s">
        <v>11671</v>
      </c>
      <c r="C614" t="s">
        <v>74</v>
      </c>
      <c r="D614" t="s">
        <v>74</v>
      </c>
      <c r="E614" t="s">
        <v>74</v>
      </c>
      <c r="F614" t="s">
        <v>11672</v>
      </c>
      <c r="G614" t="s">
        <v>74</v>
      </c>
      <c r="H614" t="s">
        <v>74</v>
      </c>
      <c r="I614" t="s">
        <v>11673</v>
      </c>
      <c r="J614" t="s">
        <v>6820</v>
      </c>
      <c r="K614" t="s">
        <v>74</v>
      </c>
      <c r="L614" t="s">
        <v>74</v>
      </c>
      <c r="M614" t="s">
        <v>78</v>
      </c>
      <c r="N614" t="s">
        <v>108</v>
      </c>
      <c r="O614" t="s">
        <v>74</v>
      </c>
      <c r="P614" t="s">
        <v>74</v>
      </c>
      <c r="Q614" t="s">
        <v>74</v>
      </c>
      <c r="R614" t="s">
        <v>74</v>
      </c>
      <c r="S614" t="s">
        <v>74</v>
      </c>
      <c r="T614" t="s">
        <v>11674</v>
      </c>
      <c r="U614" t="s">
        <v>74</v>
      </c>
      <c r="V614" t="s">
        <v>11675</v>
      </c>
      <c r="W614" t="s">
        <v>11676</v>
      </c>
      <c r="X614" t="s">
        <v>11677</v>
      </c>
      <c r="Y614" t="s">
        <v>11678</v>
      </c>
      <c r="Z614" t="s">
        <v>74</v>
      </c>
      <c r="AA614" t="s">
        <v>74</v>
      </c>
      <c r="AB614" t="s">
        <v>11679</v>
      </c>
      <c r="AC614" t="s">
        <v>74</v>
      </c>
      <c r="AD614" t="s">
        <v>74</v>
      </c>
      <c r="AE614" t="s">
        <v>74</v>
      </c>
      <c r="AF614" t="s">
        <v>74</v>
      </c>
      <c r="AG614">
        <v>20</v>
      </c>
      <c r="AH614">
        <v>0</v>
      </c>
      <c r="AI614">
        <v>0</v>
      </c>
      <c r="AJ614">
        <v>0</v>
      </c>
      <c r="AK614">
        <v>1</v>
      </c>
      <c r="AL614" t="s">
        <v>6827</v>
      </c>
      <c r="AM614" t="s">
        <v>6828</v>
      </c>
      <c r="AN614" t="s">
        <v>6829</v>
      </c>
      <c r="AO614" t="s">
        <v>6830</v>
      </c>
      <c r="AP614" t="s">
        <v>6831</v>
      </c>
      <c r="AQ614" t="s">
        <v>74</v>
      </c>
      <c r="AR614" t="s">
        <v>6832</v>
      </c>
      <c r="AS614" t="s">
        <v>6833</v>
      </c>
      <c r="AT614" t="s">
        <v>800</v>
      </c>
      <c r="AU614">
        <v>2021</v>
      </c>
      <c r="AV614">
        <v>12</v>
      </c>
      <c r="AW614">
        <v>4</v>
      </c>
      <c r="AX614" t="s">
        <v>74</v>
      </c>
      <c r="AY614" t="s">
        <v>74</v>
      </c>
      <c r="AZ614" t="s">
        <v>74</v>
      </c>
      <c r="BA614" t="s">
        <v>74</v>
      </c>
      <c r="BB614">
        <v>184</v>
      </c>
      <c r="BC614">
        <v>189</v>
      </c>
      <c r="BD614" t="s">
        <v>74</v>
      </c>
      <c r="BE614" t="s">
        <v>74</v>
      </c>
      <c r="BF614" t="s">
        <v>74</v>
      </c>
      <c r="BG614" t="s">
        <v>74</v>
      </c>
      <c r="BH614" t="s">
        <v>74</v>
      </c>
      <c r="BI614">
        <v>6</v>
      </c>
      <c r="BJ614" t="s">
        <v>97</v>
      </c>
      <c r="BK614" t="s">
        <v>124</v>
      </c>
      <c r="BL614" t="s">
        <v>99</v>
      </c>
      <c r="BM614" t="s">
        <v>11680</v>
      </c>
      <c r="BN614" t="s">
        <v>74</v>
      </c>
      <c r="BO614" t="s">
        <v>74</v>
      </c>
      <c r="BP614" t="s">
        <v>74</v>
      </c>
      <c r="BQ614" t="s">
        <v>74</v>
      </c>
      <c r="BR614" t="s">
        <v>102</v>
      </c>
      <c r="BS614" t="s">
        <v>11681</v>
      </c>
      <c r="BT614" t="str">
        <f>HYPERLINK("https%3A%2F%2Fwww.webofscience.com%2Fwos%2Fwoscc%2Ffull-record%2FWOS:000648867700026","View Full Record in Web of Science")</f>
        <v>View Full Record in Web of Science</v>
      </c>
    </row>
    <row r="615" spans="1:72" x14ac:dyDescent="0.2">
      <c r="A615" t="s">
        <v>72</v>
      </c>
      <c r="B615" t="s">
        <v>11682</v>
      </c>
      <c r="C615" t="s">
        <v>74</v>
      </c>
      <c r="D615" t="s">
        <v>74</v>
      </c>
      <c r="E615" t="s">
        <v>74</v>
      </c>
      <c r="F615" t="s">
        <v>11683</v>
      </c>
      <c r="G615" t="s">
        <v>74</v>
      </c>
      <c r="H615" t="s">
        <v>74</v>
      </c>
      <c r="I615" t="s">
        <v>11684</v>
      </c>
      <c r="J615" t="s">
        <v>4673</v>
      </c>
      <c r="K615" t="s">
        <v>74</v>
      </c>
      <c r="L615" t="s">
        <v>74</v>
      </c>
      <c r="M615" t="s">
        <v>78</v>
      </c>
      <c r="N615" t="s">
        <v>108</v>
      </c>
      <c r="O615" t="s">
        <v>74</v>
      </c>
      <c r="P615" t="s">
        <v>74</v>
      </c>
      <c r="Q615" t="s">
        <v>74</v>
      </c>
      <c r="R615" t="s">
        <v>74</v>
      </c>
      <c r="S615" t="s">
        <v>74</v>
      </c>
      <c r="T615" t="s">
        <v>11685</v>
      </c>
      <c r="U615" t="s">
        <v>11686</v>
      </c>
      <c r="V615" t="s">
        <v>11687</v>
      </c>
      <c r="W615" t="s">
        <v>11688</v>
      </c>
      <c r="X615" t="s">
        <v>11689</v>
      </c>
      <c r="Y615" t="s">
        <v>11690</v>
      </c>
      <c r="Z615" t="s">
        <v>11691</v>
      </c>
      <c r="AA615" t="s">
        <v>11692</v>
      </c>
      <c r="AB615" t="s">
        <v>11693</v>
      </c>
      <c r="AC615" t="s">
        <v>11694</v>
      </c>
      <c r="AD615" t="s">
        <v>11695</v>
      </c>
      <c r="AE615" t="s">
        <v>11696</v>
      </c>
      <c r="AF615" t="s">
        <v>74</v>
      </c>
      <c r="AG615">
        <v>54</v>
      </c>
      <c r="AH615">
        <v>32</v>
      </c>
      <c r="AI615">
        <v>33</v>
      </c>
      <c r="AJ615">
        <v>4</v>
      </c>
      <c r="AK615">
        <v>40</v>
      </c>
      <c r="AL615" t="s">
        <v>543</v>
      </c>
      <c r="AM615" t="s">
        <v>260</v>
      </c>
      <c r="AN615" t="s">
        <v>544</v>
      </c>
      <c r="AO615" t="s">
        <v>4682</v>
      </c>
      <c r="AP615" t="s">
        <v>74</v>
      </c>
      <c r="AQ615" t="s">
        <v>74</v>
      </c>
      <c r="AR615" t="s">
        <v>4683</v>
      </c>
      <c r="AS615" t="s">
        <v>4684</v>
      </c>
      <c r="AT615" t="s">
        <v>738</v>
      </c>
      <c r="AU615">
        <v>2019</v>
      </c>
      <c r="AV615">
        <v>122</v>
      </c>
      <c r="AW615" t="s">
        <v>74</v>
      </c>
      <c r="AX615" t="s">
        <v>74</v>
      </c>
      <c r="AY615" t="s">
        <v>74</v>
      </c>
      <c r="AZ615" t="s">
        <v>74</v>
      </c>
      <c r="BA615" t="s">
        <v>74</v>
      </c>
      <c r="BB615">
        <v>524</v>
      </c>
      <c r="BC615">
        <v>544</v>
      </c>
      <c r="BD615" t="s">
        <v>74</v>
      </c>
      <c r="BE615" t="s">
        <v>11697</v>
      </c>
      <c r="BF615" t="str">
        <f>HYPERLINK("http://dx.doi.org/10.1016/j.tre.2019.01.005","http://dx.doi.org/10.1016/j.tre.2019.01.005")</f>
        <v>http://dx.doi.org/10.1016/j.tre.2019.01.005</v>
      </c>
      <c r="BG615" t="s">
        <v>74</v>
      </c>
      <c r="BH615" t="s">
        <v>74</v>
      </c>
      <c r="BI615">
        <v>21</v>
      </c>
      <c r="BJ615" t="s">
        <v>4686</v>
      </c>
      <c r="BK615" t="s">
        <v>147</v>
      </c>
      <c r="BL615" t="s">
        <v>4687</v>
      </c>
      <c r="BM615" t="s">
        <v>11698</v>
      </c>
      <c r="BN615" t="s">
        <v>74</v>
      </c>
      <c r="BO615" t="s">
        <v>74</v>
      </c>
      <c r="BP615" t="s">
        <v>74</v>
      </c>
      <c r="BQ615" t="s">
        <v>74</v>
      </c>
      <c r="BR615" t="s">
        <v>102</v>
      </c>
      <c r="BS615" t="s">
        <v>11699</v>
      </c>
      <c r="BT615" t="str">
        <f>HYPERLINK("https%3A%2F%2Fwww.webofscience.com%2Fwos%2Fwoscc%2Ffull-record%2FWOS:000458593800029","View Full Record in Web of Science")</f>
        <v>View Full Record in Web of Science</v>
      </c>
    </row>
    <row r="616" spans="1:72" x14ac:dyDescent="0.2">
      <c r="A616" t="s">
        <v>72</v>
      </c>
      <c r="B616" t="s">
        <v>11700</v>
      </c>
      <c r="C616" t="s">
        <v>74</v>
      </c>
      <c r="D616" t="s">
        <v>74</v>
      </c>
      <c r="E616" t="s">
        <v>74</v>
      </c>
      <c r="F616" t="s">
        <v>11700</v>
      </c>
      <c r="G616" t="s">
        <v>74</v>
      </c>
      <c r="H616" t="s">
        <v>74</v>
      </c>
      <c r="I616" t="s">
        <v>11701</v>
      </c>
      <c r="J616" t="s">
        <v>11702</v>
      </c>
      <c r="K616" t="s">
        <v>74</v>
      </c>
      <c r="L616" t="s">
        <v>74</v>
      </c>
      <c r="M616" t="s">
        <v>78</v>
      </c>
      <c r="N616" t="s">
        <v>482</v>
      </c>
      <c r="O616" t="s">
        <v>11703</v>
      </c>
      <c r="P616">
        <v>2000</v>
      </c>
      <c r="Q616" t="s">
        <v>11704</v>
      </c>
      <c r="R616" t="s">
        <v>11705</v>
      </c>
      <c r="S616" t="s">
        <v>74</v>
      </c>
      <c r="T616" t="s">
        <v>11706</v>
      </c>
      <c r="U616" t="s">
        <v>11707</v>
      </c>
      <c r="V616" t="s">
        <v>11708</v>
      </c>
      <c r="W616" t="s">
        <v>11709</v>
      </c>
      <c r="X616" t="s">
        <v>11710</v>
      </c>
      <c r="Y616" t="s">
        <v>11711</v>
      </c>
      <c r="Z616" t="s">
        <v>74</v>
      </c>
      <c r="AA616" t="s">
        <v>11712</v>
      </c>
      <c r="AB616" t="s">
        <v>11713</v>
      </c>
      <c r="AC616" t="s">
        <v>74</v>
      </c>
      <c r="AD616" t="s">
        <v>74</v>
      </c>
      <c r="AE616" t="s">
        <v>74</v>
      </c>
      <c r="AF616" t="s">
        <v>74</v>
      </c>
      <c r="AG616">
        <v>109</v>
      </c>
      <c r="AH616">
        <v>541</v>
      </c>
      <c r="AI616">
        <v>582</v>
      </c>
      <c r="AJ616">
        <v>12</v>
      </c>
      <c r="AK616">
        <v>260</v>
      </c>
      <c r="AL616" t="s">
        <v>543</v>
      </c>
      <c r="AM616" t="s">
        <v>260</v>
      </c>
      <c r="AN616" t="s">
        <v>544</v>
      </c>
      <c r="AO616" t="s">
        <v>11714</v>
      </c>
      <c r="AP616" t="s">
        <v>74</v>
      </c>
      <c r="AQ616" t="s">
        <v>74</v>
      </c>
      <c r="AR616" t="s">
        <v>11715</v>
      </c>
      <c r="AS616" t="s">
        <v>11716</v>
      </c>
      <c r="AT616" t="s">
        <v>800</v>
      </c>
      <c r="AU616">
        <v>2005</v>
      </c>
      <c r="AV616">
        <v>33</v>
      </c>
      <c r="AW616">
        <v>4</v>
      </c>
      <c r="AX616" t="s">
        <v>74</v>
      </c>
      <c r="AY616" t="s">
        <v>74</v>
      </c>
      <c r="AZ616" t="s">
        <v>74</v>
      </c>
      <c r="BA616" t="s">
        <v>74</v>
      </c>
      <c r="BB616">
        <v>549</v>
      </c>
      <c r="BC616">
        <v>573</v>
      </c>
      <c r="BD616" t="s">
        <v>74</v>
      </c>
      <c r="BE616" t="s">
        <v>11717</v>
      </c>
      <c r="BF616" t="str">
        <f>HYPERLINK("http://dx.doi.org/10.1016/j.worlddev.2005.01.002","http://dx.doi.org/10.1016/j.worlddev.2005.01.002")</f>
        <v>http://dx.doi.org/10.1016/j.worlddev.2005.01.002</v>
      </c>
      <c r="BG616" t="s">
        <v>74</v>
      </c>
      <c r="BH616" t="s">
        <v>74</v>
      </c>
      <c r="BI616">
        <v>25</v>
      </c>
      <c r="BJ616" t="s">
        <v>11718</v>
      </c>
      <c r="BK616" t="s">
        <v>11193</v>
      </c>
      <c r="BL616" t="s">
        <v>11719</v>
      </c>
      <c r="BM616" t="s">
        <v>11720</v>
      </c>
      <c r="BN616" t="s">
        <v>74</v>
      </c>
      <c r="BO616" t="s">
        <v>74</v>
      </c>
      <c r="BP616" t="s">
        <v>74</v>
      </c>
      <c r="BQ616" t="s">
        <v>74</v>
      </c>
      <c r="BR616" t="s">
        <v>102</v>
      </c>
      <c r="BS616" t="s">
        <v>11721</v>
      </c>
      <c r="BT616" t="str">
        <f>HYPERLINK("https%3A%2F%2Fwww.webofscience.com%2Fwos%2Fwoscc%2Ffull-record%2FWOS:000228713900002","View Full Record in Web of Science")</f>
        <v>View Full Record in Web of Science</v>
      </c>
    </row>
    <row r="617" spans="1:72" x14ac:dyDescent="0.2">
      <c r="A617" t="s">
        <v>72</v>
      </c>
      <c r="B617" t="s">
        <v>11722</v>
      </c>
      <c r="C617" t="s">
        <v>74</v>
      </c>
      <c r="D617" t="s">
        <v>74</v>
      </c>
      <c r="E617" t="s">
        <v>74</v>
      </c>
      <c r="F617" t="s">
        <v>11723</v>
      </c>
      <c r="G617" t="s">
        <v>74</v>
      </c>
      <c r="H617" t="s">
        <v>74</v>
      </c>
      <c r="I617" t="s">
        <v>11724</v>
      </c>
      <c r="J617" t="s">
        <v>11725</v>
      </c>
      <c r="K617" t="s">
        <v>74</v>
      </c>
      <c r="L617" t="s">
        <v>74</v>
      </c>
      <c r="M617" t="s">
        <v>78</v>
      </c>
      <c r="N617" t="s">
        <v>917</v>
      </c>
      <c r="O617" t="s">
        <v>74</v>
      </c>
      <c r="P617" t="s">
        <v>74</v>
      </c>
      <c r="Q617" t="s">
        <v>74</v>
      </c>
      <c r="R617" t="s">
        <v>74</v>
      </c>
      <c r="S617" t="s">
        <v>74</v>
      </c>
      <c r="T617" t="s">
        <v>11726</v>
      </c>
      <c r="U617" t="s">
        <v>11727</v>
      </c>
      <c r="V617" t="s">
        <v>11728</v>
      </c>
      <c r="W617" t="s">
        <v>11729</v>
      </c>
      <c r="X617" t="s">
        <v>11730</v>
      </c>
      <c r="Y617" t="s">
        <v>11731</v>
      </c>
      <c r="Z617" t="s">
        <v>11732</v>
      </c>
      <c r="AA617" t="s">
        <v>74</v>
      </c>
      <c r="AB617" t="s">
        <v>74</v>
      </c>
      <c r="AC617" t="s">
        <v>74</v>
      </c>
      <c r="AD617" t="s">
        <v>74</v>
      </c>
      <c r="AE617" t="s">
        <v>74</v>
      </c>
      <c r="AF617" t="s">
        <v>74</v>
      </c>
      <c r="AG617">
        <v>62</v>
      </c>
      <c r="AH617">
        <v>2</v>
      </c>
      <c r="AI617">
        <v>2</v>
      </c>
      <c r="AJ617">
        <v>17</v>
      </c>
      <c r="AK617">
        <v>17</v>
      </c>
      <c r="AL617" t="s">
        <v>437</v>
      </c>
      <c r="AM617" t="s">
        <v>438</v>
      </c>
      <c r="AN617" t="s">
        <v>439</v>
      </c>
      <c r="AO617" t="s">
        <v>11733</v>
      </c>
      <c r="AP617" t="s">
        <v>74</v>
      </c>
      <c r="AQ617" t="s">
        <v>74</v>
      </c>
      <c r="AR617" t="s">
        <v>11734</v>
      </c>
      <c r="AS617" t="s">
        <v>11735</v>
      </c>
      <c r="AT617" t="s">
        <v>11736</v>
      </c>
      <c r="AU617">
        <v>2023</v>
      </c>
      <c r="AV617" t="s">
        <v>74</v>
      </c>
      <c r="AW617" t="s">
        <v>74</v>
      </c>
      <c r="AX617" t="s">
        <v>74</v>
      </c>
      <c r="AY617" t="s">
        <v>74</v>
      </c>
      <c r="AZ617" t="s">
        <v>74</v>
      </c>
      <c r="BA617" t="s">
        <v>74</v>
      </c>
      <c r="BB617" t="s">
        <v>74</v>
      </c>
      <c r="BC617" t="s">
        <v>74</v>
      </c>
      <c r="BD617" t="s">
        <v>74</v>
      </c>
      <c r="BE617" t="s">
        <v>11737</v>
      </c>
      <c r="BF617" t="str">
        <f>HYPERLINK("http://dx.doi.org/10.1108/LHT-07-2022-0326","http://dx.doi.org/10.1108/LHT-07-2022-0326")</f>
        <v>http://dx.doi.org/10.1108/LHT-07-2022-0326</v>
      </c>
      <c r="BG617" t="s">
        <v>74</v>
      </c>
      <c r="BH617" t="s">
        <v>355</v>
      </c>
      <c r="BI617">
        <v>16</v>
      </c>
      <c r="BJ617" t="s">
        <v>2102</v>
      </c>
      <c r="BK617" t="s">
        <v>242</v>
      </c>
      <c r="BL617" t="s">
        <v>2102</v>
      </c>
      <c r="BM617" t="s">
        <v>11738</v>
      </c>
      <c r="BN617" t="s">
        <v>74</v>
      </c>
      <c r="BO617" t="s">
        <v>74</v>
      </c>
      <c r="BP617" t="s">
        <v>74</v>
      </c>
      <c r="BQ617" t="s">
        <v>74</v>
      </c>
      <c r="BR617" t="s">
        <v>102</v>
      </c>
      <c r="BS617" t="s">
        <v>11739</v>
      </c>
      <c r="BT617" t="str">
        <f>HYPERLINK("https%3A%2F%2Fwww.webofscience.com%2Fwos%2Fwoscc%2Ffull-record%2FWOS:000970756900001","View Full Record in Web of Science")</f>
        <v>View Full Record in Web of Science</v>
      </c>
    </row>
    <row r="618" spans="1:72" x14ac:dyDescent="0.2">
      <c r="A618" t="s">
        <v>72</v>
      </c>
      <c r="B618" t="s">
        <v>11740</v>
      </c>
      <c r="C618" t="s">
        <v>74</v>
      </c>
      <c r="D618" t="s">
        <v>74</v>
      </c>
      <c r="E618" t="s">
        <v>74</v>
      </c>
      <c r="F618" t="s">
        <v>11741</v>
      </c>
      <c r="G618" t="s">
        <v>74</v>
      </c>
      <c r="H618" t="s">
        <v>74</v>
      </c>
      <c r="I618" t="s">
        <v>11742</v>
      </c>
      <c r="J618" t="s">
        <v>11743</v>
      </c>
      <c r="K618" t="s">
        <v>74</v>
      </c>
      <c r="L618" t="s">
        <v>74</v>
      </c>
      <c r="M618" t="s">
        <v>78</v>
      </c>
      <c r="N618" t="s">
        <v>108</v>
      </c>
      <c r="O618" t="s">
        <v>74</v>
      </c>
      <c r="P618" t="s">
        <v>74</v>
      </c>
      <c r="Q618" t="s">
        <v>74</v>
      </c>
      <c r="R618" t="s">
        <v>74</v>
      </c>
      <c r="S618" t="s">
        <v>74</v>
      </c>
      <c r="T618" t="s">
        <v>11744</v>
      </c>
      <c r="U618" t="s">
        <v>11745</v>
      </c>
      <c r="V618" t="s">
        <v>11746</v>
      </c>
      <c r="W618" t="s">
        <v>11747</v>
      </c>
      <c r="X618" t="s">
        <v>11748</v>
      </c>
      <c r="Y618" t="s">
        <v>11749</v>
      </c>
      <c r="Z618" t="s">
        <v>11750</v>
      </c>
      <c r="AA618" t="s">
        <v>11751</v>
      </c>
      <c r="AB618" t="s">
        <v>74</v>
      </c>
      <c r="AC618" t="s">
        <v>74</v>
      </c>
      <c r="AD618" t="s">
        <v>74</v>
      </c>
      <c r="AE618" t="s">
        <v>74</v>
      </c>
      <c r="AF618" t="s">
        <v>74</v>
      </c>
      <c r="AG618">
        <v>20</v>
      </c>
      <c r="AH618">
        <v>4</v>
      </c>
      <c r="AI618">
        <v>4</v>
      </c>
      <c r="AJ618">
        <v>1</v>
      </c>
      <c r="AK618">
        <v>33</v>
      </c>
      <c r="AL618" t="s">
        <v>209</v>
      </c>
      <c r="AM618" t="s">
        <v>210</v>
      </c>
      <c r="AN618" t="s">
        <v>211</v>
      </c>
      <c r="AO618" t="s">
        <v>11752</v>
      </c>
      <c r="AP618" t="s">
        <v>11753</v>
      </c>
      <c r="AQ618" t="s">
        <v>74</v>
      </c>
      <c r="AR618" t="s">
        <v>11754</v>
      </c>
      <c r="AS618" t="s">
        <v>11755</v>
      </c>
      <c r="AT618" t="s">
        <v>738</v>
      </c>
      <c r="AU618">
        <v>2021</v>
      </c>
      <c r="AV618">
        <v>80</v>
      </c>
      <c r="AW618" t="s">
        <v>74</v>
      </c>
      <c r="AX618" t="s">
        <v>74</v>
      </c>
      <c r="AY618" t="s">
        <v>74</v>
      </c>
      <c r="AZ618" t="s">
        <v>74</v>
      </c>
      <c r="BA618" t="s">
        <v>74</v>
      </c>
      <c r="BB618" t="s">
        <v>74</v>
      </c>
      <c r="BC618" t="s">
        <v>74</v>
      </c>
      <c r="BD618">
        <v>103360</v>
      </c>
      <c r="BE618" t="s">
        <v>11756</v>
      </c>
      <c r="BF618" t="str">
        <f>HYPERLINK("http://dx.doi.org/10.1016/j.micpro.2020.103360","http://dx.doi.org/10.1016/j.micpro.2020.103360")</f>
        <v>http://dx.doi.org/10.1016/j.micpro.2020.103360</v>
      </c>
      <c r="BG618" t="s">
        <v>74</v>
      </c>
      <c r="BH618" t="s">
        <v>2780</v>
      </c>
      <c r="BI618">
        <v>7</v>
      </c>
      <c r="BJ618" t="s">
        <v>11757</v>
      </c>
      <c r="BK618" t="s">
        <v>98</v>
      </c>
      <c r="BL618" t="s">
        <v>269</v>
      </c>
      <c r="BM618" t="s">
        <v>11758</v>
      </c>
      <c r="BN618" t="s">
        <v>74</v>
      </c>
      <c r="BO618" t="s">
        <v>74</v>
      </c>
      <c r="BP618" t="s">
        <v>74</v>
      </c>
      <c r="BQ618" t="s">
        <v>74</v>
      </c>
      <c r="BR618" t="s">
        <v>102</v>
      </c>
      <c r="BS618" t="s">
        <v>11759</v>
      </c>
      <c r="BT618" t="str">
        <f>HYPERLINK("https%3A%2F%2Fwww.webofscience.com%2Fwos%2Fwoscc%2Ffull-record%2FWOS:000612220300010","View Full Record in Web of Science")</f>
        <v>View Full Record in Web of Science</v>
      </c>
    </row>
    <row r="619" spans="1:72" x14ac:dyDescent="0.2">
      <c r="A619" t="s">
        <v>72</v>
      </c>
      <c r="B619" t="s">
        <v>11760</v>
      </c>
      <c r="C619" t="s">
        <v>74</v>
      </c>
      <c r="D619" t="s">
        <v>74</v>
      </c>
      <c r="E619" t="s">
        <v>74</v>
      </c>
      <c r="F619" t="s">
        <v>11761</v>
      </c>
      <c r="G619" t="s">
        <v>74</v>
      </c>
      <c r="H619" t="s">
        <v>74</v>
      </c>
      <c r="I619" t="s">
        <v>11762</v>
      </c>
      <c r="J619" t="s">
        <v>531</v>
      </c>
      <c r="K619" t="s">
        <v>74</v>
      </c>
      <c r="L619" t="s">
        <v>74</v>
      </c>
      <c r="M619" t="s">
        <v>78</v>
      </c>
      <c r="N619" t="s">
        <v>108</v>
      </c>
      <c r="O619" t="s">
        <v>74</v>
      </c>
      <c r="P619" t="s">
        <v>74</v>
      </c>
      <c r="Q619" t="s">
        <v>74</v>
      </c>
      <c r="R619" t="s">
        <v>74</v>
      </c>
      <c r="S619" t="s">
        <v>74</v>
      </c>
      <c r="T619" t="s">
        <v>11763</v>
      </c>
      <c r="U619" t="s">
        <v>11764</v>
      </c>
      <c r="V619" t="s">
        <v>11765</v>
      </c>
      <c r="W619" t="s">
        <v>11766</v>
      </c>
      <c r="X619" t="s">
        <v>11767</v>
      </c>
      <c r="Y619" t="s">
        <v>11768</v>
      </c>
      <c r="Z619" t="s">
        <v>11769</v>
      </c>
      <c r="AA619" t="s">
        <v>11770</v>
      </c>
      <c r="AB619" t="s">
        <v>11771</v>
      </c>
      <c r="AC619" t="s">
        <v>74</v>
      </c>
      <c r="AD619" t="s">
        <v>74</v>
      </c>
      <c r="AE619" t="s">
        <v>74</v>
      </c>
      <c r="AF619" t="s">
        <v>74</v>
      </c>
      <c r="AG619">
        <v>51</v>
      </c>
      <c r="AH619">
        <v>14</v>
      </c>
      <c r="AI619">
        <v>14</v>
      </c>
      <c r="AJ619">
        <v>1</v>
      </c>
      <c r="AK619">
        <v>18</v>
      </c>
      <c r="AL619" t="s">
        <v>543</v>
      </c>
      <c r="AM619" t="s">
        <v>260</v>
      </c>
      <c r="AN619" t="s">
        <v>544</v>
      </c>
      <c r="AO619" t="s">
        <v>545</v>
      </c>
      <c r="AP619" t="s">
        <v>546</v>
      </c>
      <c r="AQ619" t="s">
        <v>74</v>
      </c>
      <c r="AR619" t="s">
        <v>547</v>
      </c>
      <c r="AS619" t="s">
        <v>548</v>
      </c>
      <c r="AT619" t="s">
        <v>372</v>
      </c>
      <c r="AU619">
        <v>2020</v>
      </c>
      <c r="AV619">
        <v>139</v>
      </c>
      <c r="AW619" t="s">
        <v>74</v>
      </c>
      <c r="AX619" t="s">
        <v>74</v>
      </c>
      <c r="AY619" t="s">
        <v>74</v>
      </c>
      <c r="AZ619" t="s">
        <v>74</v>
      </c>
      <c r="BA619" t="s">
        <v>74</v>
      </c>
      <c r="BB619" t="s">
        <v>74</v>
      </c>
      <c r="BC619" t="s">
        <v>74</v>
      </c>
      <c r="BD619">
        <v>105562</v>
      </c>
      <c r="BE619" t="s">
        <v>11772</v>
      </c>
      <c r="BF619" t="str">
        <f>HYPERLINK("http://dx.doi.org/10.1016/j.cie.2018.12.009","http://dx.doi.org/10.1016/j.cie.2018.12.009")</f>
        <v>http://dx.doi.org/10.1016/j.cie.2018.12.009</v>
      </c>
      <c r="BG619" t="s">
        <v>74</v>
      </c>
      <c r="BH619" t="s">
        <v>74</v>
      </c>
      <c r="BI619">
        <v>12</v>
      </c>
      <c r="BJ619" t="s">
        <v>550</v>
      </c>
      <c r="BK619" t="s">
        <v>147</v>
      </c>
      <c r="BL619" t="s">
        <v>269</v>
      </c>
      <c r="BM619" t="s">
        <v>2979</v>
      </c>
      <c r="BN619" t="s">
        <v>74</v>
      </c>
      <c r="BO619" t="s">
        <v>74</v>
      </c>
      <c r="BP619" t="s">
        <v>74</v>
      </c>
      <c r="BQ619" t="s">
        <v>74</v>
      </c>
      <c r="BR619" t="s">
        <v>102</v>
      </c>
      <c r="BS619" t="s">
        <v>11773</v>
      </c>
      <c r="BT619" t="str">
        <f>HYPERLINK("https%3A%2F%2Fwww.webofscience.com%2Fwos%2Fwoscc%2Ffull-record%2FWOS:000509784000080","View Full Record in Web of Science")</f>
        <v>View Full Record in Web of Science</v>
      </c>
    </row>
    <row r="620" spans="1:72" x14ac:dyDescent="0.2">
      <c r="A620" t="s">
        <v>72</v>
      </c>
      <c r="B620" t="s">
        <v>11774</v>
      </c>
      <c r="C620" t="s">
        <v>74</v>
      </c>
      <c r="D620" t="s">
        <v>74</v>
      </c>
      <c r="E620" t="s">
        <v>74</v>
      </c>
      <c r="F620" t="s">
        <v>11775</v>
      </c>
      <c r="G620" t="s">
        <v>74</v>
      </c>
      <c r="H620" t="s">
        <v>74</v>
      </c>
      <c r="I620" t="s">
        <v>11776</v>
      </c>
      <c r="J620" t="s">
        <v>11777</v>
      </c>
      <c r="K620" t="s">
        <v>74</v>
      </c>
      <c r="L620" t="s">
        <v>74</v>
      </c>
      <c r="M620" t="s">
        <v>78</v>
      </c>
      <c r="N620" t="s">
        <v>108</v>
      </c>
      <c r="O620" t="s">
        <v>74</v>
      </c>
      <c r="P620" t="s">
        <v>74</v>
      </c>
      <c r="Q620" t="s">
        <v>74</v>
      </c>
      <c r="R620" t="s">
        <v>74</v>
      </c>
      <c r="S620" t="s">
        <v>74</v>
      </c>
      <c r="T620" t="s">
        <v>11778</v>
      </c>
      <c r="U620" t="s">
        <v>11779</v>
      </c>
      <c r="V620" t="s">
        <v>11780</v>
      </c>
      <c r="W620" t="s">
        <v>11781</v>
      </c>
      <c r="X620" t="s">
        <v>11782</v>
      </c>
      <c r="Y620" t="s">
        <v>11783</v>
      </c>
      <c r="Z620" t="s">
        <v>11784</v>
      </c>
      <c r="AA620" t="s">
        <v>11785</v>
      </c>
      <c r="AB620" t="s">
        <v>11786</v>
      </c>
      <c r="AC620" t="s">
        <v>74</v>
      </c>
      <c r="AD620" t="s">
        <v>74</v>
      </c>
      <c r="AE620" t="s">
        <v>74</v>
      </c>
      <c r="AF620" t="s">
        <v>74</v>
      </c>
      <c r="AG620">
        <v>75</v>
      </c>
      <c r="AH620">
        <v>78</v>
      </c>
      <c r="AI620">
        <v>78</v>
      </c>
      <c r="AJ620">
        <v>3</v>
      </c>
      <c r="AK620">
        <v>83</v>
      </c>
      <c r="AL620" t="s">
        <v>209</v>
      </c>
      <c r="AM620" t="s">
        <v>210</v>
      </c>
      <c r="AN620" t="s">
        <v>211</v>
      </c>
      <c r="AO620" t="s">
        <v>11787</v>
      </c>
      <c r="AP620" t="s">
        <v>74</v>
      </c>
      <c r="AQ620" t="s">
        <v>74</v>
      </c>
      <c r="AR620" t="s">
        <v>11788</v>
      </c>
      <c r="AS620" t="s">
        <v>11789</v>
      </c>
      <c r="AT620" t="s">
        <v>194</v>
      </c>
      <c r="AU620">
        <v>2017</v>
      </c>
      <c r="AV620">
        <v>34</v>
      </c>
      <c r="AW620">
        <v>7</v>
      </c>
      <c r="AX620" t="s">
        <v>74</v>
      </c>
      <c r="AY620" t="s">
        <v>74</v>
      </c>
      <c r="AZ620" t="s">
        <v>74</v>
      </c>
      <c r="BA620" t="s">
        <v>74</v>
      </c>
      <c r="BB620">
        <v>1250</v>
      </c>
      <c r="BC620">
        <v>1261</v>
      </c>
      <c r="BD620" t="s">
        <v>74</v>
      </c>
      <c r="BE620" t="s">
        <v>11790</v>
      </c>
      <c r="BF620" t="str">
        <f>HYPERLINK("http://dx.doi.org/10.1016/j.tele.2017.05.010","http://dx.doi.org/10.1016/j.tele.2017.05.010")</f>
        <v>http://dx.doi.org/10.1016/j.tele.2017.05.010</v>
      </c>
      <c r="BG620" t="s">
        <v>74</v>
      </c>
      <c r="BH620" t="s">
        <v>74</v>
      </c>
      <c r="BI620">
        <v>12</v>
      </c>
      <c r="BJ620" t="s">
        <v>2102</v>
      </c>
      <c r="BK620" t="s">
        <v>242</v>
      </c>
      <c r="BL620" t="s">
        <v>2102</v>
      </c>
      <c r="BM620" t="s">
        <v>11791</v>
      </c>
      <c r="BN620" t="s">
        <v>74</v>
      </c>
      <c r="BO620" t="s">
        <v>594</v>
      </c>
      <c r="BP620" t="s">
        <v>74</v>
      </c>
      <c r="BQ620" t="s">
        <v>74</v>
      </c>
      <c r="BR620" t="s">
        <v>102</v>
      </c>
      <c r="BS620" t="s">
        <v>11792</v>
      </c>
      <c r="BT620" t="str">
        <f>HYPERLINK("https%3A%2F%2Fwww.webofscience.com%2Fwos%2Fwoscc%2Ffull-record%2FWOS:000413384600024","View Full Record in Web of Science")</f>
        <v>View Full Record in Web of Science</v>
      </c>
    </row>
    <row r="621" spans="1:72" x14ac:dyDescent="0.2">
      <c r="A621" t="s">
        <v>72</v>
      </c>
      <c r="B621" t="s">
        <v>11793</v>
      </c>
      <c r="C621" t="s">
        <v>74</v>
      </c>
      <c r="D621" t="s">
        <v>74</v>
      </c>
      <c r="E621" t="s">
        <v>74</v>
      </c>
      <c r="F621" t="s">
        <v>11794</v>
      </c>
      <c r="G621" t="s">
        <v>74</v>
      </c>
      <c r="H621" t="s">
        <v>74</v>
      </c>
      <c r="I621" t="s">
        <v>11795</v>
      </c>
      <c r="J621" t="s">
        <v>1317</v>
      </c>
      <c r="K621" t="s">
        <v>74</v>
      </c>
      <c r="L621" t="s">
        <v>74</v>
      </c>
      <c r="M621" t="s">
        <v>78</v>
      </c>
      <c r="N621" t="s">
        <v>108</v>
      </c>
      <c r="O621" t="s">
        <v>74</v>
      </c>
      <c r="P621" t="s">
        <v>74</v>
      </c>
      <c r="Q621" t="s">
        <v>74</v>
      </c>
      <c r="R621" t="s">
        <v>74</v>
      </c>
      <c r="S621" t="s">
        <v>74</v>
      </c>
      <c r="T621" t="s">
        <v>11796</v>
      </c>
      <c r="U621" t="s">
        <v>11797</v>
      </c>
      <c r="V621" t="s">
        <v>11798</v>
      </c>
      <c r="W621" t="s">
        <v>11799</v>
      </c>
      <c r="X621" t="s">
        <v>11800</v>
      </c>
      <c r="Y621" t="s">
        <v>11801</v>
      </c>
      <c r="Z621" t="s">
        <v>11802</v>
      </c>
      <c r="AA621" t="s">
        <v>11803</v>
      </c>
      <c r="AB621" t="s">
        <v>11804</v>
      </c>
      <c r="AC621" t="s">
        <v>11805</v>
      </c>
      <c r="AD621" t="s">
        <v>11806</v>
      </c>
      <c r="AE621" t="s">
        <v>11807</v>
      </c>
      <c r="AF621" t="s">
        <v>74</v>
      </c>
      <c r="AG621">
        <v>114</v>
      </c>
      <c r="AH621">
        <v>4</v>
      </c>
      <c r="AI621">
        <v>4</v>
      </c>
      <c r="AJ621">
        <v>10</v>
      </c>
      <c r="AK621">
        <v>43</v>
      </c>
      <c r="AL621" t="s">
        <v>437</v>
      </c>
      <c r="AM621" t="s">
        <v>438</v>
      </c>
      <c r="AN621" t="s">
        <v>439</v>
      </c>
      <c r="AO621" t="s">
        <v>1325</v>
      </c>
      <c r="AP621" t="s">
        <v>1326</v>
      </c>
      <c r="AQ621" t="s">
        <v>74</v>
      </c>
      <c r="AR621" t="s">
        <v>1327</v>
      </c>
      <c r="AS621" t="s">
        <v>1328</v>
      </c>
      <c r="AT621" t="s">
        <v>11808</v>
      </c>
      <c r="AU621">
        <v>2022</v>
      </c>
      <c r="AV621">
        <v>29</v>
      </c>
      <c r="AW621">
        <v>1</v>
      </c>
      <c r="AX621" t="s">
        <v>74</v>
      </c>
      <c r="AY621" t="s">
        <v>74</v>
      </c>
      <c r="AZ621" t="s">
        <v>74</v>
      </c>
      <c r="BA621" t="s">
        <v>74</v>
      </c>
      <c r="BB621">
        <v>194</v>
      </c>
      <c r="BC621">
        <v>216</v>
      </c>
      <c r="BD621" t="s">
        <v>74</v>
      </c>
      <c r="BE621" t="s">
        <v>11809</v>
      </c>
      <c r="BF621" t="str">
        <f>HYPERLINK("http://dx.doi.org/10.1108/BIJ-05-2020-0272","http://dx.doi.org/10.1108/BIJ-05-2020-0272")</f>
        <v>http://dx.doi.org/10.1108/BIJ-05-2020-0272</v>
      </c>
      <c r="BG621" t="s">
        <v>74</v>
      </c>
      <c r="BH621" t="s">
        <v>848</v>
      </c>
      <c r="BI621">
        <v>23</v>
      </c>
      <c r="BJ621" t="s">
        <v>418</v>
      </c>
      <c r="BK621" t="s">
        <v>124</v>
      </c>
      <c r="BL621" t="s">
        <v>419</v>
      </c>
      <c r="BM621" t="s">
        <v>11810</v>
      </c>
      <c r="BN621" t="s">
        <v>74</v>
      </c>
      <c r="BO621" t="s">
        <v>1833</v>
      </c>
      <c r="BP621" t="s">
        <v>74</v>
      </c>
      <c r="BQ621" t="s">
        <v>74</v>
      </c>
      <c r="BR621" t="s">
        <v>102</v>
      </c>
      <c r="BS621" t="s">
        <v>11811</v>
      </c>
      <c r="BT621" t="str">
        <f>HYPERLINK("https%3A%2F%2Fwww.webofscience.com%2Fwos%2Fwoscc%2Ffull-record%2FWOS:000645270600001","View Full Record in Web of Science")</f>
        <v>View Full Record in Web of Science</v>
      </c>
    </row>
    <row r="622" spans="1:72" x14ac:dyDescent="0.2">
      <c r="A622" t="s">
        <v>72</v>
      </c>
      <c r="B622" t="s">
        <v>11812</v>
      </c>
      <c r="C622" t="s">
        <v>74</v>
      </c>
      <c r="D622" t="s">
        <v>74</v>
      </c>
      <c r="E622" t="s">
        <v>74</v>
      </c>
      <c r="F622" t="s">
        <v>11813</v>
      </c>
      <c r="G622" t="s">
        <v>74</v>
      </c>
      <c r="H622" t="s">
        <v>74</v>
      </c>
      <c r="I622" t="s">
        <v>11814</v>
      </c>
      <c r="J622" t="s">
        <v>7167</v>
      </c>
      <c r="K622" t="s">
        <v>74</v>
      </c>
      <c r="L622" t="s">
        <v>74</v>
      </c>
      <c r="M622" t="s">
        <v>78</v>
      </c>
      <c r="N622" t="s">
        <v>108</v>
      </c>
      <c r="O622" t="s">
        <v>74</v>
      </c>
      <c r="P622" t="s">
        <v>74</v>
      </c>
      <c r="Q622" t="s">
        <v>74</v>
      </c>
      <c r="R622" t="s">
        <v>74</v>
      </c>
      <c r="S622" t="s">
        <v>74</v>
      </c>
      <c r="T622" t="s">
        <v>11815</v>
      </c>
      <c r="U622" t="s">
        <v>11816</v>
      </c>
      <c r="V622" t="s">
        <v>11817</v>
      </c>
      <c r="W622" t="s">
        <v>11818</v>
      </c>
      <c r="X622" t="s">
        <v>1363</v>
      </c>
      <c r="Y622" t="s">
        <v>1364</v>
      </c>
      <c r="Z622" t="s">
        <v>11819</v>
      </c>
      <c r="AA622" t="s">
        <v>74</v>
      </c>
      <c r="AB622" t="s">
        <v>11820</v>
      </c>
      <c r="AC622" t="s">
        <v>74</v>
      </c>
      <c r="AD622" t="s">
        <v>74</v>
      </c>
      <c r="AE622" t="s">
        <v>74</v>
      </c>
      <c r="AF622" t="s">
        <v>74</v>
      </c>
      <c r="AG622">
        <v>107</v>
      </c>
      <c r="AH622">
        <v>29</v>
      </c>
      <c r="AI622">
        <v>29</v>
      </c>
      <c r="AJ622">
        <v>4</v>
      </c>
      <c r="AK622">
        <v>48</v>
      </c>
      <c r="AL622" t="s">
        <v>209</v>
      </c>
      <c r="AM622" t="s">
        <v>210</v>
      </c>
      <c r="AN622" t="s">
        <v>211</v>
      </c>
      <c r="AO622" t="s">
        <v>7180</v>
      </c>
      <c r="AP622" t="s">
        <v>7181</v>
      </c>
      <c r="AQ622" t="s">
        <v>74</v>
      </c>
      <c r="AR622" t="s">
        <v>7182</v>
      </c>
      <c r="AS622" t="s">
        <v>7183</v>
      </c>
      <c r="AT622" t="s">
        <v>800</v>
      </c>
      <c r="AU622">
        <v>2021</v>
      </c>
      <c r="AV622">
        <v>167</v>
      </c>
      <c r="AW622" t="s">
        <v>74</v>
      </c>
      <c r="AX622" t="s">
        <v>74</v>
      </c>
      <c r="AY622" t="s">
        <v>74</v>
      </c>
      <c r="AZ622" t="s">
        <v>74</v>
      </c>
      <c r="BA622" t="s">
        <v>74</v>
      </c>
      <c r="BB622" t="s">
        <v>74</v>
      </c>
      <c r="BC622" t="s">
        <v>74</v>
      </c>
      <c r="BD622">
        <v>105398</v>
      </c>
      <c r="BE622" t="s">
        <v>11821</v>
      </c>
      <c r="BF622" t="str">
        <f>HYPERLINK("http://dx.doi.org/10.1016/j.resconrec.2021.105398","http://dx.doi.org/10.1016/j.resconrec.2021.105398")</f>
        <v>http://dx.doi.org/10.1016/j.resconrec.2021.105398</v>
      </c>
      <c r="BG622" t="s">
        <v>74</v>
      </c>
      <c r="BH622" t="s">
        <v>2780</v>
      </c>
      <c r="BI622">
        <v>20</v>
      </c>
      <c r="BJ622" t="s">
        <v>7185</v>
      </c>
      <c r="BK622" t="s">
        <v>147</v>
      </c>
      <c r="BL622" t="s">
        <v>7186</v>
      </c>
      <c r="BM622" t="s">
        <v>11822</v>
      </c>
      <c r="BN622" t="s">
        <v>74</v>
      </c>
      <c r="BO622" t="s">
        <v>74</v>
      </c>
      <c r="BP622" t="s">
        <v>74</v>
      </c>
      <c r="BQ622" t="s">
        <v>74</v>
      </c>
      <c r="BR622" t="s">
        <v>102</v>
      </c>
      <c r="BS622" t="s">
        <v>11823</v>
      </c>
      <c r="BT622" t="str">
        <f>HYPERLINK("https%3A%2F%2Fwww.webofscience.com%2Fwos%2Fwoscc%2Ffull-record%2FWOS:000652020200048","View Full Record in Web of Science")</f>
        <v>View Full Record in Web of Science</v>
      </c>
    </row>
    <row r="623" spans="1:72" x14ac:dyDescent="0.2">
      <c r="A623" t="s">
        <v>72</v>
      </c>
      <c r="B623" t="s">
        <v>11824</v>
      </c>
      <c r="C623" t="s">
        <v>74</v>
      </c>
      <c r="D623" t="s">
        <v>74</v>
      </c>
      <c r="E623" t="s">
        <v>74</v>
      </c>
      <c r="F623" t="s">
        <v>11825</v>
      </c>
      <c r="G623" t="s">
        <v>74</v>
      </c>
      <c r="H623" t="s">
        <v>74</v>
      </c>
      <c r="I623" t="s">
        <v>11826</v>
      </c>
      <c r="J623" t="s">
        <v>11827</v>
      </c>
      <c r="K623" t="s">
        <v>74</v>
      </c>
      <c r="L623" t="s">
        <v>74</v>
      </c>
      <c r="M623" t="s">
        <v>78</v>
      </c>
      <c r="N623" t="s">
        <v>108</v>
      </c>
      <c r="O623" t="s">
        <v>74</v>
      </c>
      <c r="P623" t="s">
        <v>74</v>
      </c>
      <c r="Q623" t="s">
        <v>74</v>
      </c>
      <c r="R623" t="s">
        <v>74</v>
      </c>
      <c r="S623" t="s">
        <v>74</v>
      </c>
      <c r="T623" t="s">
        <v>11828</v>
      </c>
      <c r="U623" t="s">
        <v>11829</v>
      </c>
      <c r="V623" t="s">
        <v>11830</v>
      </c>
      <c r="W623" t="s">
        <v>11831</v>
      </c>
      <c r="X623" t="s">
        <v>11832</v>
      </c>
      <c r="Y623" t="s">
        <v>11833</v>
      </c>
      <c r="Z623" t="s">
        <v>11834</v>
      </c>
      <c r="AA623" t="s">
        <v>11835</v>
      </c>
      <c r="AB623" t="s">
        <v>11836</v>
      </c>
      <c r="AC623" t="s">
        <v>74</v>
      </c>
      <c r="AD623" t="s">
        <v>74</v>
      </c>
      <c r="AE623" t="s">
        <v>74</v>
      </c>
      <c r="AF623" t="s">
        <v>74</v>
      </c>
      <c r="AG623">
        <v>35</v>
      </c>
      <c r="AH623">
        <v>8</v>
      </c>
      <c r="AI623">
        <v>8</v>
      </c>
      <c r="AJ623">
        <v>1</v>
      </c>
      <c r="AK623">
        <v>10</v>
      </c>
      <c r="AL623" t="s">
        <v>11837</v>
      </c>
      <c r="AM623" t="s">
        <v>11838</v>
      </c>
      <c r="AN623" t="s">
        <v>11839</v>
      </c>
      <c r="AO623" t="s">
        <v>11840</v>
      </c>
      <c r="AP623" t="s">
        <v>11841</v>
      </c>
      <c r="AQ623" t="s">
        <v>74</v>
      </c>
      <c r="AR623" t="s">
        <v>11842</v>
      </c>
      <c r="AS623" t="s">
        <v>11843</v>
      </c>
      <c r="AT623" t="s">
        <v>121</v>
      </c>
      <c r="AU623">
        <v>2011</v>
      </c>
      <c r="AV623">
        <v>70</v>
      </c>
      <c r="AW623">
        <v>1</v>
      </c>
      <c r="AX623" t="s">
        <v>74</v>
      </c>
      <c r="AY623" t="s">
        <v>74</v>
      </c>
      <c r="AZ623" t="s">
        <v>74</v>
      </c>
      <c r="BA623" t="s">
        <v>74</v>
      </c>
      <c r="BB623">
        <v>32</v>
      </c>
      <c r="BC623">
        <v>46</v>
      </c>
      <c r="BD623" t="s">
        <v>74</v>
      </c>
      <c r="BE623" t="s">
        <v>11844</v>
      </c>
      <c r="BF623" t="str">
        <f>HYPERLINK("http://dx.doi.org/10.1016/j.jue.2011.01.003","http://dx.doi.org/10.1016/j.jue.2011.01.003")</f>
        <v>http://dx.doi.org/10.1016/j.jue.2011.01.003</v>
      </c>
      <c r="BG623" t="s">
        <v>74</v>
      </c>
      <c r="BH623" t="s">
        <v>74</v>
      </c>
      <c r="BI623">
        <v>15</v>
      </c>
      <c r="BJ623" t="s">
        <v>11845</v>
      </c>
      <c r="BK623" t="s">
        <v>242</v>
      </c>
      <c r="BL623" t="s">
        <v>11846</v>
      </c>
      <c r="BM623" t="s">
        <v>11847</v>
      </c>
      <c r="BN623" t="s">
        <v>74</v>
      </c>
      <c r="BO623" t="s">
        <v>74</v>
      </c>
      <c r="BP623" t="s">
        <v>74</v>
      </c>
      <c r="BQ623" t="s">
        <v>74</v>
      </c>
      <c r="BR623" t="s">
        <v>102</v>
      </c>
      <c r="BS623" t="s">
        <v>11848</v>
      </c>
      <c r="BT623" t="str">
        <f>HYPERLINK("https%3A%2F%2Fwww.webofscience.com%2Fwos%2Fwoscc%2Ffull-record%2FWOS:000290780800004","View Full Record in Web of Science")</f>
        <v>View Full Record in Web of Science</v>
      </c>
    </row>
    <row r="624" spans="1:72" x14ac:dyDescent="0.2">
      <c r="A624" t="s">
        <v>72</v>
      </c>
      <c r="B624" t="s">
        <v>11849</v>
      </c>
      <c r="C624" t="s">
        <v>74</v>
      </c>
      <c r="D624" t="s">
        <v>74</v>
      </c>
      <c r="E624" t="s">
        <v>74</v>
      </c>
      <c r="F624" t="s">
        <v>11850</v>
      </c>
      <c r="G624" t="s">
        <v>74</v>
      </c>
      <c r="H624" t="s">
        <v>74</v>
      </c>
      <c r="I624" t="s">
        <v>11851</v>
      </c>
      <c r="J624" t="s">
        <v>4106</v>
      </c>
      <c r="K624" t="s">
        <v>74</v>
      </c>
      <c r="L624" t="s">
        <v>74</v>
      </c>
      <c r="M624" t="s">
        <v>78</v>
      </c>
      <c r="N624" t="s">
        <v>108</v>
      </c>
      <c r="O624" t="s">
        <v>74</v>
      </c>
      <c r="P624" t="s">
        <v>74</v>
      </c>
      <c r="Q624" t="s">
        <v>74</v>
      </c>
      <c r="R624" t="s">
        <v>74</v>
      </c>
      <c r="S624" t="s">
        <v>74</v>
      </c>
      <c r="T624" t="s">
        <v>74</v>
      </c>
      <c r="U624" t="s">
        <v>11852</v>
      </c>
      <c r="V624" t="s">
        <v>11853</v>
      </c>
      <c r="W624" t="s">
        <v>11854</v>
      </c>
      <c r="X624" t="s">
        <v>11855</v>
      </c>
      <c r="Y624" t="s">
        <v>11856</v>
      </c>
      <c r="Z624" t="s">
        <v>11857</v>
      </c>
      <c r="AA624" t="s">
        <v>11858</v>
      </c>
      <c r="AB624" t="s">
        <v>74</v>
      </c>
      <c r="AC624" t="s">
        <v>74</v>
      </c>
      <c r="AD624" t="s">
        <v>74</v>
      </c>
      <c r="AE624" t="s">
        <v>74</v>
      </c>
      <c r="AF624" t="s">
        <v>74</v>
      </c>
      <c r="AG624">
        <v>61</v>
      </c>
      <c r="AH624">
        <v>76</v>
      </c>
      <c r="AI624">
        <v>78</v>
      </c>
      <c r="AJ624">
        <v>12</v>
      </c>
      <c r="AK624">
        <v>71</v>
      </c>
      <c r="AL624" t="s">
        <v>321</v>
      </c>
      <c r="AM624" t="s">
        <v>322</v>
      </c>
      <c r="AN624" t="s">
        <v>323</v>
      </c>
      <c r="AO624" t="s">
        <v>4115</v>
      </c>
      <c r="AP624" t="s">
        <v>4116</v>
      </c>
      <c r="AQ624" t="s">
        <v>74</v>
      </c>
      <c r="AR624" t="s">
        <v>4117</v>
      </c>
      <c r="AS624" t="s">
        <v>4118</v>
      </c>
      <c r="AT624" t="s">
        <v>372</v>
      </c>
      <c r="AU624">
        <v>2019</v>
      </c>
      <c r="AV624">
        <v>30</v>
      </c>
      <c r="AW624">
        <v>1</v>
      </c>
      <c r="AX624" t="s">
        <v>74</v>
      </c>
      <c r="AY624" t="s">
        <v>74</v>
      </c>
      <c r="AZ624" t="s">
        <v>74</v>
      </c>
      <c r="BA624" t="s">
        <v>74</v>
      </c>
      <c r="BB624">
        <v>207</v>
      </c>
      <c r="BC624">
        <v>228</v>
      </c>
      <c r="BD624" t="s">
        <v>74</v>
      </c>
      <c r="BE624" t="s">
        <v>11859</v>
      </c>
      <c r="BF624" t="str">
        <f>HYPERLINK("http://dx.doi.org/10.1007/s10845-016-1241-y","http://dx.doi.org/10.1007/s10845-016-1241-y")</f>
        <v>http://dx.doi.org/10.1007/s10845-016-1241-y</v>
      </c>
      <c r="BG624" t="s">
        <v>74</v>
      </c>
      <c r="BH624" t="s">
        <v>74</v>
      </c>
      <c r="BI624">
        <v>22</v>
      </c>
      <c r="BJ624" t="s">
        <v>4120</v>
      </c>
      <c r="BK624" t="s">
        <v>98</v>
      </c>
      <c r="BL624" t="s">
        <v>269</v>
      </c>
      <c r="BM624" t="s">
        <v>11860</v>
      </c>
      <c r="BN624" t="s">
        <v>74</v>
      </c>
      <c r="BO624" t="s">
        <v>74</v>
      </c>
      <c r="BP624" t="s">
        <v>74</v>
      </c>
      <c r="BQ624" t="s">
        <v>74</v>
      </c>
      <c r="BR624" t="s">
        <v>102</v>
      </c>
      <c r="BS624" t="s">
        <v>11861</v>
      </c>
      <c r="BT624" t="str">
        <f>HYPERLINK("https%3A%2F%2Fwww.webofscience.com%2Fwos%2Fwoscc%2Ffull-record%2FWOS:000456588800017","View Full Record in Web of Science")</f>
        <v>View Full Record in Web of Science</v>
      </c>
    </row>
    <row r="625" spans="1:72" x14ac:dyDescent="0.2">
      <c r="A625" t="s">
        <v>72</v>
      </c>
      <c r="B625" t="s">
        <v>11862</v>
      </c>
      <c r="C625" t="s">
        <v>74</v>
      </c>
      <c r="D625" t="s">
        <v>74</v>
      </c>
      <c r="E625" t="s">
        <v>74</v>
      </c>
      <c r="F625" t="s">
        <v>11863</v>
      </c>
      <c r="G625" t="s">
        <v>74</v>
      </c>
      <c r="H625" t="s">
        <v>74</v>
      </c>
      <c r="I625" t="s">
        <v>11864</v>
      </c>
      <c r="J625" t="s">
        <v>8427</v>
      </c>
      <c r="K625" t="s">
        <v>74</v>
      </c>
      <c r="L625" t="s">
        <v>74</v>
      </c>
      <c r="M625" t="s">
        <v>78</v>
      </c>
      <c r="N625" t="s">
        <v>108</v>
      </c>
      <c r="O625" t="s">
        <v>74</v>
      </c>
      <c r="P625" t="s">
        <v>74</v>
      </c>
      <c r="Q625" t="s">
        <v>74</v>
      </c>
      <c r="R625" t="s">
        <v>74</v>
      </c>
      <c r="S625" t="s">
        <v>74</v>
      </c>
      <c r="T625" t="s">
        <v>11865</v>
      </c>
      <c r="U625" t="s">
        <v>11866</v>
      </c>
      <c r="V625" t="s">
        <v>11867</v>
      </c>
      <c r="W625" t="s">
        <v>11868</v>
      </c>
      <c r="X625" t="s">
        <v>11869</v>
      </c>
      <c r="Y625" t="s">
        <v>11870</v>
      </c>
      <c r="Z625" t="s">
        <v>11871</v>
      </c>
      <c r="AA625" t="s">
        <v>11872</v>
      </c>
      <c r="AB625" t="s">
        <v>11873</v>
      </c>
      <c r="AC625" t="s">
        <v>74</v>
      </c>
      <c r="AD625" t="s">
        <v>74</v>
      </c>
      <c r="AE625" t="s">
        <v>74</v>
      </c>
      <c r="AF625" t="s">
        <v>74</v>
      </c>
      <c r="AG625">
        <v>50</v>
      </c>
      <c r="AH625">
        <v>2</v>
      </c>
      <c r="AI625">
        <v>2</v>
      </c>
      <c r="AJ625">
        <v>1</v>
      </c>
      <c r="AK625">
        <v>11</v>
      </c>
      <c r="AL625" t="s">
        <v>462</v>
      </c>
      <c r="AM625" t="s">
        <v>280</v>
      </c>
      <c r="AN625" t="s">
        <v>463</v>
      </c>
      <c r="AO625" t="s">
        <v>8436</v>
      </c>
      <c r="AP625" t="s">
        <v>8437</v>
      </c>
      <c r="AQ625" t="s">
        <v>74</v>
      </c>
      <c r="AR625" t="s">
        <v>8438</v>
      </c>
      <c r="AS625" t="s">
        <v>8439</v>
      </c>
      <c r="AT625" t="s">
        <v>74</v>
      </c>
      <c r="AU625">
        <v>2020</v>
      </c>
      <c r="AV625">
        <v>30</v>
      </c>
      <c r="AW625">
        <v>1</v>
      </c>
      <c r="AX625" t="s">
        <v>74</v>
      </c>
      <c r="AY625" t="s">
        <v>74</v>
      </c>
      <c r="AZ625" t="s">
        <v>74</v>
      </c>
      <c r="BA625" t="s">
        <v>74</v>
      </c>
      <c r="BB625">
        <v>27</v>
      </c>
      <c r="BC625">
        <v>45</v>
      </c>
      <c r="BD625" t="s">
        <v>74</v>
      </c>
      <c r="BE625" t="s">
        <v>11874</v>
      </c>
      <c r="BF625" t="str">
        <f>HYPERLINK("http://dx.doi.org/10.1080/09593969.2019.1635906","http://dx.doi.org/10.1080/09593969.2019.1635906")</f>
        <v>http://dx.doi.org/10.1080/09593969.2019.1635906</v>
      </c>
      <c r="BG625" t="s">
        <v>74</v>
      </c>
      <c r="BH625" t="s">
        <v>74</v>
      </c>
      <c r="BI625">
        <v>19</v>
      </c>
      <c r="BJ625" t="s">
        <v>931</v>
      </c>
      <c r="BK625" t="s">
        <v>124</v>
      </c>
      <c r="BL625" t="s">
        <v>419</v>
      </c>
      <c r="BM625" t="s">
        <v>11875</v>
      </c>
      <c r="BN625" t="s">
        <v>74</v>
      </c>
      <c r="BO625" t="s">
        <v>74</v>
      </c>
      <c r="BP625" t="s">
        <v>74</v>
      </c>
      <c r="BQ625" t="s">
        <v>74</v>
      </c>
      <c r="BR625" t="s">
        <v>102</v>
      </c>
      <c r="BS625" t="s">
        <v>11876</v>
      </c>
      <c r="BT625" t="str">
        <f>HYPERLINK("https%3A%2F%2Fwww.webofscience.com%2Fwos%2Fwoscc%2Ffull-record%2FWOS:000526395400002","View Full Record in Web of Science")</f>
        <v>View Full Record in Web of Science</v>
      </c>
    </row>
    <row r="626" spans="1:72" x14ac:dyDescent="0.2">
      <c r="A626" t="s">
        <v>72</v>
      </c>
      <c r="B626" t="s">
        <v>11877</v>
      </c>
      <c r="C626" t="s">
        <v>74</v>
      </c>
      <c r="D626" t="s">
        <v>74</v>
      </c>
      <c r="E626" t="s">
        <v>74</v>
      </c>
      <c r="F626" t="s">
        <v>11877</v>
      </c>
      <c r="G626" t="s">
        <v>74</v>
      </c>
      <c r="H626" t="s">
        <v>74</v>
      </c>
      <c r="I626" t="s">
        <v>11878</v>
      </c>
      <c r="J626" t="s">
        <v>6495</v>
      </c>
      <c r="K626" t="s">
        <v>74</v>
      </c>
      <c r="L626" t="s">
        <v>74</v>
      </c>
      <c r="M626" t="s">
        <v>78</v>
      </c>
      <c r="N626" t="s">
        <v>108</v>
      </c>
      <c r="O626" t="s">
        <v>74</v>
      </c>
      <c r="P626" t="s">
        <v>74</v>
      </c>
      <c r="Q626" t="s">
        <v>74</v>
      </c>
      <c r="R626" t="s">
        <v>74</v>
      </c>
      <c r="S626" t="s">
        <v>74</v>
      </c>
      <c r="T626" t="s">
        <v>11879</v>
      </c>
      <c r="U626" t="s">
        <v>11880</v>
      </c>
      <c r="V626" t="s">
        <v>11881</v>
      </c>
      <c r="W626" t="s">
        <v>11882</v>
      </c>
      <c r="X626" t="s">
        <v>11883</v>
      </c>
      <c r="Y626" t="s">
        <v>11884</v>
      </c>
      <c r="Z626" t="s">
        <v>11885</v>
      </c>
      <c r="AA626" t="s">
        <v>11886</v>
      </c>
      <c r="AB626" t="s">
        <v>74</v>
      </c>
      <c r="AC626" t="s">
        <v>74</v>
      </c>
      <c r="AD626" t="s">
        <v>74</v>
      </c>
      <c r="AE626" t="s">
        <v>74</v>
      </c>
      <c r="AF626" t="s">
        <v>74</v>
      </c>
      <c r="AG626">
        <v>28</v>
      </c>
      <c r="AH626">
        <v>40</v>
      </c>
      <c r="AI626">
        <v>41</v>
      </c>
      <c r="AJ626">
        <v>0</v>
      </c>
      <c r="AK626">
        <v>19</v>
      </c>
      <c r="AL626" t="s">
        <v>279</v>
      </c>
      <c r="AM626" t="s">
        <v>280</v>
      </c>
      <c r="AN626" t="s">
        <v>281</v>
      </c>
      <c r="AO626" t="s">
        <v>6505</v>
      </c>
      <c r="AP626" t="s">
        <v>6506</v>
      </c>
      <c r="AQ626" t="s">
        <v>74</v>
      </c>
      <c r="AR626" t="s">
        <v>6507</v>
      </c>
      <c r="AS626" t="s">
        <v>6508</v>
      </c>
      <c r="AT626" t="s">
        <v>800</v>
      </c>
      <c r="AU626">
        <v>2006</v>
      </c>
      <c r="AV626">
        <v>57</v>
      </c>
      <c r="AW626">
        <v>4</v>
      </c>
      <c r="AX626" t="s">
        <v>74</v>
      </c>
      <c r="AY626" t="s">
        <v>74</v>
      </c>
      <c r="AZ626" t="s">
        <v>74</v>
      </c>
      <c r="BA626" t="s">
        <v>74</v>
      </c>
      <c r="BB626">
        <v>367</v>
      </c>
      <c r="BC626">
        <v>376</v>
      </c>
      <c r="BD626" t="s">
        <v>74</v>
      </c>
      <c r="BE626" t="s">
        <v>11887</v>
      </c>
      <c r="BF626" t="str">
        <f>HYPERLINK("http://dx.doi.org/10.1057/palgrave.jors.2602024","http://dx.doi.org/10.1057/palgrave.jors.2602024")</f>
        <v>http://dx.doi.org/10.1057/palgrave.jors.2602024</v>
      </c>
      <c r="BG626" t="s">
        <v>74</v>
      </c>
      <c r="BH626" t="s">
        <v>74</v>
      </c>
      <c r="BI626">
        <v>10</v>
      </c>
      <c r="BJ626" t="s">
        <v>524</v>
      </c>
      <c r="BK626" t="s">
        <v>147</v>
      </c>
      <c r="BL626" t="s">
        <v>525</v>
      </c>
      <c r="BM626" t="s">
        <v>11888</v>
      </c>
      <c r="BN626" t="s">
        <v>74</v>
      </c>
      <c r="BO626" t="s">
        <v>74</v>
      </c>
      <c r="BP626" t="s">
        <v>74</v>
      </c>
      <c r="BQ626" t="s">
        <v>74</v>
      </c>
      <c r="BR626" t="s">
        <v>102</v>
      </c>
      <c r="BS626" t="s">
        <v>11889</v>
      </c>
      <c r="BT626" t="str">
        <f>HYPERLINK("https%3A%2F%2Fwww.webofscience.com%2Fwos%2Fwoscc%2Ffull-record%2FWOS:000236131000004","View Full Record in Web of Science")</f>
        <v>View Full Record in Web of Science</v>
      </c>
    </row>
    <row r="627" spans="1:72" x14ac:dyDescent="0.2">
      <c r="A627" t="s">
        <v>72</v>
      </c>
      <c r="B627" t="s">
        <v>11890</v>
      </c>
      <c r="C627" t="s">
        <v>74</v>
      </c>
      <c r="D627" t="s">
        <v>74</v>
      </c>
      <c r="E627" t="s">
        <v>74</v>
      </c>
      <c r="F627" t="s">
        <v>11890</v>
      </c>
      <c r="G627" t="s">
        <v>74</v>
      </c>
      <c r="H627" t="s">
        <v>74</v>
      </c>
      <c r="I627" t="s">
        <v>11891</v>
      </c>
      <c r="J627" t="s">
        <v>9946</v>
      </c>
      <c r="K627" t="s">
        <v>74</v>
      </c>
      <c r="L627" t="s">
        <v>74</v>
      </c>
      <c r="M627" t="s">
        <v>78</v>
      </c>
      <c r="N627" t="s">
        <v>108</v>
      </c>
      <c r="O627" t="s">
        <v>74</v>
      </c>
      <c r="P627" t="s">
        <v>74</v>
      </c>
      <c r="Q627" t="s">
        <v>74</v>
      </c>
      <c r="R627" t="s">
        <v>74</v>
      </c>
      <c r="S627" t="s">
        <v>74</v>
      </c>
      <c r="T627" t="s">
        <v>11892</v>
      </c>
      <c r="U627" t="s">
        <v>11893</v>
      </c>
      <c r="V627" t="s">
        <v>11894</v>
      </c>
      <c r="W627" t="s">
        <v>11895</v>
      </c>
      <c r="X627" t="s">
        <v>11896</v>
      </c>
      <c r="Y627" t="s">
        <v>11897</v>
      </c>
      <c r="Z627" t="s">
        <v>11898</v>
      </c>
      <c r="AA627" t="s">
        <v>74</v>
      </c>
      <c r="AB627" t="s">
        <v>74</v>
      </c>
      <c r="AC627" t="s">
        <v>74</v>
      </c>
      <c r="AD627" t="s">
        <v>74</v>
      </c>
      <c r="AE627" t="s">
        <v>74</v>
      </c>
      <c r="AF627" t="s">
        <v>74</v>
      </c>
      <c r="AG627">
        <v>31</v>
      </c>
      <c r="AH627">
        <v>15</v>
      </c>
      <c r="AI627">
        <v>15</v>
      </c>
      <c r="AJ627">
        <v>0</v>
      </c>
      <c r="AK627">
        <v>10</v>
      </c>
      <c r="AL627" t="s">
        <v>11899</v>
      </c>
      <c r="AM627" t="s">
        <v>260</v>
      </c>
      <c r="AN627" t="s">
        <v>11900</v>
      </c>
      <c r="AO627" t="s">
        <v>9957</v>
      </c>
      <c r="AP627" t="s">
        <v>74</v>
      </c>
      <c r="AQ627" t="s">
        <v>74</v>
      </c>
      <c r="AR627" t="s">
        <v>9958</v>
      </c>
      <c r="AS627" t="s">
        <v>9959</v>
      </c>
      <c r="AT627" t="s">
        <v>74</v>
      </c>
      <c r="AU627">
        <v>2005</v>
      </c>
      <c r="AV627">
        <v>96</v>
      </c>
      <c r="AW627">
        <v>5</v>
      </c>
      <c r="AX627" t="s">
        <v>74</v>
      </c>
      <c r="AY627" t="s">
        <v>74</v>
      </c>
      <c r="AZ627" t="s">
        <v>74</v>
      </c>
      <c r="BA627" t="s">
        <v>74</v>
      </c>
      <c r="BB627">
        <v>573</v>
      </c>
      <c r="BC627">
        <v>584</v>
      </c>
      <c r="BD627" t="s">
        <v>74</v>
      </c>
      <c r="BE627" t="s">
        <v>11901</v>
      </c>
      <c r="BF627" t="str">
        <f>HYPERLINK("http://dx.doi.org/10.1111/j.1467-9663.2005.00487.x","http://dx.doi.org/10.1111/j.1467-9663.2005.00487.x")</f>
        <v>http://dx.doi.org/10.1111/j.1467-9663.2005.00487.x</v>
      </c>
      <c r="BG627" t="s">
        <v>74</v>
      </c>
      <c r="BH627" t="s">
        <v>74</v>
      </c>
      <c r="BI627">
        <v>12</v>
      </c>
      <c r="BJ627" t="s">
        <v>9961</v>
      </c>
      <c r="BK627" t="s">
        <v>242</v>
      </c>
      <c r="BL627" t="s">
        <v>9962</v>
      </c>
      <c r="BM627" t="s">
        <v>11902</v>
      </c>
      <c r="BN627" t="s">
        <v>74</v>
      </c>
      <c r="BO627" t="s">
        <v>74</v>
      </c>
      <c r="BP627" t="s">
        <v>74</v>
      </c>
      <c r="BQ627" t="s">
        <v>74</v>
      </c>
      <c r="BR627" t="s">
        <v>102</v>
      </c>
      <c r="BS627" t="s">
        <v>11903</v>
      </c>
      <c r="BT627" t="str">
        <f>HYPERLINK("https%3A%2F%2Fwww.webofscience.com%2Fwos%2Fwoscc%2Ffull-record%2FWOS:000233202400009","View Full Record in Web of Science")</f>
        <v>View Full Record in Web of Science</v>
      </c>
    </row>
    <row r="628" spans="1:72" x14ac:dyDescent="0.2">
      <c r="A628" t="s">
        <v>72</v>
      </c>
      <c r="B628" t="s">
        <v>11904</v>
      </c>
      <c r="C628" t="s">
        <v>74</v>
      </c>
      <c r="D628" t="s">
        <v>74</v>
      </c>
      <c r="E628" t="s">
        <v>74</v>
      </c>
      <c r="F628" t="s">
        <v>11905</v>
      </c>
      <c r="G628" t="s">
        <v>74</v>
      </c>
      <c r="H628" t="s">
        <v>74</v>
      </c>
      <c r="I628" t="s">
        <v>11906</v>
      </c>
      <c r="J628" t="s">
        <v>2544</v>
      </c>
      <c r="K628" t="s">
        <v>74</v>
      </c>
      <c r="L628" t="s">
        <v>74</v>
      </c>
      <c r="M628" t="s">
        <v>78</v>
      </c>
      <c r="N628" t="s">
        <v>917</v>
      </c>
      <c r="O628" t="s">
        <v>74</v>
      </c>
      <c r="P628" t="s">
        <v>74</v>
      </c>
      <c r="Q628" t="s">
        <v>74</v>
      </c>
      <c r="R628" t="s">
        <v>74</v>
      </c>
      <c r="S628" t="s">
        <v>74</v>
      </c>
      <c r="T628" t="s">
        <v>11907</v>
      </c>
      <c r="U628" t="s">
        <v>11908</v>
      </c>
      <c r="V628" t="s">
        <v>11909</v>
      </c>
      <c r="W628" t="s">
        <v>11910</v>
      </c>
      <c r="X628" t="s">
        <v>11911</v>
      </c>
      <c r="Y628" t="s">
        <v>11912</v>
      </c>
      <c r="Z628" t="s">
        <v>11913</v>
      </c>
      <c r="AA628" t="s">
        <v>74</v>
      </c>
      <c r="AB628" t="s">
        <v>74</v>
      </c>
      <c r="AC628" t="s">
        <v>74</v>
      </c>
      <c r="AD628" t="s">
        <v>74</v>
      </c>
      <c r="AE628" t="s">
        <v>74</v>
      </c>
      <c r="AF628" t="s">
        <v>74</v>
      </c>
      <c r="AG628">
        <v>43</v>
      </c>
      <c r="AH628">
        <v>0</v>
      </c>
      <c r="AI628">
        <v>0</v>
      </c>
      <c r="AJ628">
        <v>3</v>
      </c>
      <c r="AK628">
        <v>3</v>
      </c>
      <c r="AL628" t="s">
        <v>321</v>
      </c>
      <c r="AM628" t="s">
        <v>348</v>
      </c>
      <c r="AN628" t="s">
        <v>1454</v>
      </c>
      <c r="AO628" t="s">
        <v>2556</v>
      </c>
      <c r="AP628" t="s">
        <v>2557</v>
      </c>
      <c r="AQ628" t="s">
        <v>74</v>
      </c>
      <c r="AR628" t="s">
        <v>2558</v>
      </c>
      <c r="AS628" t="s">
        <v>2559</v>
      </c>
      <c r="AT628" t="s">
        <v>11914</v>
      </c>
      <c r="AU628">
        <v>2023</v>
      </c>
      <c r="AV628" t="s">
        <v>74</v>
      </c>
      <c r="AW628" t="s">
        <v>74</v>
      </c>
      <c r="AX628" t="s">
        <v>74</v>
      </c>
      <c r="AY628" t="s">
        <v>74</v>
      </c>
      <c r="AZ628" t="s">
        <v>74</v>
      </c>
      <c r="BA628" t="s">
        <v>74</v>
      </c>
      <c r="BB628" t="s">
        <v>74</v>
      </c>
      <c r="BC628" t="s">
        <v>74</v>
      </c>
      <c r="BD628" t="s">
        <v>74</v>
      </c>
      <c r="BE628" t="s">
        <v>11915</v>
      </c>
      <c r="BF628" t="str">
        <f>HYPERLINK("http://dx.doi.org/10.1007/s10586-023-04005-x","http://dx.doi.org/10.1007/s10586-023-04005-x")</f>
        <v>http://dx.doi.org/10.1007/s10586-023-04005-x</v>
      </c>
      <c r="BG628" t="s">
        <v>74</v>
      </c>
      <c r="BH628" t="s">
        <v>930</v>
      </c>
      <c r="BI628">
        <v>19</v>
      </c>
      <c r="BJ628" t="s">
        <v>2563</v>
      </c>
      <c r="BK628" t="s">
        <v>98</v>
      </c>
      <c r="BL628" t="s">
        <v>99</v>
      </c>
      <c r="BM628" t="s">
        <v>11916</v>
      </c>
      <c r="BN628" t="s">
        <v>74</v>
      </c>
      <c r="BO628" t="s">
        <v>74</v>
      </c>
      <c r="BP628" t="s">
        <v>74</v>
      </c>
      <c r="BQ628" t="s">
        <v>74</v>
      </c>
      <c r="BR628" t="s">
        <v>102</v>
      </c>
      <c r="BS628" t="s">
        <v>11917</v>
      </c>
      <c r="BT628" t="str">
        <f>HYPERLINK("https%3A%2F%2Fwww.webofscience.com%2Fwos%2Fwoscc%2Ffull-record%2FWOS:000985203300001","View Full Record in Web of Science")</f>
        <v>View Full Record in Web of Science</v>
      </c>
    </row>
    <row r="629" spans="1:72" x14ac:dyDescent="0.2">
      <c r="A629" t="s">
        <v>72</v>
      </c>
      <c r="B629" t="s">
        <v>11918</v>
      </c>
      <c r="C629" t="s">
        <v>74</v>
      </c>
      <c r="D629" t="s">
        <v>74</v>
      </c>
      <c r="E629" t="s">
        <v>74</v>
      </c>
      <c r="F629" t="s">
        <v>11919</v>
      </c>
      <c r="G629" t="s">
        <v>74</v>
      </c>
      <c r="H629" t="s">
        <v>74</v>
      </c>
      <c r="I629" t="s">
        <v>11920</v>
      </c>
      <c r="J629" t="s">
        <v>2042</v>
      </c>
      <c r="K629" t="s">
        <v>74</v>
      </c>
      <c r="L629" t="s">
        <v>74</v>
      </c>
      <c r="M629" t="s">
        <v>78</v>
      </c>
      <c r="N629" t="s">
        <v>108</v>
      </c>
      <c r="O629" t="s">
        <v>74</v>
      </c>
      <c r="P629" t="s">
        <v>74</v>
      </c>
      <c r="Q629" t="s">
        <v>74</v>
      </c>
      <c r="R629" t="s">
        <v>74</v>
      </c>
      <c r="S629" t="s">
        <v>74</v>
      </c>
      <c r="T629" t="s">
        <v>11921</v>
      </c>
      <c r="U629" t="s">
        <v>11922</v>
      </c>
      <c r="V629" t="s">
        <v>11923</v>
      </c>
      <c r="W629" t="s">
        <v>11924</v>
      </c>
      <c r="X629" t="s">
        <v>11925</v>
      </c>
      <c r="Y629" t="s">
        <v>11926</v>
      </c>
      <c r="Z629" t="s">
        <v>11927</v>
      </c>
      <c r="AA629" t="s">
        <v>11928</v>
      </c>
      <c r="AB629" t="s">
        <v>11929</v>
      </c>
      <c r="AC629" t="s">
        <v>11930</v>
      </c>
      <c r="AD629" t="s">
        <v>11931</v>
      </c>
      <c r="AE629" t="s">
        <v>11932</v>
      </c>
      <c r="AF629" t="s">
        <v>74</v>
      </c>
      <c r="AG629">
        <v>52</v>
      </c>
      <c r="AH629">
        <v>77</v>
      </c>
      <c r="AI629">
        <v>86</v>
      </c>
      <c r="AJ629">
        <v>18</v>
      </c>
      <c r="AK629">
        <v>187</v>
      </c>
      <c r="AL629" t="s">
        <v>543</v>
      </c>
      <c r="AM629" t="s">
        <v>260</v>
      </c>
      <c r="AN629" t="s">
        <v>544</v>
      </c>
      <c r="AO629" t="s">
        <v>2054</v>
      </c>
      <c r="AP629" t="s">
        <v>2055</v>
      </c>
      <c r="AQ629" t="s">
        <v>74</v>
      </c>
      <c r="AR629" t="s">
        <v>2056</v>
      </c>
      <c r="AS629" t="s">
        <v>2057</v>
      </c>
      <c r="AT629" t="s">
        <v>5015</v>
      </c>
      <c r="AU629">
        <v>2018</v>
      </c>
      <c r="AV629">
        <v>104</v>
      </c>
      <c r="AW629" t="s">
        <v>74</v>
      </c>
      <c r="AX629" t="s">
        <v>74</v>
      </c>
      <c r="AY629" t="s">
        <v>74</v>
      </c>
      <c r="AZ629" t="s">
        <v>74</v>
      </c>
      <c r="BA629" t="s">
        <v>74</v>
      </c>
      <c r="BB629">
        <v>244</v>
      </c>
      <c r="BC629">
        <v>260</v>
      </c>
      <c r="BD629" t="s">
        <v>74</v>
      </c>
      <c r="BE629" t="s">
        <v>11933</v>
      </c>
      <c r="BF629" t="str">
        <f>HYPERLINK("http://dx.doi.org/10.1016/j.eswa.2018.03.018","http://dx.doi.org/10.1016/j.eswa.2018.03.018")</f>
        <v>http://dx.doi.org/10.1016/j.eswa.2018.03.018</v>
      </c>
      <c r="BG629" t="s">
        <v>74</v>
      </c>
      <c r="BH629" t="s">
        <v>74</v>
      </c>
      <c r="BI629">
        <v>17</v>
      </c>
      <c r="BJ629" t="s">
        <v>2059</v>
      </c>
      <c r="BK629" t="s">
        <v>147</v>
      </c>
      <c r="BL629" t="s">
        <v>2060</v>
      </c>
      <c r="BM629" t="s">
        <v>11934</v>
      </c>
      <c r="BN629" t="s">
        <v>74</v>
      </c>
      <c r="BO629" t="s">
        <v>74</v>
      </c>
      <c r="BP629" t="s">
        <v>74</v>
      </c>
      <c r="BQ629" t="s">
        <v>74</v>
      </c>
      <c r="BR629" t="s">
        <v>102</v>
      </c>
      <c r="BS629" t="s">
        <v>11935</v>
      </c>
      <c r="BT629" t="str">
        <f>HYPERLINK("https%3A%2F%2Fwww.webofscience.com%2Fwos%2Fwoscc%2Ffull-record%2FWOS:000434239800017","View Full Record in Web of Science")</f>
        <v>View Full Record in Web of Science</v>
      </c>
    </row>
    <row r="630" spans="1:72" x14ac:dyDescent="0.2">
      <c r="A630" t="s">
        <v>72</v>
      </c>
      <c r="B630" t="s">
        <v>11936</v>
      </c>
      <c r="C630" t="s">
        <v>74</v>
      </c>
      <c r="D630" t="s">
        <v>74</v>
      </c>
      <c r="E630" t="s">
        <v>74</v>
      </c>
      <c r="F630" t="s">
        <v>11937</v>
      </c>
      <c r="G630" t="s">
        <v>74</v>
      </c>
      <c r="H630" t="s">
        <v>74</v>
      </c>
      <c r="I630" t="s">
        <v>11938</v>
      </c>
      <c r="J630" t="s">
        <v>11939</v>
      </c>
      <c r="K630" t="s">
        <v>74</v>
      </c>
      <c r="L630" t="s">
        <v>74</v>
      </c>
      <c r="M630" t="s">
        <v>78</v>
      </c>
      <c r="N630" t="s">
        <v>108</v>
      </c>
      <c r="O630" t="s">
        <v>74</v>
      </c>
      <c r="P630" t="s">
        <v>74</v>
      </c>
      <c r="Q630" t="s">
        <v>74</v>
      </c>
      <c r="R630" t="s">
        <v>74</v>
      </c>
      <c r="S630" t="s">
        <v>74</v>
      </c>
      <c r="T630" t="s">
        <v>11940</v>
      </c>
      <c r="U630" t="s">
        <v>11941</v>
      </c>
      <c r="V630" t="s">
        <v>11942</v>
      </c>
      <c r="W630" t="s">
        <v>11943</v>
      </c>
      <c r="X630" t="s">
        <v>2651</v>
      </c>
      <c r="Y630" t="s">
        <v>11944</v>
      </c>
      <c r="Z630" t="s">
        <v>11871</v>
      </c>
      <c r="AA630" t="s">
        <v>11945</v>
      </c>
      <c r="AB630" t="s">
        <v>74</v>
      </c>
      <c r="AC630" t="s">
        <v>74</v>
      </c>
      <c r="AD630" t="s">
        <v>74</v>
      </c>
      <c r="AE630" t="s">
        <v>74</v>
      </c>
      <c r="AF630" t="s">
        <v>74</v>
      </c>
      <c r="AG630">
        <v>53</v>
      </c>
      <c r="AH630">
        <v>13</v>
      </c>
      <c r="AI630">
        <v>14</v>
      </c>
      <c r="AJ630">
        <v>1</v>
      </c>
      <c r="AK630">
        <v>47</v>
      </c>
      <c r="AL630" t="s">
        <v>437</v>
      </c>
      <c r="AM630" t="s">
        <v>438</v>
      </c>
      <c r="AN630" t="s">
        <v>439</v>
      </c>
      <c r="AO630" t="s">
        <v>11946</v>
      </c>
      <c r="AP630" t="s">
        <v>11947</v>
      </c>
      <c r="AQ630" t="s">
        <v>74</v>
      </c>
      <c r="AR630" t="s">
        <v>11948</v>
      </c>
      <c r="AS630" t="s">
        <v>11949</v>
      </c>
      <c r="AT630" t="s">
        <v>74</v>
      </c>
      <c r="AU630">
        <v>2018</v>
      </c>
      <c r="AV630">
        <v>46</v>
      </c>
      <c r="AW630">
        <v>6</v>
      </c>
      <c r="AX630" t="s">
        <v>74</v>
      </c>
      <c r="AY630" t="s">
        <v>74</v>
      </c>
      <c r="AZ630" t="s">
        <v>74</v>
      </c>
      <c r="BA630" t="s">
        <v>74</v>
      </c>
      <c r="BB630">
        <v>577</v>
      </c>
      <c r="BC630">
        <v>594</v>
      </c>
      <c r="BD630" t="s">
        <v>74</v>
      </c>
      <c r="BE630" t="s">
        <v>11950</v>
      </c>
      <c r="BF630" t="str">
        <f>HYPERLINK("http://dx.doi.org/10.1108/IJRDM-01-2018-0018","http://dx.doi.org/10.1108/IJRDM-01-2018-0018")</f>
        <v>http://dx.doi.org/10.1108/IJRDM-01-2018-0018</v>
      </c>
      <c r="BG630" t="s">
        <v>74</v>
      </c>
      <c r="BH630" t="s">
        <v>74</v>
      </c>
      <c r="BI630">
        <v>18</v>
      </c>
      <c r="BJ630" t="s">
        <v>849</v>
      </c>
      <c r="BK630" t="s">
        <v>242</v>
      </c>
      <c r="BL630" t="s">
        <v>419</v>
      </c>
      <c r="BM630" t="s">
        <v>11951</v>
      </c>
      <c r="BN630" t="s">
        <v>74</v>
      </c>
      <c r="BO630" t="s">
        <v>74</v>
      </c>
      <c r="BP630" t="s">
        <v>74</v>
      </c>
      <c r="BQ630" t="s">
        <v>74</v>
      </c>
      <c r="BR630" t="s">
        <v>102</v>
      </c>
      <c r="BS630" t="s">
        <v>11952</v>
      </c>
      <c r="BT630" t="str">
        <f>HYPERLINK("https%3A%2F%2Fwww.webofscience.com%2Fwos%2Fwoscc%2Ffull-record%2FWOS:000438226000004","View Full Record in Web of Science")</f>
        <v>View Full Record in Web of Science</v>
      </c>
    </row>
    <row r="631" spans="1:72" x14ac:dyDescent="0.2">
      <c r="A631" t="s">
        <v>72</v>
      </c>
      <c r="B631" t="s">
        <v>11953</v>
      </c>
      <c r="C631" t="s">
        <v>74</v>
      </c>
      <c r="D631" t="s">
        <v>74</v>
      </c>
      <c r="E631" t="s">
        <v>74</v>
      </c>
      <c r="F631" t="s">
        <v>11954</v>
      </c>
      <c r="G631" t="s">
        <v>74</v>
      </c>
      <c r="H631" t="s">
        <v>74</v>
      </c>
      <c r="I631" t="s">
        <v>11955</v>
      </c>
      <c r="J631" t="s">
        <v>11956</v>
      </c>
      <c r="K631" t="s">
        <v>74</v>
      </c>
      <c r="L631" t="s">
        <v>74</v>
      </c>
      <c r="M631" t="s">
        <v>78</v>
      </c>
      <c r="N631" t="s">
        <v>917</v>
      </c>
      <c r="O631" t="s">
        <v>74</v>
      </c>
      <c r="P631" t="s">
        <v>74</v>
      </c>
      <c r="Q631" t="s">
        <v>74</v>
      </c>
      <c r="R631" t="s">
        <v>74</v>
      </c>
      <c r="S631" t="s">
        <v>74</v>
      </c>
      <c r="T631" t="s">
        <v>11957</v>
      </c>
      <c r="U631" t="s">
        <v>1491</v>
      </c>
      <c r="V631" t="s">
        <v>11958</v>
      </c>
      <c r="W631" t="s">
        <v>11959</v>
      </c>
      <c r="X631" t="s">
        <v>11960</v>
      </c>
      <c r="Y631" t="s">
        <v>11961</v>
      </c>
      <c r="Z631" t="s">
        <v>11962</v>
      </c>
      <c r="AA631" t="s">
        <v>11963</v>
      </c>
      <c r="AB631" t="s">
        <v>11964</v>
      </c>
      <c r="AC631" t="s">
        <v>74</v>
      </c>
      <c r="AD631" t="s">
        <v>74</v>
      </c>
      <c r="AE631" t="s">
        <v>74</v>
      </c>
      <c r="AF631" t="s">
        <v>74</v>
      </c>
      <c r="AG631">
        <v>26</v>
      </c>
      <c r="AH631">
        <v>1</v>
      </c>
      <c r="AI631">
        <v>1</v>
      </c>
      <c r="AJ631">
        <v>2</v>
      </c>
      <c r="AK631">
        <v>8</v>
      </c>
      <c r="AL631" t="s">
        <v>321</v>
      </c>
      <c r="AM631" t="s">
        <v>322</v>
      </c>
      <c r="AN631" t="s">
        <v>323</v>
      </c>
      <c r="AO631" t="s">
        <v>11965</v>
      </c>
      <c r="AP631" t="s">
        <v>11966</v>
      </c>
      <c r="AQ631" t="s">
        <v>74</v>
      </c>
      <c r="AR631" t="s">
        <v>11967</v>
      </c>
      <c r="AS631" t="s">
        <v>11968</v>
      </c>
      <c r="AT631" t="s">
        <v>11969</v>
      </c>
      <c r="AU631">
        <v>2022</v>
      </c>
      <c r="AV631" t="s">
        <v>74</v>
      </c>
      <c r="AW631" t="s">
        <v>74</v>
      </c>
      <c r="AX631" t="s">
        <v>74</v>
      </c>
      <c r="AY631" t="s">
        <v>74</v>
      </c>
      <c r="AZ631" t="s">
        <v>74</v>
      </c>
      <c r="BA631" t="s">
        <v>74</v>
      </c>
      <c r="BB631" t="s">
        <v>74</v>
      </c>
      <c r="BC631" t="s">
        <v>74</v>
      </c>
      <c r="BD631" t="s">
        <v>74</v>
      </c>
      <c r="BE631" t="s">
        <v>11970</v>
      </c>
      <c r="BF631" t="str">
        <f>HYPERLINK("http://dx.doi.org/10.1007/s10668-022-02668-x","http://dx.doi.org/10.1007/s10668-022-02668-x")</f>
        <v>http://dx.doi.org/10.1007/s10668-022-02668-x</v>
      </c>
      <c r="BG631" t="s">
        <v>74</v>
      </c>
      <c r="BH631" t="s">
        <v>4492</v>
      </c>
      <c r="BI631">
        <v>24</v>
      </c>
      <c r="BJ631" t="s">
        <v>11971</v>
      </c>
      <c r="BK631" t="s">
        <v>98</v>
      </c>
      <c r="BL631" t="s">
        <v>148</v>
      </c>
      <c r="BM631" t="s">
        <v>11972</v>
      </c>
      <c r="BN631" t="s">
        <v>74</v>
      </c>
      <c r="BO631" t="s">
        <v>74</v>
      </c>
      <c r="BP631" t="s">
        <v>74</v>
      </c>
      <c r="BQ631" t="s">
        <v>74</v>
      </c>
      <c r="BR631" t="s">
        <v>102</v>
      </c>
      <c r="BS631" t="s">
        <v>11973</v>
      </c>
      <c r="BT631" t="str">
        <f>HYPERLINK("https%3A%2F%2Fwww.webofscience.com%2Fwos%2Fwoscc%2Ffull-record%2FWOS:000854830600003","View Full Record in Web of Science")</f>
        <v>View Full Record in Web of Science</v>
      </c>
    </row>
    <row r="632" spans="1:72" x14ac:dyDescent="0.2">
      <c r="A632" t="s">
        <v>72</v>
      </c>
      <c r="B632" t="s">
        <v>11974</v>
      </c>
      <c r="C632" t="s">
        <v>74</v>
      </c>
      <c r="D632" t="s">
        <v>74</v>
      </c>
      <c r="E632" t="s">
        <v>74</v>
      </c>
      <c r="F632" t="s">
        <v>11975</v>
      </c>
      <c r="G632" t="s">
        <v>74</v>
      </c>
      <c r="H632" t="s">
        <v>74</v>
      </c>
      <c r="I632" t="s">
        <v>11976</v>
      </c>
      <c r="J632" t="s">
        <v>5612</v>
      </c>
      <c r="K632" t="s">
        <v>74</v>
      </c>
      <c r="L632" t="s">
        <v>74</v>
      </c>
      <c r="M632" t="s">
        <v>78</v>
      </c>
      <c r="N632" t="s">
        <v>108</v>
      </c>
      <c r="O632" t="s">
        <v>74</v>
      </c>
      <c r="P632" t="s">
        <v>74</v>
      </c>
      <c r="Q632" t="s">
        <v>74</v>
      </c>
      <c r="R632" t="s">
        <v>74</v>
      </c>
      <c r="S632" t="s">
        <v>74</v>
      </c>
      <c r="T632" t="s">
        <v>11977</v>
      </c>
      <c r="U632" t="s">
        <v>11978</v>
      </c>
      <c r="V632" t="s">
        <v>11979</v>
      </c>
      <c r="W632" t="s">
        <v>11980</v>
      </c>
      <c r="X632" t="s">
        <v>11981</v>
      </c>
      <c r="Y632" t="s">
        <v>11982</v>
      </c>
      <c r="Z632" t="s">
        <v>11983</v>
      </c>
      <c r="AA632" t="s">
        <v>74</v>
      </c>
      <c r="AB632" t="s">
        <v>74</v>
      </c>
      <c r="AC632" t="s">
        <v>74</v>
      </c>
      <c r="AD632" t="s">
        <v>74</v>
      </c>
      <c r="AE632" t="s">
        <v>74</v>
      </c>
      <c r="AF632" t="s">
        <v>74</v>
      </c>
      <c r="AG632">
        <v>53</v>
      </c>
      <c r="AH632">
        <v>33</v>
      </c>
      <c r="AI632">
        <v>34</v>
      </c>
      <c r="AJ632">
        <v>2</v>
      </c>
      <c r="AK632">
        <v>73</v>
      </c>
      <c r="AL632" t="s">
        <v>437</v>
      </c>
      <c r="AM632" t="s">
        <v>438</v>
      </c>
      <c r="AN632" t="s">
        <v>439</v>
      </c>
      <c r="AO632" t="s">
        <v>5621</v>
      </c>
      <c r="AP632" t="s">
        <v>5622</v>
      </c>
      <c r="AQ632" t="s">
        <v>74</v>
      </c>
      <c r="AR632" t="s">
        <v>5623</v>
      </c>
      <c r="AS632" t="s">
        <v>5624</v>
      </c>
      <c r="AT632" t="s">
        <v>74</v>
      </c>
      <c r="AU632">
        <v>2012</v>
      </c>
      <c r="AV632">
        <v>112</v>
      </c>
      <c r="AW632" t="s">
        <v>11984</v>
      </c>
      <c r="AX632" t="s">
        <v>74</v>
      </c>
      <c r="AY632" t="s">
        <v>74</v>
      </c>
      <c r="AZ632" t="s">
        <v>74</v>
      </c>
      <c r="BA632" t="s">
        <v>74</v>
      </c>
      <c r="BB632">
        <v>1255</v>
      </c>
      <c r="BC632">
        <v>1271</v>
      </c>
      <c r="BD632" t="s">
        <v>74</v>
      </c>
      <c r="BE632" t="s">
        <v>11985</v>
      </c>
      <c r="BF632" t="str">
        <f>HYPERLINK("http://dx.doi.org/10.1108/02635571211264654","http://dx.doi.org/10.1108/02635571211264654")</f>
        <v>http://dx.doi.org/10.1108/02635571211264654</v>
      </c>
      <c r="BG632" t="s">
        <v>74</v>
      </c>
      <c r="BH632" t="s">
        <v>74</v>
      </c>
      <c r="BI632">
        <v>17</v>
      </c>
      <c r="BJ632" t="s">
        <v>550</v>
      </c>
      <c r="BK632" t="s">
        <v>147</v>
      </c>
      <c r="BL632" t="s">
        <v>269</v>
      </c>
      <c r="BM632" t="s">
        <v>11986</v>
      </c>
      <c r="BN632" t="s">
        <v>74</v>
      </c>
      <c r="BO632" t="s">
        <v>74</v>
      </c>
      <c r="BP632" t="s">
        <v>74</v>
      </c>
      <c r="BQ632" t="s">
        <v>74</v>
      </c>
      <c r="BR632" t="s">
        <v>102</v>
      </c>
      <c r="BS632" t="s">
        <v>11987</v>
      </c>
      <c r="BT632" t="str">
        <f>HYPERLINK("https%3A%2F%2Fwww.webofscience.com%2Fwos%2Fwoscc%2Ffull-record%2FWOS:000311815400006","View Full Record in Web of Science")</f>
        <v>View Full Record in Web of Science</v>
      </c>
    </row>
    <row r="633" spans="1:72" x14ac:dyDescent="0.2">
      <c r="A633" t="s">
        <v>72</v>
      </c>
      <c r="B633" t="s">
        <v>11988</v>
      </c>
      <c r="C633" t="s">
        <v>74</v>
      </c>
      <c r="D633" t="s">
        <v>74</v>
      </c>
      <c r="E633" t="s">
        <v>74</v>
      </c>
      <c r="F633" t="s">
        <v>11989</v>
      </c>
      <c r="G633" t="s">
        <v>74</v>
      </c>
      <c r="H633" t="s">
        <v>74</v>
      </c>
      <c r="I633" t="s">
        <v>11990</v>
      </c>
      <c r="J633" t="s">
        <v>11991</v>
      </c>
      <c r="K633" t="s">
        <v>74</v>
      </c>
      <c r="L633" t="s">
        <v>74</v>
      </c>
      <c r="M633" t="s">
        <v>78</v>
      </c>
      <c r="N633" t="s">
        <v>917</v>
      </c>
      <c r="O633" t="s">
        <v>74</v>
      </c>
      <c r="P633" t="s">
        <v>74</v>
      </c>
      <c r="Q633" t="s">
        <v>74</v>
      </c>
      <c r="R633" t="s">
        <v>74</v>
      </c>
      <c r="S633" t="s">
        <v>74</v>
      </c>
      <c r="T633" t="s">
        <v>11992</v>
      </c>
      <c r="U633" t="s">
        <v>74</v>
      </c>
      <c r="V633" t="s">
        <v>11993</v>
      </c>
      <c r="W633" t="s">
        <v>11994</v>
      </c>
      <c r="X633" t="s">
        <v>11995</v>
      </c>
      <c r="Y633" t="s">
        <v>11996</v>
      </c>
      <c r="Z633" t="s">
        <v>11997</v>
      </c>
      <c r="AA633" t="s">
        <v>74</v>
      </c>
      <c r="AB633" t="s">
        <v>11998</v>
      </c>
      <c r="AC633" t="s">
        <v>11999</v>
      </c>
      <c r="AD633" t="s">
        <v>12000</v>
      </c>
      <c r="AE633" t="s">
        <v>12001</v>
      </c>
      <c r="AF633" t="s">
        <v>74</v>
      </c>
      <c r="AG633">
        <v>25</v>
      </c>
      <c r="AH633">
        <v>0</v>
      </c>
      <c r="AI633">
        <v>0</v>
      </c>
      <c r="AJ633">
        <v>13</v>
      </c>
      <c r="AK633">
        <v>13</v>
      </c>
      <c r="AL633" t="s">
        <v>167</v>
      </c>
      <c r="AM633" t="s">
        <v>168</v>
      </c>
      <c r="AN633" t="s">
        <v>169</v>
      </c>
      <c r="AO633" t="s">
        <v>12002</v>
      </c>
      <c r="AP633" t="s">
        <v>12003</v>
      </c>
      <c r="AQ633" t="s">
        <v>74</v>
      </c>
      <c r="AR633" t="s">
        <v>12004</v>
      </c>
      <c r="AS633" t="s">
        <v>12005</v>
      </c>
      <c r="AT633" t="s">
        <v>12006</v>
      </c>
      <c r="AU633">
        <v>2023</v>
      </c>
      <c r="AV633" t="s">
        <v>74</v>
      </c>
      <c r="AW633" t="s">
        <v>74</v>
      </c>
      <c r="AX633" t="s">
        <v>74</v>
      </c>
      <c r="AY633" t="s">
        <v>74</v>
      </c>
      <c r="AZ633" t="s">
        <v>74</v>
      </c>
      <c r="BA633" t="s">
        <v>74</v>
      </c>
      <c r="BB633" t="s">
        <v>74</v>
      </c>
      <c r="BC633" t="s">
        <v>74</v>
      </c>
      <c r="BD633" t="s">
        <v>74</v>
      </c>
      <c r="BE633" t="s">
        <v>12007</v>
      </c>
      <c r="BF633" t="str">
        <f>HYPERLINK("http://dx.doi.org/10.1109/TITS.2023.3286477","http://dx.doi.org/10.1109/TITS.2023.3286477")</f>
        <v>http://dx.doi.org/10.1109/TITS.2023.3286477</v>
      </c>
      <c r="BG633" t="s">
        <v>74</v>
      </c>
      <c r="BH633" t="s">
        <v>1331</v>
      </c>
      <c r="BI633">
        <v>12</v>
      </c>
      <c r="BJ633" t="s">
        <v>12008</v>
      </c>
      <c r="BK633" t="s">
        <v>98</v>
      </c>
      <c r="BL633" t="s">
        <v>7606</v>
      </c>
      <c r="BM633" t="s">
        <v>12009</v>
      </c>
      <c r="BN633" t="s">
        <v>74</v>
      </c>
      <c r="BO633" t="s">
        <v>74</v>
      </c>
      <c r="BP633" t="s">
        <v>74</v>
      </c>
      <c r="BQ633" t="s">
        <v>74</v>
      </c>
      <c r="BR633" t="s">
        <v>102</v>
      </c>
      <c r="BS633" t="s">
        <v>12010</v>
      </c>
      <c r="BT633" t="str">
        <f>HYPERLINK("https%3A%2F%2Fwww.webofscience.com%2Fwos%2Fwoscc%2Ffull-record%2FWOS:001035826900001","View Full Record in Web of Science")</f>
        <v>View Full Record in Web of Science</v>
      </c>
    </row>
    <row r="634" spans="1:72" x14ac:dyDescent="0.2">
      <c r="A634" t="s">
        <v>72</v>
      </c>
      <c r="B634" t="s">
        <v>12011</v>
      </c>
      <c r="C634" t="s">
        <v>74</v>
      </c>
      <c r="D634" t="s">
        <v>74</v>
      </c>
      <c r="E634" t="s">
        <v>74</v>
      </c>
      <c r="F634" t="s">
        <v>12012</v>
      </c>
      <c r="G634" t="s">
        <v>74</v>
      </c>
      <c r="H634" t="s">
        <v>74</v>
      </c>
      <c r="I634" t="s">
        <v>12013</v>
      </c>
      <c r="J634" t="s">
        <v>155</v>
      </c>
      <c r="K634" t="s">
        <v>74</v>
      </c>
      <c r="L634" t="s">
        <v>74</v>
      </c>
      <c r="M634" t="s">
        <v>78</v>
      </c>
      <c r="N634" t="s">
        <v>108</v>
      </c>
      <c r="O634" t="s">
        <v>74</v>
      </c>
      <c r="P634" t="s">
        <v>74</v>
      </c>
      <c r="Q634" t="s">
        <v>74</v>
      </c>
      <c r="R634" t="s">
        <v>74</v>
      </c>
      <c r="S634" t="s">
        <v>74</v>
      </c>
      <c r="T634" t="s">
        <v>12014</v>
      </c>
      <c r="U634" t="s">
        <v>12015</v>
      </c>
      <c r="V634" t="s">
        <v>12016</v>
      </c>
      <c r="W634" t="s">
        <v>12017</v>
      </c>
      <c r="X634" t="s">
        <v>12018</v>
      </c>
      <c r="Y634" t="s">
        <v>12019</v>
      </c>
      <c r="Z634" t="s">
        <v>12020</v>
      </c>
      <c r="AA634" t="s">
        <v>12021</v>
      </c>
      <c r="AB634" t="s">
        <v>12022</v>
      </c>
      <c r="AC634" t="s">
        <v>74</v>
      </c>
      <c r="AD634" t="s">
        <v>74</v>
      </c>
      <c r="AE634" t="s">
        <v>74</v>
      </c>
      <c r="AF634" t="s">
        <v>74</v>
      </c>
      <c r="AG634">
        <v>103</v>
      </c>
      <c r="AH634">
        <v>7</v>
      </c>
      <c r="AI634">
        <v>7</v>
      </c>
      <c r="AJ634">
        <v>4</v>
      </c>
      <c r="AK634">
        <v>36</v>
      </c>
      <c r="AL634" t="s">
        <v>167</v>
      </c>
      <c r="AM634" t="s">
        <v>168</v>
      </c>
      <c r="AN634" t="s">
        <v>169</v>
      </c>
      <c r="AO634" t="s">
        <v>170</v>
      </c>
      <c r="AP634" t="s">
        <v>171</v>
      </c>
      <c r="AQ634" t="s">
        <v>74</v>
      </c>
      <c r="AR634" t="s">
        <v>172</v>
      </c>
      <c r="AS634" t="s">
        <v>173</v>
      </c>
      <c r="AT634" t="s">
        <v>239</v>
      </c>
      <c r="AU634">
        <v>2021</v>
      </c>
      <c r="AV634">
        <v>68</v>
      </c>
      <c r="AW634">
        <v>4</v>
      </c>
      <c r="AX634" t="s">
        <v>74</v>
      </c>
      <c r="AY634" t="s">
        <v>74</v>
      </c>
      <c r="AZ634" t="s">
        <v>74</v>
      </c>
      <c r="BA634" t="s">
        <v>74</v>
      </c>
      <c r="BB634">
        <v>1055</v>
      </c>
      <c r="BC634">
        <v>1071</v>
      </c>
      <c r="BD634" t="s">
        <v>74</v>
      </c>
      <c r="BE634" t="s">
        <v>12023</v>
      </c>
      <c r="BF634" t="str">
        <f>HYPERLINK("http://dx.doi.org/10.1109/TEM.2019.2924199","http://dx.doi.org/10.1109/TEM.2019.2924199")</f>
        <v>http://dx.doi.org/10.1109/TEM.2019.2924199</v>
      </c>
      <c r="BG634" t="s">
        <v>74</v>
      </c>
      <c r="BH634" t="s">
        <v>74</v>
      </c>
      <c r="BI634">
        <v>17</v>
      </c>
      <c r="BJ634" t="s">
        <v>176</v>
      </c>
      <c r="BK634" t="s">
        <v>147</v>
      </c>
      <c r="BL634" t="s">
        <v>177</v>
      </c>
      <c r="BM634" t="s">
        <v>12024</v>
      </c>
      <c r="BN634" t="s">
        <v>74</v>
      </c>
      <c r="BO634" t="s">
        <v>1833</v>
      </c>
      <c r="BP634" t="s">
        <v>74</v>
      </c>
      <c r="BQ634" t="s">
        <v>74</v>
      </c>
      <c r="BR634" t="s">
        <v>102</v>
      </c>
      <c r="BS634" t="s">
        <v>12025</v>
      </c>
      <c r="BT634" t="str">
        <f>HYPERLINK("https%3A%2F%2Fwww.webofscience.com%2Fwos%2Fwoscc%2Ffull-record%2FWOS:000652795400011","View Full Record in Web of Science")</f>
        <v>View Full Record in Web of Science</v>
      </c>
    </row>
    <row r="635" spans="1:72" x14ac:dyDescent="0.2">
      <c r="A635" t="s">
        <v>72</v>
      </c>
      <c r="B635" t="s">
        <v>12026</v>
      </c>
      <c r="C635" t="s">
        <v>74</v>
      </c>
      <c r="D635" t="s">
        <v>74</v>
      </c>
      <c r="E635" t="s">
        <v>74</v>
      </c>
      <c r="F635" t="s">
        <v>12027</v>
      </c>
      <c r="G635" t="s">
        <v>74</v>
      </c>
      <c r="H635" t="s">
        <v>74</v>
      </c>
      <c r="I635" t="s">
        <v>12028</v>
      </c>
      <c r="J635" t="s">
        <v>12029</v>
      </c>
      <c r="K635" t="s">
        <v>74</v>
      </c>
      <c r="L635" t="s">
        <v>74</v>
      </c>
      <c r="M635" t="s">
        <v>78</v>
      </c>
      <c r="N635" t="s">
        <v>108</v>
      </c>
      <c r="O635" t="s">
        <v>74</v>
      </c>
      <c r="P635" t="s">
        <v>74</v>
      </c>
      <c r="Q635" t="s">
        <v>74</v>
      </c>
      <c r="R635" t="s">
        <v>74</v>
      </c>
      <c r="S635" t="s">
        <v>74</v>
      </c>
      <c r="T635" t="s">
        <v>12030</v>
      </c>
      <c r="U635" t="s">
        <v>12031</v>
      </c>
      <c r="V635" t="s">
        <v>12032</v>
      </c>
      <c r="W635" t="s">
        <v>12033</v>
      </c>
      <c r="X635" t="s">
        <v>12034</v>
      </c>
      <c r="Y635" t="s">
        <v>12035</v>
      </c>
      <c r="Z635" t="s">
        <v>12036</v>
      </c>
      <c r="AA635" t="s">
        <v>12037</v>
      </c>
      <c r="AB635" t="s">
        <v>12038</v>
      </c>
      <c r="AC635" t="s">
        <v>74</v>
      </c>
      <c r="AD635" t="s">
        <v>74</v>
      </c>
      <c r="AE635" t="s">
        <v>74</v>
      </c>
      <c r="AF635" t="s">
        <v>74</v>
      </c>
      <c r="AG635">
        <v>96</v>
      </c>
      <c r="AH635">
        <v>45</v>
      </c>
      <c r="AI635">
        <v>46</v>
      </c>
      <c r="AJ635">
        <v>0</v>
      </c>
      <c r="AK635">
        <v>32</v>
      </c>
      <c r="AL635" t="s">
        <v>12039</v>
      </c>
      <c r="AM635" t="s">
        <v>12040</v>
      </c>
      <c r="AN635" t="s">
        <v>12041</v>
      </c>
      <c r="AO635" t="s">
        <v>12042</v>
      </c>
      <c r="AP635" t="s">
        <v>74</v>
      </c>
      <c r="AQ635" t="s">
        <v>74</v>
      </c>
      <c r="AR635" t="s">
        <v>12043</v>
      </c>
      <c r="AS635" t="s">
        <v>12044</v>
      </c>
      <c r="AT635" t="s">
        <v>416</v>
      </c>
      <c r="AU635">
        <v>2013</v>
      </c>
      <c r="AV635">
        <v>40</v>
      </c>
      <c r="AW635">
        <v>2</v>
      </c>
      <c r="AX635" t="s">
        <v>74</v>
      </c>
      <c r="AY635" t="s">
        <v>74</v>
      </c>
      <c r="AZ635" t="s">
        <v>570</v>
      </c>
      <c r="BA635" t="s">
        <v>74</v>
      </c>
      <c r="BB635">
        <v>207</v>
      </c>
      <c r="BC635">
        <v>240</v>
      </c>
      <c r="BD635" t="s">
        <v>74</v>
      </c>
      <c r="BE635" t="s">
        <v>74</v>
      </c>
      <c r="BF635" t="s">
        <v>74</v>
      </c>
      <c r="BG635" t="s">
        <v>74</v>
      </c>
      <c r="BH635" t="s">
        <v>74</v>
      </c>
      <c r="BI635">
        <v>34</v>
      </c>
      <c r="BJ635" t="s">
        <v>12045</v>
      </c>
      <c r="BK635" t="s">
        <v>242</v>
      </c>
      <c r="BL635" t="s">
        <v>12046</v>
      </c>
      <c r="BM635" t="s">
        <v>12047</v>
      </c>
      <c r="BN635" t="s">
        <v>74</v>
      </c>
      <c r="BO635" t="s">
        <v>74</v>
      </c>
      <c r="BP635" t="s">
        <v>74</v>
      </c>
      <c r="BQ635" t="s">
        <v>74</v>
      </c>
      <c r="BR635" t="s">
        <v>102</v>
      </c>
      <c r="BS635" t="s">
        <v>12048</v>
      </c>
      <c r="BT635" t="str">
        <f>HYPERLINK("https%3A%2F%2Fwww.webofscience.com%2Fwos%2Fwoscc%2Ffull-record%2FWOS:000322859000004","View Full Record in Web of Science")</f>
        <v>View Full Record in Web of Science</v>
      </c>
    </row>
    <row r="636" spans="1:72" x14ac:dyDescent="0.2">
      <c r="A636" t="s">
        <v>72</v>
      </c>
      <c r="B636" t="s">
        <v>12049</v>
      </c>
      <c r="C636" t="s">
        <v>74</v>
      </c>
      <c r="D636" t="s">
        <v>74</v>
      </c>
      <c r="E636" t="s">
        <v>74</v>
      </c>
      <c r="F636" t="s">
        <v>12050</v>
      </c>
      <c r="G636" t="s">
        <v>74</v>
      </c>
      <c r="H636" t="s">
        <v>74</v>
      </c>
      <c r="I636" t="s">
        <v>12051</v>
      </c>
      <c r="J636" t="s">
        <v>155</v>
      </c>
      <c r="K636" t="s">
        <v>74</v>
      </c>
      <c r="L636" t="s">
        <v>74</v>
      </c>
      <c r="M636" t="s">
        <v>78</v>
      </c>
      <c r="N636" t="s">
        <v>917</v>
      </c>
      <c r="O636" t="s">
        <v>74</v>
      </c>
      <c r="P636" t="s">
        <v>74</v>
      </c>
      <c r="Q636" t="s">
        <v>74</v>
      </c>
      <c r="R636" t="s">
        <v>74</v>
      </c>
      <c r="S636" t="s">
        <v>74</v>
      </c>
      <c r="T636" t="s">
        <v>12052</v>
      </c>
      <c r="U636" t="s">
        <v>12053</v>
      </c>
      <c r="V636" t="s">
        <v>12054</v>
      </c>
      <c r="W636" t="s">
        <v>12055</v>
      </c>
      <c r="X636" t="s">
        <v>12056</v>
      </c>
      <c r="Y636" t="s">
        <v>12057</v>
      </c>
      <c r="Z636" t="s">
        <v>12058</v>
      </c>
      <c r="AA636" t="s">
        <v>12059</v>
      </c>
      <c r="AB636" t="s">
        <v>12060</v>
      </c>
      <c r="AC636" t="s">
        <v>12061</v>
      </c>
      <c r="AD636" t="s">
        <v>12062</v>
      </c>
      <c r="AE636" t="s">
        <v>12063</v>
      </c>
      <c r="AF636" t="s">
        <v>74</v>
      </c>
      <c r="AG636">
        <v>68</v>
      </c>
      <c r="AH636">
        <v>0</v>
      </c>
      <c r="AI636">
        <v>0</v>
      </c>
      <c r="AJ636">
        <v>7</v>
      </c>
      <c r="AK636">
        <v>24</v>
      </c>
      <c r="AL636" t="s">
        <v>167</v>
      </c>
      <c r="AM636" t="s">
        <v>168</v>
      </c>
      <c r="AN636" t="s">
        <v>169</v>
      </c>
      <c r="AO636" t="s">
        <v>170</v>
      </c>
      <c r="AP636" t="s">
        <v>171</v>
      </c>
      <c r="AQ636" t="s">
        <v>74</v>
      </c>
      <c r="AR636" t="s">
        <v>172</v>
      </c>
      <c r="AS636" t="s">
        <v>173</v>
      </c>
      <c r="AT636" t="s">
        <v>12064</v>
      </c>
      <c r="AU636">
        <v>2022</v>
      </c>
      <c r="AV636" t="s">
        <v>74</v>
      </c>
      <c r="AW636" t="s">
        <v>74</v>
      </c>
      <c r="AX636" t="s">
        <v>74</v>
      </c>
      <c r="AY636" t="s">
        <v>74</v>
      </c>
      <c r="AZ636" t="s">
        <v>74</v>
      </c>
      <c r="BA636" t="s">
        <v>74</v>
      </c>
      <c r="BB636" t="s">
        <v>74</v>
      </c>
      <c r="BC636" t="s">
        <v>74</v>
      </c>
      <c r="BD636" t="s">
        <v>74</v>
      </c>
      <c r="BE636" t="s">
        <v>12065</v>
      </c>
      <c r="BF636" t="str">
        <f>HYPERLINK("http://dx.doi.org/10.1109/TEM.2022.3163298","http://dx.doi.org/10.1109/TEM.2022.3163298")</f>
        <v>http://dx.doi.org/10.1109/TEM.2022.3163298</v>
      </c>
      <c r="BG636" t="s">
        <v>74</v>
      </c>
      <c r="BH636" t="s">
        <v>2921</v>
      </c>
      <c r="BI636">
        <v>13</v>
      </c>
      <c r="BJ636" t="s">
        <v>176</v>
      </c>
      <c r="BK636" t="s">
        <v>147</v>
      </c>
      <c r="BL636" t="s">
        <v>177</v>
      </c>
      <c r="BM636" t="s">
        <v>12066</v>
      </c>
      <c r="BN636" t="s">
        <v>74</v>
      </c>
      <c r="BO636" t="s">
        <v>74</v>
      </c>
      <c r="BP636" t="s">
        <v>74</v>
      </c>
      <c r="BQ636" t="s">
        <v>74</v>
      </c>
      <c r="BR636" t="s">
        <v>102</v>
      </c>
      <c r="BS636" t="s">
        <v>12067</v>
      </c>
      <c r="BT636" t="str">
        <f>HYPERLINK("https%3A%2F%2Fwww.webofscience.com%2Fwos%2Fwoscc%2Ffull-record%2FWOS:000791715700001","View Full Record in Web of Science")</f>
        <v>View Full Record in Web of Science</v>
      </c>
    </row>
    <row r="637" spans="1:72" x14ac:dyDescent="0.2">
      <c r="A637" t="s">
        <v>72</v>
      </c>
      <c r="B637" t="s">
        <v>12068</v>
      </c>
      <c r="C637" t="s">
        <v>74</v>
      </c>
      <c r="D637" t="s">
        <v>74</v>
      </c>
      <c r="E637" t="s">
        <v>74</v>
      </c>
      <c r="F637" t="s">
        <v>12069</v>
      </c>
      <c r="G637" t="s">
        <v>74</v>
      </c>
      <c r="H637" t="s">
        <v>74</v>
      </c>
      <c r="I637" t="s">
        <v>12070</v>
      </c>
      <c r="J637" t="s">
        <v>311</v>
      </c>
      <c r="K637" t="s">
        <v>74</v>
      </c>
      <c r="L637" t="s">
        <v>74</v>
      </c>
      <c r="M637" t="s">
        <v>78</v>
      </c>
      <c r="N637" t="s">
        <v>917</v>
      </c>
      <c r="O637" t="s">
        <v>74</v>
      </c>
      <c r="P637" t="s">
        <v>74</v>
      </c>
      <c r="Q637" t="s">
        <v>74</v>
      </c>
      <c r="R637" t="s">
        <v>74</v>
      </c>
      <c r="S637" t="s">
        <v>74</v>
      </c>
      <c r="T637" t="s">
        <v>12071</v>
      </c>
      <c r="U637" t="s">
        <v>12072</v>
      </c>
      <c r="V637" t="s">
        <v>12073</v>
      </c>
      <c r="W637" t="s">
        <v>12074</v>
      </c>
      <c r="X637" t="s">
        <v>12075</v>
      </c>
      <c r="Y637" t="s">
        <v>12076</v>
      </c>
      <c r="Z637" t="s">
        <v>12077</v>
      </c>
      <c r="AA637" t="s">
        <v>12078</v>
      </c>
      <c r="AB637" t="s">
        <v>74</v>
      </c>
      <c r="AC637" t="s">
        <v>12079</v>
      </c>
      <c r="AD637" t="s">
        <v>12080</v>
      </c>
      <c r="AE637" t="s">
        <v>12081</v>
      </c>
      <c r="AF637" t="s">
        <v>74</v>
      </c>
      <c r="AG637">
        <v>96</v>
      </c>
      <c r="AH637">
        <v>6</v>
      </c>
      <c r="AI637">
        <v>6</v>
      </c>
      <c r="AJ637">
        <v>4</v>
      </c>
      <c r="AK637">
        <v>19</v>
      </c>
      <c r="AL637" t="s">
        <v>321</v>
      </c>
      <c r="AM637" t="s">
        <v>322</v>
      </c>
      <c r="AN637" t="s">
        <v>323</v>
      </c>
      <c r="AO637" t="s">
        <v>324</v>
      </c>
      <c r="AP637" t="s">
        <v>325</v>
      </c>
      <c r="AQ637" t="s">
        <v>74</v>
      </c>
      <c r="AR637" t="s">
        <v>326</v>
      </c>
      <c r="AS637" t="s">
        <v>327</v>
      </c>
      <c r="AT637" t="s">
        <v>12082</v>
      </c>
      <c r="AU637">
        <v>2021</v>
      </c>
      <c r="AV637" t="s">
        <v>74</v>
      </c>
      <c r="AW637" t="s">
        <v>74</v>
      </c>
      <c r="AX637" t="s">
        <v>74</v>
      </c>
      <c r="AY637" t="s">
        <v>74</v>
      </c>
      <c r="AZ637" t="s">
        <v>74</v>
      </c>
      <c r="BA637" t="s">
        <v>74</v>
      </c>
      <c r="BB637" t="s">
        <v>74</v>
      </c>
      <c r="BC637" t="s">
        <v>74</v>
      </c>
      <c r="BD637" t="s">
        <v>74</v>
      </c>
      <c r="BE637" t="s">
        <v>12083</v>
      </c>
      <c r="BF637" t="str">
        <f>HYPERLINK("http://dx.doi.org/10.1007/s10479-021-04146-5","http://dx.doi.org/10.1007/s10479-021-04146-5")</f>
        <v>http://dx.doi.org/10.1007/s10479-021-04146-5</v>
      </c>
      <c r="BG637" t="s">
        <v>74</v>
      </c>
      <c r="BH637" t="s">
        <v>1056</v>
      </c>
      <c r="BI637">
        <v>29</v>
      </c>
      <c r="BJ637" t="s">
        <v>330</v>
      </c>
      <c r="BK637" t="s">
        <v>98</v>
      </c>
      <c r="BL637" t="s">
        <v>330</v>
      </c>
      <c r="BM637" t="s">
        <v>12084</v>
      </c>
      <c r="BN637" t="s">
        <v>74</v>
      </c>
      <c r="BO637" t="s">
        <v>74</v>
      </c>
      <c r="BP637" t="s">
        <v>74</v>
      </c>
      <c r="BQ637" t="s">
        <v>74</v>
      </c>
      <c r="BR637" t="s">
        <v>102</v>
      </c>
      <c r="BS637" t="s">
        <v>12085</v>
      </c>
      <c r="BT637" t="str">
        <f>HYPERLINK("https%3A%2F%2Fwww.webofscience.com%2Fwos%2Fwoscc%2Ffull-record%2FWOS:000675796200004","View Full Record in Web of Science")</f>
        <v>View Full Record in Web of Science</v>
      </c>
    </row>
    <row r="638" spans="1:72" x14ac:dyDescent="0.2">
      <c r="A638" t="s">
        <v>72</v>
      </c>
      <c r="B638" t="s">
        <v>12086</v>
      </c>
      <c r="C638" t="s">
        <v>74</v>
      </c>
      <c r="D638" t="s">
        <v>74</v>
      </c>
      <c r="E638" t="s">
        <v>74</v>
      </c>
      <c r="F638" t="s">
        <v>12087</v>
      </c>
      <c r="G638" t="s">
        <v>74</v>
      </c>
      <c r="H638" t="s">
        <v>74</v>
      </c>
      <c r="I638" t="s">
        <v>12088</v>
      </c>
      <c r="J638" t="s">
        <v>11939</v>
      </c>
      <c r="K638" t="s">
        <v>74</v>
      </c>
      <c r="L638" t="s">
        <v>74</v>
      </c>
      <c r="M638" t="s">
        <v>78</v>
      </c>
      <c r="N638" t="s">
        <v>482</v>
      </c>
      <c r="O638" t="s">
        <v>12089</v>
      </c>
      <c r="P638">
        <v>2018</v>
      </c>
      <c r="Q638" t="s">
        <v>12090</v>
      </c>
      <c r="R638" t="s">
        <v>74</v>
      </c>
      <c r="S638" t="s">
        <v>12091</v>
      </c>
      <c r="T638" t="s">
        <v>12092</v>
      </c>
      <c r="U638" t="s">
        <v>12093</v>
      </c>
      <c r="V638" t="s">
        <v>12094</v>
      </c>
      <c r="W638" t="s">
        <v>12095</v>
      </c>
      <c r="X638" t="s">
        <v>12096</v>
      </c>
      <c r="Y638" t="s">
        <v>12097</v>
      </c>
      <c r="Z638" t="s">
        <v>12098</v>
      </c>
      <c r="AA638" t="s">
        <v>74</v>
      </c>
      <c r="AB638" t="s">
        <v>74</v>
      </c>
      <c r="AC638" t="s">
        <v>74</v>
      </c>
      <c r="AD638" t="s">
        <v>74</v>
      </c>
      <c r="AE638" t="s">
        <v>74</v>
      </c>
      <c r="AF638" t="s">
        <v>74</v>
      </c>
      <c r="AG638">
        <v>105</v>
      </c>
      <c r="AH638">
        <v>16</v>
      </c>
      <c r="AI638">
        <v>17</v>
      </c>
      <c r="AJ638">
        <v>3</v>
      </c>
      <c r="AK638">
        <v>79</v>
      </c>
      <c r="AL638" t="s">
        <v>437</v>
      </c>
      <c r="AM638" t="s">
        <v>438</v>
      </c>
      <c r="AN638" t="s">
        <v>439</v>
      </c>
      <c r="AO638" t="s">
        <v>11946</v>
      </c>
      <c r="AP638" t="s">
        <v>11947</v>
      </c>
      <c r="AQ638" t="s">
        <v>74</v>
      </c>
      <c r="AR638" t="s">
        <v>11948</v>
      </c>
      <c r="AS638" t="s">
        <v>11949</v>
      </c>
      <c r="AT638" t="s">
        <v>3677</v>
      </c>
      <c r="AU638">
        <v>2019</v>
      </c>
      <c r="AV638">
        <v>47</v>
      </c>
      <c r="AW638">
        <v>12</v>
      </c>
      <c r="AX638" t="s">
        <v>74</v>
      </c>
      <c r="AY638" t="s">
        <v>74</v>
      </c>
      <c r="AZ638" t="s">
        <v>570</v>
      </c>
      <c r="BA638" t="s">
        <v>74</v>
      </c>
      <c r="BB638">
        <v>1283</v>
      </c>
      <c r="BC638">
        <v>1299</v>
      </c>
      <c r="BD638" t="s">
        <v>74</v>
      </c>
      <c r="BE638" t="s">
        <v>12099</v>
      </c>
      <c r="BF638" t="str">
        <f>HYPERLINK("http://dx.doi.org/10.1108/IJRDM-12-2018-0281","http://dx.doi.org/10.1108/IJRDM-12-2018-0281")</f>
        <v>http://dx.doi.org/10.1108/IJRDM-12-2018-0281</v>
      </c>
      <c r="BG638" t="s">
        <v>74</v>
      </c>
      <c r="BH638" t="s">
        <v>74</v>
      </c>
      <c r="BI638">
        <v>17</v>
      </c>
      <c r="BJ638" t="s">
        <v>849</v>
      </c>
      <c r="BK638" t="s">
        <v>11193</v>
      </c>
      <c r="BL638" t="s">
        <v>419</v>
      </c>
      <c r="BM638" t="s">
        <v>12100</v>
      </c>
      <c r="BN638" t="s">
        <v>74</v>
      </c>
      <c r="BO638" t="s">
        <v>74</v>
      </c>
      <c r="BP638" t="s">
        <v>74</v>
      </c>
      <c r="BQ638" t="s">
        <v>74</v>
      </c>
      <c r="BR638" t="s">
        <v>102</v>
      </c>
      <c r="BS638" t="s">
        <v>12101</v>
      </c>
      <c r="BT638" t="str">
        <f>HYPERLINK("https%3A%2F%2Fwww.webofscience.com%2Fwos%2Fwoscc%2Ffull-record%2FWOS:000495796100005","View Full Record in Web of Science")</f>
        <v>View Full Record in Web of Science</v>
      </c>
    </row>
    <row r="639" spans="1:72" x14ac:dyDescent="0.2">
      <c r="A639" t="s">
        <v>72</v>
      </c>
      <c r="B639" t="s">
        <v>12102</v>
      </c>
      <c r="C639" t="s">
        <v>74</v>
      </c>
      <c r="D639" t="s">
        <v>74</v>
      </c>
      <c r="E639" t="s">
        <v>74</v>
      </c>
      <c r="F639" t="s">
        <v>12103</v>
      </c>
      <c r="G639" t="s">
        <v>74</v>
      </c>
      <c r="H639" t="s">
        <v>74</v>
      </c>
      <c r="I639" t="s">
        <v>12104</v>
      </c>
      <c r="J639" t="s">
        <v>7167</v>
      </c>
      <c r="K639" t="s">
        <v>74</v>
      </c>
      <c r="L639" t="s">
        <v>74</v>
      </c>
      <c r="M639" t="s">
        <v>78</v>
      </c>
      <c r="N639" t="s">
        <v>108</v>
      </c>
      <c r="O639" t="s">
        <v>74</v>
      </c>
      <c r="P639" t="s">
        <v>74</v>
      </c>
      <c r="Q639" t="s">
        <v>74</v>
      </c>
      <c r="R639" t="s">
        <v>74</v>
      </c>
      <c r="S639" t="s">
        <v>74</v>
      </c>
      <c r="T639" t="s">
        <v>12105</v>
      </c>
      <c r="U639" t="s">
        <v>12106</v>
      </c>
      <c r="V639" t="s">
        <v>12107</v>
      </c>
      <c r="W639" t="s">
        <v>12108</v>
      </c>
      <c r="X639" t="s">
        <v>12109</v>
      </c>
      <c r="Y639" t="s">
        <v>12110</v>
      </c>
      <c r="Z639" t="s">
        <v>12111</v>
      </c>
      <c r="AA639" t="s">
        <v>12112</v>
      </c>
      <c r="AB639" t="s">
        <v>12113</v>
      </c>
      <c r="AC639" t="s">
        <v>74</v>
      </c>
      <c r="AD639" t="s">
        <v>74</v>
      </c>
      <c r="AE639" t="s">
        <v>74</v>
      </c>
      <c r="AF639" t="s">
        <v>74</v>
      </c>
      <c r="AG639">
        <v>98</v>
      </c>
      <c r="AH639">
        <v>39</v>
      </c>
      <c r="AI639">
        <v>39</v>
      </c>
      <c r="AJ639">
        <v>11</v>
      </c>
      <c r="AK639">
        <v>121</v>
      </c>
      <c r="AL639" t="s">
        <v>209</v>
      </c>
      <c r="AM639" t="s">
        <v>210</v>
      </c>
      <c r="AN639" t="s">
        <v>211</v>
      </c>
      <c r="AO639" t="s">
        <v>7180</v>
      </c>
      <c r="AP639" t="s">
        <v>7181</v>
      </c>
      <c r="AQ639" t="s">
        <v>74</v>
      </c>
      <c r="AR639" t="s">
        <v>7182</v>
      </c>
      <c r="AS639" t="s">
        <v>7183</v>
      </c>
      <c r="AT639" t="s">
        <v>846</v>
      </c>
      <c r="AU639">
        <v>2019</v>
      </c>
      <c r="AV639">
        <v>144</v>
      </c>
      <c r="AW639" t="s">
        <v>74</v>
      </c>
      <c r="AX639" t="s">
        <v>74</v>
      </c>
      <c r="AY639" t="s">
        <v>74</v>
      </c>
      <c r="AZ639" t="s">
        <v>74</v>
      </c>
      <c r="BA639" t="s">
        <v>74</v>
      </c>
      <c r="BB639">
        <v>187</v>
      </c>
      <c r="BC639">
        <v>197</v>
      </c>
      <c r="BD639" t="s">
        <v>74</v>
      </c>
      <c r="BE639" t="s">
        <v>12114</v>
      </c>
      <c r="BF639" t="str">
        <f>HYPERLINK("http://dx.doi.org/10.1016/j.resconrec.2019.01.048","http://dx.doi.org/10.1016/j.resconrec.2019.01.048")</f>
        <v>http://dx.doi.org/10.1016/j.resconrec.2019.01.048</v>
      </c>
      <c r="BG639" t="s">
        <v>74</v>
      </c>
      <c r="BH639" t="s">
        <v>74</v>
      </c>
      <c r="BI639">
        <v>11</v>
      </c>
      <c r="BJ639" t="s">
        <v>7185</v>
      </c>
      <c r="BK639" t="s">
        <v>147</v>
      </c>
      <c r="BL639" t="s">
        <v>7186</v>
      </c>
      <c r="BM639" t="s">
        <v>12115</v>
      </c>
      <c r="BN639" t="s">
        <v>74</v>
      </c>
      <c r="BO639" t="s">
        <v>74</v>
      </c>
      <c r="BP639" t="s">
        <v>74</v>
      </c>
      <c r="BQ639" t="s">
        <v>74</v>
      </c>
      <c r="BR639" t="s">
        <v>102</v>
      </c>
      <c r="BS639" t="s">
        <v>12116</v>
      </c>
      <c r="BT639" t="str">
        <f>HYPERLINK("https%3A%2F%2Fwww.webofscience.com%2Fwos%2Fwoscc%2Ffull-record%2FWOS:000461534800020","View Full Record in Web of Science")</f>
        <v>View Full Record in Web of Science</v>
      </c>
    </row>
    <row r="640" spans="1:72" x14ac:dyDescent="0.2">
      <c r="A640" t="s">
        <v>72</v>
      </c>
      <c r="B640" t="s">
        <v>7545</v>
      </c>
      <c r="C640" t="s">
        <v>74</v>
      </c>
      <c r="D640" t="s">
        <v>74</v>
      </c>
      <c r="E640" t="s">
        <v>74</v>
      </c>
      <c r="F640" t="s">
        <v>7546</v>
      </c>
      <c r="G640" t="s">
        <v>74</v>
      </c>
      <c r="H640" t="s">
        <v>74</v>
      </c>
      <c r="I640" t="s">
        <v>12117</v>
      </c>
      <c r="J640" t="s">
        <v>6839</v>
      </c>
      <c r="K640" t="s">
        <v>74</v>
      </c>
      <c r="L640" t="s">
        <v>74</v>
      </c>
      <c r="M640" t="s">
        <v>78</v>
      </c>
      <c r="N640" t="s">
        <v>482</v>
      </c>
      <c r="O640" t="s">
        <v>12118</v>
      </c>
      <c r="P640" t="s">
        <v>12119</v>
      </c>
      <c r="Q640" t="s">
        <v>12120</v>
      </c>
      <c r="R640" t="s">
        <v>74</v>
      </c>
      <c r="S640" t="s">
        <v>74</v>
      </c>
      <c r="T640" t="s">
        <v>12121</v>
      </c>
      <c r="U640" t="s">
        <v>12122</v>
      </c>
      <c r="V640" t="s">
        <v>12123</v>
      </c>
      <c r="W640" t="s">
        <v>12124</v>
      </c>
      <c r="X640" t="s">
        <v>7175</v>
      </c>
      <c r="Y640" t="s">
        <v>12125</v>
      </c>
      <c r="Z640" t="s">
        <v>74</v>
      </c>
      <c r="AA640" t="s">
        <v>12126</v>
      </c>
      <c r="AB640" t="s">
        <v>7556</v>
      </c>
      <c r="AC640" t="s">
        <v>74</v>
      </c>
      <c r="AD640" t="s">
        <v>74</v>
      </c>
      <c r="AE640" t="s">
        <v>74</v>
      </c>
      <c r="AF640" t="s">
        <v>74</v>
      </c>
      <c r="AG640">
        <v>16</v>
      </c>
      <c r="AH640">
        <v>71</v>
      </c>
      <c r="AI640">
        <v>71</v>
      </c>
      <c r="AJ640">
        <v>0</v>
      </c>
      <c r="AK640">
        <v>33</v>
      </c>
      <c r="AL640" t="s">
        <v>259</v>
      </c>
      <c r="AM640" t="s">
        <v>260</v>
      </c>
      <c r="AN640" t="s">
        <v>261</v>
      </c>
      <c r="AO640" t="s">
        <v>6849</v>
      </c>
      <c r="AP640" t="s">
        <v>74</v>
      </c>
      <c r="AQ640" t="s">
        <v>74</v>
      </c>
      <c r="AR640" t="s">
        <v>6851</v>
      </c>
      <c r="AS640" t="s">
        <v>6852</v>
      </c>
      <c r="AT640" t="s">
        <v>738</v>
      </c>
      <c r="AU640">
        <v>2011</v>
      </c>
      <c r="AV640">
        <v>88</v>
      </c>
      <c r="AW640">
        <v>2</v>
      </c>
      <c r="AX640" t="s">
        <v>74</v>
      </c>
      <c r="AY640" t="s">
        <v>74</v>
      </c>
      <c r="AZ640" t="s">
        <v>570</v>
      </c>
      <c r="BA640" t="s">
        <v>74</v>
      </c>
      <c r="BB640">
        <v>545</v>
      </c>
      <c r="BC640">
        <v>550</v>
      </c>
      <c r="BD640" t="s">
        <v>74</v>
      </c>
      <c r="BE640" t="s">
        <v>12127</v>
      </c>
      <c r="BF640" t="str">
        <f>HYPERLINK("http://dx.doi.org/10.1016/j.apenergy.2010.05.019","http://dx.doi.org/10.1016/j.apenergy.2010.05.019")</f>
        <v>http://dx.doi.org/10.1016/j.apenergy.2010.05.019</v>
      </c>
      <c r="BG640" t="s">
        <v>74</v>
      </c>
      <c r="BH640" t="s">
        <v>74</v>
      </c>
      <c r="BI640">
        <v>6</v>
      </c>
      <c r="BJ640" t="s">
        <v>6854</v>
      </c>
      <c r="BK640" t="s">
        <v>3093</v>
      </c>
      <c r="BL640" t="s">
        <v>3907</v>
      </c>
      <c r="BM640" t="s">
        <v>12128</v>
      </c>
      <c r="BN640" t="s">
        <v>74</v>
      </c>
      <c r="BO640" t="s">
        <v>74</v>
      </c>
      <c r="BP640" t="s">
        <v>74</v>
      </c>
      <c r="BQ640" t="s">
        <v>74</v>
      </c>
      <c r="BR640" t="s">
        <v>102</v>
      </c>
      <c r="BS640" t="s">
        <v>12129</v>
      </c>
      <c r="BT640" t="str">
        <f>HYPERLINK("https%3A%2F%2Fwww.webofscience.com%2Fwos%2Fwoscc%2Ffull-record%2FWOS:000284974800016","View Full Record in Web of Science")</f>
        <v>View Full Record in Web of Science</v>
      </c>
    </row>
    <row r="641" spans="1:72" x14ac:dyDescent="0.2">
      <c r="A641" t="s">
        <v>72</v>
      </c>
      <c r="B641" t="s">
        <v>12130</v>
      </c>
      <c r="C641" t="s">
        <v>74</v>
      </c>
      <c r="D641" t="s">
        <v>74</v>
      </c>
      <c r="E641" t="s">
        <v>74</v>
      </c>
      <c r="F641" t="s">
        <v>12131</v>
      </c>
      <c r="G641" t="s">
        <v>74</v>
      </c>
      <c r="H641" t="s">
        <v>74</v>
      </c>
      <c r="I641" t="s">
        <v>12132</v>
      </c>
      <c r="J641" t="s">
        <v>12133</v>
      </c>
      <c r="K641" t="s">
        <v>74</v>
      </c>
      <c r="L641" t="s">
        <v>74</v>
      </c>
      <c r="M641" t="s">
        <v>78</v>
      </c>
      <c r="N641" t="s">
        <v>79</v>
      </c>
      <c r="O641" t="s">
        <v>74</v>
      </c>
      <c r="P641" t="s">
        <v>74</v>
      </c>
      <c r="Q641" t="s">
        <v>74</v>
      </c>
      <c r="R641" t="s">
        <v>74</v>
      </c>
      <c r="S641" t="s">
        <v>74</v>
      </c>
      <c r="T641" t="s">
        <v>74</v>
      </c>
      <c r="U641" t="s">
        <v>12134</v>
      </c>
      <c r="V641" t="s">
        <v>12135</v>
      </c>
      <c r="W641" t="s">
        <v>12136</v>
      </c>
      <c r="X641" t="s">
        <v>5677</v>
      </c>
      <c r="Y641" t="s">
        <v>12137</v>
      </c>
      <c r="Z641" t="s">
        <v>12138</v>
      </c>
      <c r="AA641" t="s">
        <v>74</v>
      </c>
      <c r="AB641" t="s">
        <v>12139</v>
      </c>
      <c r="AC641" t="s">
        <v>12140</v>
      </c>
      <c r="AD641" t="s">
        <v>12141</v>
      </c>
      <c r="AE641" t="s">
        <v>12142</v>
      </c>
      <c r="AF641" t="s">
        <v>74</v>
      </c>
      <c r="AG641">
        <v>110</v>
      </c>
      <c r="AH641">
        <v>0</v>
      </c>
      <c r="AI641">
        <v>0</v>
      </c>
      <c r="AJ641">
        <v>12</v>
      </c>
      <c r="AK641">
        <v>42</v>
      </c>
      <c r="AL641" t="s">
        <v>2952</v>
      </c>
      <c r="AM641" t="s">
        <v>90</v>
      </c>
      <c r="AN641" t="s">
        <v>2953</v>
      </c>
      <c r="AO641" t="s">
        <v>12143</v>
      </c>
      <c r="AP641" t="s">
        <v>12144</v>
      </c>
      <c r="AQ641" t="s">
        <v>74</v>
      </c>
      <c r="AR641" t="s">
        <v>12145</v>
      </c>
      <c r="AS641" t="s">
        <v>12146</v>
      </c>
      <c r="AT641" t="s">
        <v>12147</v>
      </c>
      <c r="AU641">
        <v>2022</v>
      </c>
      <c r="AV641">
        <v>2022</v>
      </c>
      <c r="AW641" t="s">
        <v>74</v>
      </c>
      <c r="AX641" t="s">
        <v>74</v>
      </c>
      <c r="AY641" t="s">
        <v>74</v>
      </c>
      <c r="AZ641" t="s">
        <v>74</v>
      </c>
      <c r="BA641" t="s">
        <v>74</v>
      </c>
      <c r="BB641" t="s">
        <v>74</v>
      </c>
      <c r="BC641" t="s">
        <v>74</v>
      </c>
      <c r="BD641">
        <v>7858396</v>
      </c>
      <c r="BE641" t="s">
        <v>12148</v>
      </c>
      <c r="BF641" t="str">
        <f>HYPERLINK("http://dx.doi.org/10.1155/2022/7858396","http://dx.doi.org/10.1155/2022/7858396")</f>
        <v>http://dx.doi.org/10.1155/2022/7858396</v>
      </c>
      <c r="BG641" t="s">
        <v>74</v>
      </c>
      <c r="BH641" t="s">
        <v>74</v>
      </c>
      <c r="BI641">
        <v>14</v>
      </c>
      <c r="BJ641" t="s">
        <v>1121</v>
      </c>
      <c r="BK641" t="s">
        <v>98</v>
      </c>
      <c r="BL641" t="s">
        <v>1121</v>
      </c>
      <c r="BM641" t="s">
        <v>12149</v>
      </c>
      <c r="BN641" t="s">
        <v>74</v>
      </c>
      <c r="BO641" t="s">
        <v>126</v>
      </c>
      <c r="BP641" t="s">
        <v>74</v>
      </c>
      <c r="BQ641" t="s">
        <v>74</v>
      </c>
      <c r="BR641" t="s">
        <v>102</v>
      </c>
      <c r="BS641" t="s">
        <v>12150</v>
      </c>
      <c r="BT641" t="str">
        <f>HYPERLINK("https%3A%2F%2Fwww.webofscience.com%2Fwos%2Fwoscc%2Ffull-record%2FWOS:000825124000002","View Full Record in Web of Science")</f>
        <v>View Full Record in Web of Science</v>
      </c>
    </row>
    <row r="642" spans="1:72" x14ac:dyDescent="0.2">
      <c r="A642" t="s">
        <v>72</v>
      </c>
      <c r="B642" t="s">
        <v>12151</v>
      </c>
      <c r="C642" t="s">
        <v>74</v>
      </c>
      <c r="D642" t="s">
        <v>74</v>
      </c>
      <c r="E642" t="s">
        <v>74</v>
      </c>
      <c r="F642" t="s">
        <v>12152</v>
      </c>
      <c r="G642" t="s">
        <v>74</v>
      </c>
      <c r="H642" t="s">
        <v>74</v>
      </c>
      <c r="I642" t="s">
        <v>12153</v>
      </c>
      <c r="J642" t="s">
        <v>12154</v>
      </c>
      <c r="K642" t="s">
        <v>74</v>
      </c>
      <c r="L642" t="s">
        <v>74</v>
      </c>
      <c r="M642" t="s">
        <v>78</v>
      </c>
      <c r="N642" t="s">
        <v>108</v>
      </c>
      <c r="O642" t="s">
        <v>74</v>
      </c>
      <c r="P642" t="s">
        <v>74</v>
      </c>
      <c r="Q642" t="s">
        <v>74</v>
      </c>
      <c r="R642" t="s">
        <v>74</v>
      </c>
      <c r="S642" t="s">
        <v>74</v>
      </c>
      <c r="T642" t="s">
        <v>12155</v>
      </c>
      <c r="U642" t="s">
        <v>12156</v>
      </c>
      <c r="V642" t="s">
        <v>12157</v>
      </c>
      <c r="W642" t="s">
        <v>12158</v>
      </c>
      <c r="X642" t="s">
        <v>12159</v>
      </c>
      <c r="Y642" t="s">
        <v>12160</v>
      </c>
      <c r="Z642" t="s">
        <v>12161</v>
      </c>
      <c r="AA642" t="s">
        <v>12162</v>
      </c>
      <c r="AB642" t="s">
        <v>12163</v>
      </c>
      <c r="AC642" t="s">
        <v>74</v>
      </c>
      <c r="AD642" t="s">
        <v>74</v>
      </c>
      <c r="AE642" t="s">
        <v>74</v>
      </c>
      <c r="AF642" t="s">
        <v>74</v>
      </c>
      <c r="AG642">
        <v>29</v>
      </c>
      <c r="AH642">
        <v>63</v>
      </c>
      <c r="AI642">
        <v>68</v>
      </c>
      <c r="AJ642">
        <v>4</v>
      </c>
      <c r="AK642">
        <v>88</v>
      </c>
      <c r="AL642" t="s">
        <v>543</v>
      </c>
      <c r="AM642" t="s">
        <v>260</v>
      </c>
      <c r="AN642" t="s">
        <v>544</v>
      </c>
      <c r="AO642" t="s">
        <v>12164</v>
      </c>
      <c r="AP642" t="s">
        <v>74</v>
      </c>
      <c r="AQ642" t="s">
        <v>74</v>
      </c>
      <c r="AR642" t="s">
        <v>12165</v>
      </c>
      <c r="AS642" t="s">
        <v>12166</v>
      </c>
      <c r="AT642" t="s">
        <v>372</v>
      </c>
      <c r="AU642">
        <v>2014</v>
      </c>
      <c r="AV642">
        <v>38</v>
      </c>
      <c r="AW642" t="s">
        <v>74</v>
      </c>
      <c r="AX642" t="s">
        <v>74</v>
      </c>
      <c r="AY642" t="s">
        <v>74</v>
      </c>
      <c r="AZ642" t="s">
        <v>74</v>
      </c>
      <c r="BA642" t="s">
        <v>74</v>
      </c>
      <c r="BB642">
        <v>73</v>
      </c>
      <c r="BC642">
        <v>84</v>
      </c>
      <c r="BD642" t="s">
        <v>74</v>
      </c>
      <c r="BE642" t="s">
        <v>12167</v>
      </c>
      <c r="BF642" t="str">
        <f>HYPERLINK("http://dx.doi.org/10.1016/j.trc.2013.10.012","http://dx.doi.org/10.1016/j.trc.2013.10.012")</f>
        <v>http://dx.doi.org/10.1016/j.trc.2013.10.012</v>
      </c>
      <c r="BG642" t="s">
        <v>74</v>
      </c>
      <c r="BH642" t="s">
        <v>74</v>
      </c>
      <c r="BI642">
        <v>12</v>
      </c>
      <c r="BJ642" t="s">
        <v>12168</v>
      </c>
      <c r="BK642" t="s">
        <v>98</v>
      </c>
      <c r="BL642" t="s">
        <v>219</v>
      </c>
      <c r="BM642" t="s">
        <v>12169</v>
      </c>
      <c r="BN642" t="s">
        <v>74</v>
      </c>
      <c r="BO642" t="s">
        <v>74</v>
      </c>
      <c r="BP642" t="s">
        <v>74</v>
      </c>
      <c r="BQ642" t="s">
        <v>74</v>
      </c>
      <c r="BR642" t="s">
        <v>102</v>
      </c>
      <c r="BS642" t="s">
        <v>12170</v>
      </c>
      <c r="BT642" t="str">
        <f>HYPERLINK("https%3A%2F%2Fwww.webofscience.com%2Fwos%2Fwoscc%2Ffull-record%2FWOS:000331342900006","View Full Record in Web of Science")</f>
        <v>View Full Record in Web of Science</v>
      </c>
    </row>
    <row r="643" spans="1:72" x14ac:dyDescent="0.2">
      <c r="A643" t="s">
        <v>72</v>
      </c>
      <c r="B643" t="s">
        <v>12171</v>
      </c>
      <c r="C643" t="s">
        <v>74</v>
      </c>
      <c r="D643" t="s">
        <v>74</v>
      </c>
      <c r="E643" t="s">
        <v>74</v>
      </c>
      <c r="F643" t="s">
        <v>12172</v>
      </c>
      <c r="G643" t="s">
        <v>74</v>
      </c>
      <c r="H643" t="s">
        <v>74</v>
      </c>
      <c r="I643" t="s">
        <v>12173</v>
      </c>
      <c r="J643" t="s">
        <v>12174</v>
      </c>
      <c r="K643" t="s">
        <v>74</v>
      </c>
      <c r="L643" t="s">
        <v>74</v>
      </c>
      <c r="M643" t="s">
        <v>78</v>
      </c>
      <c r="N643" t="s">
        <v>108</v>
      </c>
      <c r="O643" t="s">
        <v>74</v>
      </c>
      <c r="P643" t="s">
        <v>74</v>
      </c>
      <c r="Q643" t="s">
        <v>74</v>
      </c>
      <c r="R643" t="s">
        <v>74</v>
      </c>
      <c r="S643" t="s">
        <v>74</v>
      </c>
      <c r="T643" t="s">
        <v>12175</v>
      </c>
      <c r="U643" t="s">
        <v>12176</v>
      </c>
      <c r="V643" t="s">
        <v>12177</v>
      </c>
      <c r="W643" t="s">
        <v>12178</v>
      </c>
      <c r="X643" t="s">
        <v>12179</v>
      </c>
      <c r="Y643" t="s">
        <v>12180</v>
      </c>
      <c r="Z643" t="s">
        <v>12181</v>
      </c>
      <c r="AA643" t="s">
        <v>12182</v>
      </c>
      <c r="AB643" t="s">
        <v>12183</v>
      </c>
      <c r="AC643" t="s">
        <v>12184</v>
      </c>
      <c r="AD643" t="s">
        <v>12185</v>
      </c>
      <c r="AE643" t="s">
        <v>12186</v>
      </c>
      <c r="AF643" t="s">
        <v>74</v>
      </c>
      <c r="AG643">
        <v>45</v>
      </c>
      <c r="AH643">
        <v>0</v>
      </c>
      <c r="AI643">
        <v>0</v>
      </c>
      <c r="AJ643">
        <v>1</v>
      </c>
      <c r="AK643">
        <v>4</v>
      </c>
      <c r="AL643" t="s">
        <v>12187</v>
      </c>
      <c r="AM643" t="s">
        <v>12188</v>
      </c>
      <c r="AN643" t="s">
        <v>12189</v>
      </c>
      <c r="AO643" t="s">
        <v>12190</v>
      </c>
      <c r="AP643" t="s">
        <v>12191</v>
      </c>
      <c r="AQ643" t="s">
        <v>74</v>
      </c>
      <c r="AR643" t="s">
        <v>12192</v>
      </c>
      <c r="AS643" t="s">
        <v>12193</v>
      </c>
      <c r="AT643" t="s">
        <v>9586</v>
      </c>
      <c r="AU643">
        <v>2023</v>
      </c>
      <c r="AV643">
        <v>69</v>
      </c>
      <c r="AW643">
        <v>1</v>
      </c>
      <c r="AX643" t="s">
        <v>74</v>
      </c>
      <c r="AY643" t="s">
        <v>74</v>
      </c>
      <c r="AZ643" t="s">
        <v>74</v>
      </c>
      <c r="BA643" t="s">
        <v>74</v>
      </c>
      <c r="BB643">
        <v>24</v>
      </c>
      <c r="BC643">
        <v>36</v>
      </c>
      <c r="BD643" t="s">
        <v>74</v>
      </c>
      <c r="BE643" t="s">
        <v>12194</v>
      </c>
      <c r="BF643" t="str">
        <f>HYPERLINK("http://dx.doi.org/10.1093/forsci/fxac045","http://dx.doi.org/10.1093/forsci/fxac045")</f>
        <v>http://dx.doi.org/10.1093/forsci/fxac045</v>
      </c>
      <c r="BG643" t="s">
        <v>74</v>
      </c>
      <c r="BH643" t="s">
        <v>740</v>
      </c>
      <c r="BI643">
        <v>13</v>
      </c>
      <c r="BJ643" t="s">
        <v>8078</v>
      </c>
      <c r="BK643" t="s">
        <v>98</v>
      </c>
      <c r="BL643" t="s">
        <v>8078</v>
      </c>
      <c r="BM643" t="s">
        <v>12195</v>
      </c>
      <c r="BN643" t="s">
        <v>74</v>
      </c>
      <c r="BO643" t="s">
        <v>74</v>
      </c>
      <c r="BP643" t="s">
        <v>74</v>
      </c>
      <c r="BQ643" t="s">
        <v>74</v>
      </c>
      <c r="BR643" t="s">
        <v>102</v>
      </c>
      <c r="BS643" t="s">
        <v>12196</v>
      </c>
      <c r="BT643" t="str">
        <f>HYPERLINK("https%3A%2F%2Fwww.webofscience.com%2Fwos%2Fwoscc%2Ffull-record%2FWOS:000899537600001","View Full Record in Web of Science")</f>
        <v>View Full Record in Web of Science</v>
      </c>
    </row>
    <row r="644" spans="1:72" x14ac:dyDescent="0.2">
      <c r="A644" t="s">
        <v>475</v>
      </c>
      <c r="B644" t="s">
        <v>12197</v>
      </c>
      <c r="C644" t="s">
        <v>74</v>
      </c>
      <c r="D644" t="s">
        <v>12198</v>
      </c>
      <c r="E644" t="s">
        <v>74</v>
      </c>
      <c r="F644" t="s">
        <v>12199</v>
      </c>
      <c r="G644" t="s">
        <v>74</v>
      </c>
      <c r="H644" t="s">
        <v>74</v>
      </c>
      <c r="I644" t="s">
        <v>12200</v>
      </c>
      <c r="J644" t="s">
        <v>12201</v>
      </c>
      <c r="K644" t="s">
        <v>12202</v>
      </c>
      <c r="L644" t="s">
        <v>74</v>
      </c>
      <c r="M644" t="s">
        <v>78</v>
      </c>
      <c r="N644" t="s">
        <v>482</v>
      </c>
      <c r="O644" t="s">
        <v>12203</v>
      </c>
      <c r="P644" t="s">
        <v>12204</v>
      </c>
      <c r="Q644" t="s">
        <v>12205</v>
      </c>
      <c r="R644" t="s">
        <v>74</v>
      </c>
      <c r="S644" t="s">
        <v>74</v>
      </c>
      <c r="T644" t="s">
        <v>74</v>
      </c>
      <c r="U644" t="s">
        <v>74</v>
      </c>
      <c r="V644" t="s">
        <v>12206</v>
      </c>
      <c r="W644" t="s">
        <v>12207</v>
      </c>
      <c r="X644" t="s">
        <v>12208</v>
      </c>
      <c r="Y644" t="s">
        <v>12209</v>
      </c>
      <c r="Z644" t="s">
        <v>12210</v>
      </c>
      <c r="AA644" t="s">
        <v>12211</v>
      </c>
      <c r="AB644" t="s">
        <v>12212</v>
      </c>
      <c r="AC644" t="s">
        <v>74</v>
      </c>
      <c r="AD644" t="s">
        <v>74</v>
      </c>
      <c r="AE644" t="s">
        <v>74</v>
      </c>
      <c r="AF644" t="s">
        <v>74</v>
      </c>
      <c r="AG644">
        <v>15</v>
      </c>
      <c r="AH644">
        <v>3</v>
      </c>
      <c r="AI644">
        <v>3</v>
      </c>
      <c r="AJ644">
        <v>1</v>
      </c>
      <c r="AK644">
        <v>4</v>
      </c>
      <c r="AL644" t="s">
        <v>2363</v>
      </c>
      <c r="AM644" t="s">
        <v>2364</v>
      </c>
      <c r="AN644" t="s">
        <v>2365</v>
      </c>
      <c r="AO644" t="s">
        <v>2366</v>
      </c>
      <c r="AP644" t="s">
        <v>74</v>
      </c>
      <c r="AQ644" t="s">
        <v>12213</v>
      </c>
      <c r="AR644" t="s">
        <v>4428</v>
      </c>
      <c r="AS644" t="s">
        <v>74</v>
      </c>
      <c r="AT644" t="s">
        <v>74</v>
      </c>
      <c r="AU644">
        <v>2006</v>
      </c>
      <c r="AV644">
        <v>3937</v>
      </c>
      <c r="AW644" t="s">
        <v>74</v>
      </c>
      <c r="AX644" t="s">
        <v>74</v>
      </c>
      <c r="AY644" t="s">
        <v>74</v>
      </c>
      <c r="AZ644" t="s">
        <v>74</v>
      </c>
      <c r="BA644" t="s">
        <v>74</v>
      </c>
      <c r="BB644">
        <v>113</v>
      </c>
      <c r="BC644">
        <v>125</v>
      </c>
      <c r="BD644" t="s">
        <v>74</v>
      </c>
      <c r="BE644" t="s">
        <v>74</v>
      </c>
      <c r="BF644" t="s">
        <v>74</v>
      </c>
      <c r="BG644" t="s">
        <v>74</v>
      </c>
      <c r="BH644" t="s">
        <v>74</v>
      </c>
      <c r="BI644">
        <v>13</v>
      </c>
      <c r="BJ644" t="s">
        <v>2017</v>
      </c>
      <c r="BK644" t="s">
        <v>2370</v>
      </c>
      <c r="BL644" t="s">
        <v>99</v>
      </c>
      <c r="BM644" t="s">
        <v>12214</v>
      </c>
      <c r="BN644" t="s">
        <v>74</v>
      </c>
      <c r="BO644" t="s">
        <v>74</v>
      </c>
      <c r="BP644" t="s">
        <v>74</v>
      </c>
      <c r="BQ644" t="s">
        <v>74</v>
      </c>
      <c r="BR644" t="s">
        <v>102</v>
      </c>
      <c r="BS644" t="s">
        <v>12215</v>
      </c>
      <c r="BT644" t="str">
        <f>HYPERLINK("https%3A%2F%2Fwww.webofscience.com%2Fwos%2Fwoscc%2Ffull-record%2FWOS:000241593000009","View Full Record in Web of Science")</f>
        <v>View Full Record in Web of Science</v>
      </c>
    </row>
    <row r="645" spans="1:72" x14ac:dyDescent="0.2">
      <c r="A645" t="s">
        <v>72</v>
      </c>
      <c r="B645" t="s">
        <v>12216</v>
      </c>
      <c r="C645" t="s">
        <v>74</v>
      </c>
      <c r="D645" t="s">
        <v>74</v>
      </c>
      <c r="E645" t="s">
        <v>74</v>
      </c>
      <c r="F645" t="s">
        <v>12217</v>
      </c>
      <c r="G645" t="s">
        <v>74</v>
      </c>
      <c r="H645" t="s">
        <v>74</v>
      </c>
      <c r="I645" t="s">
        <v>12218</v>
      </c>
      <c r="J645" t="s">
        <v>10720</v>
      </c>
      <c r="K645" t="s">
        <v>74</v>
      </c>
      <c r="L645" t="s">
        <v>74</v>
      </c>
      <c r="M645" t="s">
        <v>78</v>
      </c>
      <c r="N645" t="s">
        <v>108</v>
      </c>
      <c r="O645" t="s">
        <v>74</v>
      </c>
      <c r="P645" t="s">
        <v>74</v>
      </c>
      <c r="Q645" t="s">
        <v>74</v>
      </c>
      <c r="R645" t="s">
        <v>74</v>
      </c>
      <c r="S645" t="s">
        <v>74</v>
      </c>
      <c r="T645" t="s">
        <v>12219</v>
      </c>
      <c r="U645" t="s">
        <v>12220</v>
      </c>
      <c r="V645" t="s">
        <v>12221</v>
      </c>
      <c r="W645" t="s">
        <v>12222</v>
      </c>
      <c r="X645" t="s">
        <v>12223</v>
      </c>
      <c r="Y645" t="s">
        <v>12224</v>
      </c>
      <c r="Z645" t="s">
        <v>12225</v>
      </c>
      <c r="AA645" t="s">
        <v>74</v>
      </c>
      <c r="AB645" t="s">
        <v>74</v>
      </c>
      <c r="AC645" t="s">
        <v>12226</v>
      </c>
      <c r="AD645" t="s">
        <v>12227</v>
      </c>
      <c r="AE645" t="s">
        <v>12228</v>
      </c>
      <c r="AF645" t="s">
        <v>74</v>
      </c>
      <c r="AG645">
        <v>17</v>
      </c>
      <c r="AH645">
        <v>0</v>
      </c>
      <c r="AI645">
        <v>0</v>
      </c>
      <c r="AJ645">
        <v>7</v>
      </c>
      <c r="AK645">
        <v>10</v>
      </c>
      <c r="AL645" t="s">
        <v>10731</v>
      </c>
      <c r="AM645" t="s">
        <v>2458</v>
      </c>
      <c r="AN645" t="s">
        <v>12229</v>
      </c>
      <c r="AO645" t="s">
        <v>10733</v>
      </c>
      <c r="AP645" t="s">
        <v>74</v>
      </c>
      <c r="AQ645" t="s">
        <v>74</v>
      </c>
      <c r="AR645" t="s">
        <v>10734</v>
      </c>
      <c r="AS645" t="s">
        <v>10735</v>
      </c>
      <c r="AT645" t="s">
        <v>74</v>
      </c>
      <c r="AU645">
        <v>2022</v>
      </c>
      <c r="AV645">
        <v>16</v>
      </c>
      <c r="AW645">
        <v>4</v>
      </c>
      <c r="AX645" t="s">
        <v>74</v>
      </c>
      <c r="AY645" t="s">
        <v>74</v>
      </c>
      <c r="AZ645" t="s">
        <v>74</v>
      </c>
      <c r="BA645" t="s">
        <v>74</v>
      </c>
      <c r="BB645" t="s">
        <v>74</v>
      </c>
      <c r="BC645" t="s">
        <v>74</v>
      </c>
      <c r="BD645" t="s">
        <v>12230</v>
      </c>
      <c r="BE645" t="s">
        <v>12231</v>
      </c>
      <c r="BF645" t="str">
        <f>HYPERLINK("http://dx.doi.org/10.1299/jamdsm.2022jamdsm0037","http://dx.doi.org/10.1299/jamdsm.2022jamdsm0037")</f>
        <v>http://dx.doi.org/10.1299/jamdsm.2022jamdsm0037</v>
      </c>
      <c r="BG645" t="s">
        <v>74</v>
      </c>
      <c r="BH645" t="s">
        <v>74</v>
      </c>
      <c r="BI645">
        <v>12</v>
      </c>
      <c r="BJ645" t="s">
        <v>2819</v>
      </c>
      <c r="BK645" t="s">
        <v>98</v>
      </c>
      <c r="BL645" t="s">
        <v>1292</v>
      </c>
      <c r="BM645" t="s">
        <v>12232</v>
      </c>
      <c r="BN645" t="s">
        <v>74</v>
      </c>
      <c r="BO645" t="s">
        <v>126</v>
      </c>
      <c r="BP645" t="s">
        <v>74</v>
      </c>
      <c r="BQ645" t="s">
        <v>74</v>
      </c>
      <c r="BR645" t="s">
        <v>102</v>
      </c>
      <c r="BS645" t="s">
        <v>12233</v>
      </c>
      <c r="BT645" t="str">
        <f>HYPERLINK("https%3A%2F%2Fwww.webofscience.com%2Fwos%2Fwoscc%2Ffull-record%2FWOS:000879887700012","View Full Record in Web of Science")</f>
        <v>View Full Record in Web of Science</v>
      </c>
    </row>
    <row r="646" spans="1:72" x14ac:dyDescent="0.2">
      <c r="A646" t="s">
        <v>72</v>
      </c>
      <c r="B646" t="s">
        <v>12234</v>
      </c>
      <c r="C646" t="s">
        <v>74</v>
      </c>
      <c r="D646" t="s">
        <v>74</v>
      </c>
      <c r="E646" t="s">
        <v>74</v>
      </c>
      <c r="F646" t="s">
        <v>12235</v>
      </c>
      <c r="G646" t="s">
        <v>74</v>
      </c>
      <c r="H646" t="s">
        <v>74</v>
      </c>
      <c r="I646" t="s">
        <v>12236</v>
      </c>
      <c r="J646" t="s">
        <v>6839</v>
      </c>
      <c r="K646" t="s">
        <v>74</v>
      </c>
      <c r="L646" t="s">
        <v>74</v>
      </c>
      <c r="M646" t="s">
        <v>78</v>
      </c>
      <c r="N646" t="s">
        <v>108</v>
      </c>
      <c r="O646" t="s">
        <v>74</v>
      </c>
      <c r="P646" t="s">
        <v>74</v>
      </c>
      <c r="Q646" t="s">
        <v>74</v>
      </c>
      <c r="R646" t="s">
        <v>74</v>
      </c>
      <c r="S646" t="s">
        <v>74</v>
      </c>
      <c r="T646" t="s">
        <v>12237</v>
      </c>
      <c r="U646" t="s">
        <v>12238</v>
      </c>
      <c r="V646" t="s">
        <v>12239</v>
      </c>
      <c r="W646" t="s">
        <v>12240</v>
      </c>
      <c r="X646" t="s">
        <v>12241</v>
      </c>
      <c r="Y646" t="s">
        <v>12242</v>
      </c>
      <c r="Z646" t="s">
        <v>12243</v>
      </c>
      <c r="AA646" t="s">
        <v>12244</v>
      </c>
      <c r="AB646" t="s">
        <v>12245</v>
      </c>
      <c r="AC646" t="s">
        <v>12246</v>
      </c>
      <c r="AD646" t="s">
        <v>12247</v>
      </c>
      <c r="AE646" t="s">
        <v>12248</v>
      </c>
      <c r="AF646" t="s">
        <v>74</v>
      </c>
      <c r="AG646">
        <v>64</v>
      </c>
      <c r="AH646">
        <v>3</v>
      </c>
      <c r="AI646">
        <v>3</v>
      </c>
      <c r="AJ646">
        <v>1</v>
      </c>
      <c r="AK646">
        <v>5</v>
      </c>
      <c r="AL646" t="s">
        <v>259</v>
      </c>
      <c r="AM646" t="s">
        <v>260</v>
      </c>
      <c r="AN646" t="s">
        <v>261</v>
      </c>
      <c r="AO646" t="s">
        <v>6849</v>
      </c>
      <c r="AP646" t="s">
        <v>6850</v>
      </c>
      <c r="AQ646" t="s">
        <v>74</v>
      </c>
      <c r="AR646" t="s">
        <v>6851</v>
      </c>
      <c r="AS646" t="s">
        <v>6852</v>
      </c>
      <c r="AT646" t="s">
        <v>12249</v>
      </c>
      <c r="AU646">
        <v>2022</v>
      </c>
      <c r="AV646">
        <v>322</v>
      </c>
      <c r="AW646" t="s">
        <v>74</v>
      </c>
      <c r="AX646" t="s">
        <v>74</v>
      </c>
      <c r="AY646" t="s">
        <v>74</v>
      </c>
      <c r="AZ646" t="s">
        <v>74</v>
      </c>
      <c r="BA646" t="s">
        <v>74</v>
      </c>
      <c r="BB646" t="s">
        <v>74</v>
      </c>
      <c r="BC646" t="s">
        <v>74</v>
      </c>
      <c r="BD646">
        <v>119485</v>
      </c>
      <c r="BE646" t="s">
        <v>12250</v>
      </c>
      <c r="BF646" t="str">
        <f>HYPERLINK("http://dx.doi.org/10.1016/j.apenergy.2022.119485","http://dx.doi.org/10.1016/j.apenergy.2022.119485")</f>
        <v>http://dx.doi.org/10.1016/j.apenergy.2022.119485</v>
      </c>
      <c r="BG646" t="s">
        <v>74</v>
      </c>
      <c r="BH646" t="s">
        <v>867</v>
      </c>
      <c r="BI646">
        <v>15</v>
      </c>
      <c r="BJ646" t="s">
        <v>6854</v>
      </c>
      <c r="BK646" t="s">
        <v>98</v>
      </c>
      <c r="BL646" t="s">
        <v>3907</v>
      </c>
      <c r="BM646" t="s">
        <v>12251</v>
      </c>
      <c r="BN646" t="s">
        <v>74</v>
      </c>
      <c r="BO646" t="s">
        <v>74</v>
      </c>
      <c r="BP646" t="s">
        <v>74</v>
      </c>
      <c r="BQ646" t="s">
        <v>74</v>
      </c>
      <c r="BR646" t="s">
        <v>102</v>
      </c>
      <c r="BS646" t="s">
        <v>12252</v>
      </c>
      <c r="BT646" t="str">
        <f>HYPERLINK("https%3A%2F%2Fwww.webofscience.com%2Fwos%2Fwoscc%2Ffull-record%2FWOS:000861585300003","View Full Record in Web of Science")</f>
        <v>View Full Record in Web of Science</v>
      </c>
    </row>
    <row r="647" spans="1:72" x14ac:dyDescent="0.2">
      <c r="A647" t="s">
        <v>72</v>
      </c>
      <c r="B647" t="s">
        <v>12253</v>
      </c>
      <c r="C647" t="s">
        <v>74</v>
      </c>
      <c r="D647" t="s">
        <v>74</v>
      </c>
      <c r="E647" t="s">
        <v>74</v>
      </c>
      <c r="F647" t="s">
        <v>12253</v>
      </c>
      <c r="G647" t="s">
        <v>74</v>
      </c>
      <c r="H647" t="s">
        <v>74</v>
      </c>
      <c r="I647" t="s">
        <v>12254</v>
      </c>
      <c r="J647" t="s">
        <v>5483</v>
      </c>
      <c r="K647" t="s">
        <v>74</v>
      </c>
      <c r="L647" t="s">
        <v>74</v>
      </c>
      <c r="M647" t="s">
        <v>78</v>
      </c>
      <c r="N647" t="s">
        <v>108</v>
      </c>
      <c r="O647" t="s">
        <v>74</v>
      </c>
      <c r="P647" t="s">
        <v>74</v>
      </c>
      <c r="Q647" t="s">
        <v>74</v>
      </c>
      <c r="R647" t="s">
        <v>74</v>
      </c>
      <c r="S647" t="s">
        <v>74</v>
      </c>
      <c r="T647" t="s">
        <v>12255</v>
      </c>
      <c r="U647" t="s">
        <v>74</v>
      </c>
      <c r="V647" t="s">
        <v>12256</v>
      </c>
      <c r="W647" t="s">
        <v>12257</v>
      </c>
      <c r="X647" t="s">
        <v>12258</v>
      </c>
      <c r="Y647" t="s">
        <v>74</v>
      </c>
      <c r="Z647" t="s">
        <v>74</v>
      </c>
      <c r="AA647" t="s">
        <v>74</v>
      </c>
      <c r="AB647" t="s">
        <v>74</v>
      </c>
      <c r="AC647" t="s">
        <v>74</v>
      </c>
      <c r="AD647" t="s">
        <v>74</v>
      </c>
      <c r="AE647" t="s">
        <v>74</v>
      </c>
      <c r="AF647" t="s">
        <v>74</v>
      </c>
      <c r="AG647">
        <v>0</v>
      </c>
      <c r="AH647">
        <v>13</v>
      </c>
      <c r="AI647">
        <v>13</v>
      </c>
      <c r="AJ647">
        <v>1</v>
      </c>
      <c r="AK647">
        <v>28</v>
      </c>
      <c r="AL647" t="s">
        <v>12259</v>
      </c>
      <c r="AM647" t="s">
        <v>12260</v>
      </c>
      <c r="AN647" t="s">
        <v>12261</v>
      </c>
      <c r="AO647" t="s">
        <v>5493</v>
      </c>
      <c r="AP647" t="s">
        <v>74</v>
      </c>
      <c r="AQ647" t="s">
        <v>74</v>
      </c>
      <c r="AR647" t="s">
        <v>5495</v>
      </c>
      <c r="AS647" t="s">
        <v>5496</v>
      </c>
      <c r="AT647" t="s">
        <v>74</v>
      </c>
      <c r="AU647">
        <v>2003</v>
      </c>
      <c r="AV647">
        <v>8</v>
      </c>
      <c r="AW647">
        <v>1</v>
      </c>
      <c r="AX647" t="s">
        <v>74</v>
      </c>
      <c r="AY647" t="s">
        <v>74</v>
      </c>
      <c r="AZ647" t="s">
        <v>74</v>
      </c>
      <c r="BA647" t="s">
        <v>74</v>
      </c>
      <c r="BB647">
        <v>12</v>
      </c>
      <c r="BC647">
        <v>16</v>
      </c>
      <c r="BD647" t="s">
        <v>74</v>
      </c>
      <c r="BE647" t="s">
        <v>12262</v>
      </c>
      <c r="BF647" t="str">
        <f>HYPERLINK("http://dx.doi.org/10.1108/13598540310463314","http://dx.doi.org/10.1108/13598540310463314")</f>
        <v>http://dx.doi.org/10.1108/13598540310463314</v>
      </c>
      <c r="BG647" t="s">
        <v>74</v>
      </c>
      <c r="BH647" t="s">
        <v>74</v>
      </c>
      <c r="BI647">
        <v>5</v>
      </c>
      <c r="BJ647" t="s">
        <v>849</v>
      </c>
      <c r="BK647" t="s">
        <v>242</v>
      </c>
      <c r="BL647" t="s">
        <v>419</v>
      </c>
      <c r="BM647" t="s">
        <v>12263</v>
      </c>
      <c r="BN647" t="s">
        <v>74</v>
      </c>
      <c r="BO647" t="s">
        <v>74</v>
      </c>
      <c r="BP647" t="s">
        <v>74</v>
      </c>
      <c r="BQ647" t="s">
        <v>74</v>
      </c>
      <c r="BR647" t="s">
        <v>102</v>
      </c>
      <c r="BS647" t="s">
        <v>12264</v>
      </c>
      <c r="BT647" t="str">
        <f>HYPERLINK("https%3A%2F%2Fwww.webofscience.com%2Fwos%2Fwoscc%2Ffull-record%2FWOS:000184623500002","View Full Record in Web of Science")</f>
        <v>View Full Record in Web of Science</v>
      </c>
    </row>
    <row r="648" spans="1:72" x14ac:dyDescent="0.2">
      <c r="A648" t="s">
        <v>72</v>
      </c>
      <c r="B648" t="s">
        <v>12265</v>
      </c>
      <c r="C648" t="s">
        <v>74</v>
      </c>
      <c r="D648" t="s">
        <v>74</v>
      </c>
      <c r="E648" t="s">
        <v>74</v>
      </c>
      <c r="F648" t="s">
        <v>12266</v>
      </c>
      <c r="G648" t="s">
        <v>74</v>
      </c>
      <c r="H648" t="s">
        <v>74</v>
      </c>
      <c r="I648" t="s">
        <v>12267</v>
      </c>
      <c r="J648" t="s">
        <v>12268</v>
      </c>
      <c r="K648" t="s">
        <v>74</v>
      </c>
      <c r="L648" t="s">
        <v>74</v>
      </c>
      <c r="M648" t="s">
        <v>78</v>
      </c>
      <c r="N648" t="s">
        <v>79</v>
      </c>
      <c r="O648" t="s">
        <v>74</v>
      </c>
      <c r="P648" t="s">
        <v>74</v>
      </c>
      <c r="Q648" t="s">
        <v>74</v>
      </c>
      <c r="R648" t="s">
        <v>74</v>
      </c>
      <c r="S648" t="s">
        <v>74</v>
      </c>
      <c r="T648" t="s">
        <v>12269</v>
      </c>
      <c r="U648" t="s">
        <v>12270</v>
      </c>
      <c r="V648" t="s">
        <v>12271</v>
      </c>
      <c r="W648" t="s">
        <v>12272</v>
      </c>
      <c r="X648" t="s">
        <v>12273</v>
      </c>
      <c r="Y648" t="s">
        <v>12274</v>
      </c>
      <c r="Z648" t="s">
        <v>12275</v>
      </c>
      <c r="AA648" t="s">
        <v>74</v>
      </c>
      <c r="AB648" t="s">
        <v>74</v>
      </c>
      <c r="AC648" t="s">
        <v>12276</v>
      </c>
      <c r="AD648" t="s">
        <v>987</v>
      </c>
      <c r="AE648" t="s">
        <v>12277</v>
      </c>
      <c r="AF648" t="s">
        <v>74</v>
      </c>
      <c r="AG648">
        <v>52</v>
      </c>
      <c r="AH648">
        <v>160</v>
      </c>
      <c r="AI648">
        <v>162</v>
      </c>
      <c r="AJ648">
        <v>54</v>
      </c>
      <c r="AK648">
        <v>279</v>
      </c>
      <c r="AL648" t="s">
        <v>321</v>
      </c>
      <c r="AM648" t="s">
        <v>348</v>
      </c>
      <c r="AN648" t="s">
        <v>1454</v>
      </c>
      <c r="AO648" t="s">
        <v>74</v>
      </c>
      <c r="AP648" t="s">
        <v>12278</v>
      </c>
      <c r="AQ648" t="s">
        <v>74</v>
      </c>
      <c r="AR648" t="s">
        <v>12279</v>
      </c>
      <c r="AS648" t="s">
        <v>12280</v>
      </c>
      <c r="AT648" t="s">
        <v>12281</v>
      </c>
      <c r="AU648">
        <v>2019</v>
      </c>
      <c r="AV648">
        <v>5</v>
      </c>
      <c r="AW648">
        <v>1</v>
      </c>
      <c r="AX648" t="s">
        <v>74</v>
      </c>
      <c r="AY648" t="s">
        <v>74</v>
      </c>
      <c r="AZ648" t="s">
        <v>74</v>
      </c>
      <c r="BA648" t="s">
        <v>74</v>
      </c>
      <c r="BB648" t="s">
        <v>74</v>
      </c>
      <c r="BC648" t="s">
        <v>74</v>
      </c>
      <c r="BD648">
        <v>27</v>
      </c>
      <c r="BE648" t="s">
        <v>12282</v>
      </c>
      <c r="BF648" t="str">
        <f>HYPERLINK("http://dx.doi.org/10.1186/s40854-019-0147-z","http://dx.doi.org/10.1186/s40854-019-0147-z")</f>
        <v>http://dx.doi.org/10.1186/s40854-019-0147-z</v>
      </c>
      <c r="BG648" t="s">
        <v>74</v>
      </c>
      <c r="BH648" t="s">
        <v>74</v>
      </c>
      <c r="BI648">
        <v>14</v>
      </c>
      <c r="BJ648" t="s">
        <v>12283</v>
      </c>
      <c r="BK648" t="s">
        <v>242</v>
      </c>
      <c r="BL648" t="s">
        <v>12284</v>
      </c>
      <c r="BM648" t="s">
        <v>12285</v>
      </c>
      <c r="BN648" t="s">
        <v>74</v>
      </c>
      <c r="BO648" t="s">
        <v>623</v>
      </c>
      <c r="BP648" t="s">
        <v>2105</v>
      </c>
      <c r="BQ648" t="s">
        <v>2106</v>
      </c>
      <c r="BR648" t="s">
        <v>102</v>
      </c>
      <c r="BS648" t="s">
        <v>12286</v>
      </c>
      <c r="BT648" t="str">
        <f>HYPERLINK("https%3A%2F%2Fwww.webofscience.com%2Fwos%2Fwoscc%2Ffull-record%2FWOS:000475556100001","View Full Record in Web of Science")</f>
        <v>View Full Record in Web of Science</v>
      </c>
    </row>
    <row r="649" spans="1:72" x14ac:dyDescent="0.2">
      <c r="A649" t="s">
        <v>72</v>
      </c>
      <c r="B649" t="s">
        <v>12287</v>
      </c>
      <c r="C649" t="s">
        <v>74</v>
      </c>
      <c r="D649" t="s">
        <v>74</v>
      </c>
      <c r="E649" t="s">
        <v>74</v>
      </c>
      <c r="F649" t="s">
        <v>12288</v>
      </c>
      <c r="G649" t="s">
        <v>74</v>
      </c>
      <c r="H649" t="s">
        <v>74</v>
      </c>
      <c r="I649" t="s">
        <v>12289</v>
      </c>
      <c r="J649" t="s">
        <v>1782</v>
      </c>
      <c r="K649" t="s">
        <v>74</v>
      </c>
      <c r="L649" t="s">
        <v>74</v>
      </c>
      <c r="M649" t="s">
        <v>78</v>
      </c>
      <c r="N649" t="s">
        <v>79</v>
      </c>
      <c r="O649" t="s">
        <v>74</v>
      </c>
      <c r="P649" t="s">
        <v>74</v>
      </c>
      <c r="Q649" t="s">
        <v>74</v>
      </c>
      <c r="R649" t="s">
        <v>74</v>
      </c>
      <c r="S649" t="s">
        <v>74</v>
      </c>
      <c r="T649" t="s">
        <v>12290</v>
      </c>
      <c r="U649" t="s">
        <v>12291</v>
      </c>
      <c r="V649" t="s">
        <v>12292</v>
      </c>
      <c r="W649" t="s">
        <v>12293</v>
      </c>
      <c r="X649" t="s">
        <v>12294</v>
      </c>
      <c r="Y649" t="s">
        <v>12295</v>
      </c>
      <c r="Z649" t="s">
        <v>12296</v>
      </c>
      <c r="AA649" t="s">
        <v>12297</v>
      </c>
      <c r="AB649" t="s">
        <v>12298</v>
      </c>
      <c r="AC649" t="s">
        <v>12299</v>
      </c>
      <c r="AD649" t="s">
        <v>12300</v>
      </c>
      <c r="AE649" t="s">
        <v>12301</v>
      </c>
      <c r="AF649" t="s">
        <v>74</v>
      </c>
      <c r="AG649">
        <v>228</v>
      </c>
      <c r="AH649">
        <v>76</v>
      </c>
      <c r="AI649">
        <v>78</v>
      </c>
      <c r="AJ649">
        <v>50</v>
      </c>
      <c r="AK649">
        <v>463</v>
      </c>
      <c r="AL649" t="s">
        <v>209</v>
      </c>
      <c r="AM649" t="s">
        <v>210</v>
      </c>
      <c r="AN649" t="s">
        <v>211</v>
      </c>
      <c r="AO649" t="s">
        <v>1792</v>
      </c>
      <c r="AP649" t="s">
        <v>1793</v>
      </c>
      <c r="AQ649" t="s">
        <v>74</v>
      </c>
      <c r="AR649" t="s">
        <v>1794</v>
      </c>
      <c r="AS649" t="s">
        <v>1795</v>
      </c>
      <c r="AT649" t="s">
        <v>6756</v>
      </c>
      <c r="AU649">
        <v>2021</v>
      </c>
      <c r="AV649">
        <v>290</v>
      </c>
      <c r="AW649">
        <v>3</v>
      </c>
      <c r="AX649" t="s">
        <v>74</v>
      </c>
      <c r="AY649" t="s">
        <v>74</v>
      </c>
      <c r="AZ649" t="s">
        <v>74</v>
      </c>
      <c r="BA649" t="s">
        <v>74</v>
      </c>
      <c r="BB649">
        <v>807</v>
      </c>
      <c r="BC649">
        <v>828</v>
      </c>
      <c r="BD649" t="s">
        <v>74</v>
      </c>
      <c r="BE649" t="s">
        <v>12302</v>
      </c>
      <c r="BF649" t="str">
        <f>HYPERLINK("http://dx.doi.org/10.1016/j.ejor.2020.08.045","http://dx.doi.org/10.1016/j.ejor.2020.08.045")</f>
        <v>http://dx.doi.org/10.1016/j.ejor.2020.08.045</v>
      </c>
      <c r="BG649" t="s">
        <v>74</v>
      </c>
      <c r="BH649" t="s">
        <v>2780</v>
      </c>
      <c r="BI649">
        <v>22</v>
      </c>
      <c r="BJ649" t="s">
        <v>524</v>
      </c>
      <c r="BK649" t="s">
        <v>147</v>
      </c>
      <c r="BL649" t="s">
        <v>525</v>
      </c>
      <c r="BM649" t="s">
        <v>12303</v>
      </c>
      <c r="BN649" t="s">
        <v>74</v>
      </c>
      <c r="BO649" t="s">
        <v>1833</v>
      </c>
      <c r="BP649" t="s">
        <v>74</v>
      </c>
      <c r="BQ649" t="s">
        <v>74</v>
      </c>
      <c r="BR649" t="s">
        <v>102</v>
      </c>
      <c r="BS649" t="s">
        <v>12304</v>
      </c>
      <c r="BT649" t="str">
        <f>HYPERLINK("https%3A%2F%2Fwww.webofscience.com%2Fwos%2Fwoscc%2Ffull-record%2FWOS:000605460600001","View Full Record in Web of Science")</f>
        <v>View Full Record in Web of Science</v>
      </c>
    </row>
    <row r="650" spans="1:72" x14ac:dyDescent="0.2">
      <c r="A650" t="s">
        <v>72</v>
      </c>
      <c r="B650" t="s">
        <v>12305</v>
      </c>
      <c r="C650" t="s">
        <v>74</v>
      </c>
      <c r="D650" t="s">
        <v>74</v>
      </c>
      <c r="E650" t="s">
        <v>74</v>
      </c>
      <c r="F650" t="s">
        <v>12306</v>
      </c>
      <c r="G650" t="s">
        <v>74</v>
      </c>
      <c r="H650" t="s">
        <v>74</v>
      </c>
      <c r="I650" t="s">
        <v>12307</v>
      </c>
      <c r="J650" t="s">
        <v>7167</v>
      </c>
      <c r="K650" t="s">
        <v>74</v>
      </c>
      <c r="L650" t="s">
        <v>74</v>
      </c>
      <c r="M650" t="s">
        <v>78</v>
      </c>
      <c r="N650" t="s">
        <v>108</v>
      </c>
      <c r="O650" t="s">
        <v>74</v>
      </c>
      <c r="P650" t="s">
        <v>74</v>
      </c>
      <c r="Q650" t="s">
        <v>74</v>
      </c>
      <c r="R650" t="s">
        <v>74</v>
      </c>
      <c r="S650" t="s">
        <v>74</v>
      </c>
      <c r="T650" t="s">
        <v>12308</v>
      </c>
      <c r="U650" t="s">
        <v>12309</v>
      </c>
      <c r="V650" t="s">
        <v>12310</v>
      </c>
      <c r="W650" t="s">
        <v>12311</v>
      </c>
      <c r="X650" t="s">
        <v>12312</v>
      </c>
      <c r="Y650" t="s">
        <v>12313</v>
      </c>
      <c r="Z650" t="s">
        <v>12314</v>
      </c>
      <c r="AA650" t="s">
        <v>12315</v>
      </c>
      <c r="AB650" t="s">
        <v>12316</v>
      </c>
      <c r="AC650" t="s">
        <v>12317</v>
      </c>
      <c r="AD650" t="s">
        <v>12317</v>
      </c>
      <c r="AE650" t="s">
        <v>12318</v>
      </c>
      <c r="AF650" t="s">
        <v>74</v>
      </c>
      <c r="AG650">
        <v>45</v>
      </c>
      <c r="AH650">
        <v>1</v>
      </c>
      <c r="AI650">
        <v>1</v>
      </c>
      <c r="AJ650">
        <v>11</v>
      </c>
      <c r="AK650">
        <v>11</v>
      </c>
      <c r="AL650" t="s">
        <v>209</v>
      </c>
      <c r="AM650" t="s">
        <v>210</v>
      </c>
      <c r="AN650" t="s">
        <v>211</v>
      </c>
      <c r="AO650" t="s">
        <v>7180</v>
      </c>
      <c r="AP650" t="s">
        <v>7181</v>
      </c>
      <c r="AQ650" t="s">
        <v>74</v>
      </c>
      <c r="AR650" t="s">
        <v>7182</v>
      </c>
      <c r="AS650" t="s">
        <v>7183</v>
      </c>
      <c r="AT650" t="s">
        <v>616</v>
      </c>
      <c r="AU650">
        <v>2023</v>
      </c>
      <c r="AV650">
        <v>190</v>
      </c>
      <c r="AW650" t="s">
        <v>74</v>
      </c>
      <c r="AX650" t="s">
        <v>74</v>
      </c>
      <c r="AY650" t="s">
        <v>74</v>
      </c>
      <c r="AZ650" t="s">
        <v>74</v>
      </c>
      <c r="BA650" t="s">
        <v>74</v>
      </c>
      <c r="BB650" t="s">
        <v>74</v>
      </c>
      <c r="BC650" t="s">
        <v>74</v>
      </c>
      <c r="BD650">
        <v>106876</v>
      </c>
      <c r="BE650" t="s">
        <v>12319</v>
      </c>
      <c r="BF650" t="str">
        <f>HYPERLINK("http://dx.doi.org/10.1016/j.resconrec.2023.106876","http://dx.doi.org/10.1016/j.resconrec.2023.106876")</f>
        <v>http://dx.doi.org/10.1016/j.resconrec.2023.106876</v>
      </c>
      <c r="BG650" t="s">
        <v>74</v>
      </c>
      <c r="BH650" t="s">
        <v>779</v>
      </c>
      <c r="BI650">
        <v>11</v>
      </c>
      <c r="BJ650" t="s">
        <v>7185</v>
      </c>
      <c r="BK650" t="s">
        <v>98</v>
      </c>
      <c r="BL650" t="s">
        <v>7186</v>
      </c>
      <c r="BM650" t="s">
        <v>12320</v>
      </c>
      <c r="BN650" t="s">
        <v>74</v>
      </c>
      <c r="BO650" t="s">
        <v>74</v>
      </c>
      <c r="BP650" t="s">
        <v>74</v>
      </c>
      <c r="BQ650" t="s">
        <v>74</v>
      </c>
      <c r="BR650" t="s">
        <v>102</v>
      </c>
      <c r="BS650" t="s">
        <v>12321</v>
      </c>
      <c r="BT650" t="str">
        <f>HYPERLINK("https%3A%2F%2Fwww.webofscience.com%2Fwos%2Fwoscc%2Ffull-record%2FWOS:000990577000001","View Full Record in Web of Science")</f>
        <v>View Full Record in Web of Science</v>
      </c>
    </row>
    <row r="651" spans="1:72" x14ac:dyDescent="0.2">
      <c r="A651" t="s">
        <v>72</v>
      </c>
      <c r="B651" t="s">
        <v>12322</v>
      </c>
      <c r="C651" t="s">
        <v>74</v>
      </c>
      <c r="D651" t="s">
        <v>74</v>
      </c>
      <c r="E651" t="s">
        <v>74</v>
      </c>
      <c r="F651" t="s">
        <v>12323</v>
      </c>
      <c r="G651" t="s">
        <v>74</v>
      </c>
      <c r="H651" t="s">
        <v>74</v>
      </c>
      <c r="I651" t="s">
        <v>12324</v>
      </c>
      <c r="J651" t="s">
        <v>10127</v>
      </c>
      <c r="K651" t="s">
        <v>74</v>
      </c>
      <c r="L651" t="s">
        <v>74</v>
      </c>
      <c r="M651" t="s">
        <v>78</v>
      </c>
      <c r="N651" t="s">
        <v>108</v>
      </c>
      <c r="O651" t="s">
        <v>74</v>
      </c>
      <c r="P651" t="s">
        <v>74</v>
      </c>
      <c r="Q651" t="s">
        <v>74</v>
      </c>
      <c r="R651" t="s">
        <v>74</v>
      </c>
      <c r="S651" t="s">
        <v>74</v>
      </c>
      <c r="T651" t="s">
        <v>12325</v>
      </c>
      <c r="U651" t="s">
        <v>12326</v>
      </c>
      <c r="V651" t="s">
        <v>12327</v>
      </c>
      <c r="W651" t="s">
        <v>12328</v>
      </c>
      <c r="X651" t="s">
        <v>12329</v>
      </c>
      <c r="Y651" t="s">
        <v>12330</v>
      </c>
      <c r="Z651" t="s">
        <v>12331</v>
      </c>
      <c r="AA651" t="s">
        <v>12332</v>
      </c>
      <c r="AB651" t="s">
        <v>12333</v>
      </c>
      <c r="AC651" t="s">
        <v>74</v>
      </c>
      <c r="AD651" t="s">
        <v>74</v>
      </c>
      <c r="AE651" t="s">
        <v>74</v>
      </c>
      <c r="AF651" t="s">
        <v>74</v>
      </c>
      <c r="AG651">
        <v>59</v>
      </c>
      <c r="AH651">
        <v>2</v>
      </c>
      <c r="AI651">
        <v>2</v>
      </c>
      <c r="AJ651">
        <v>1</v>
      </c>
      <c r="AK651">
        <v>5</v>
      </c>
      <c r="AL651" t="s">
        <v>116</v>
      </c>
      <c r="AM651" t="s">
        <v>117</v>
      </c>
      <c r="AN651" t="s">
        <v>118</v>
      </c>
      <c r="AO651" t="s">
        <v>74</v>
      </c>
      <c r="AP651" t="s">
        <v>10138</v>
      </c>
      <c r="AQ651" t="s">
        <v>74</v>
      </c>
      <c r="AR651" t="s">
        <v>10139</v>
      </c>
      <c r="AS651" t="s">
        <v>10140</v>
      </c>
      <c r="AT651" t="s">
        <v>121</v>
      </c>
      <c r="AU651">
        <v>2021</v>
      </c>
      <c r="AV651">
        <v>23</v>
      </c>
      <c r="AW651">
        <v>7</v>
      </c>
      <c r="AX651" t="s">
        <v>74</v>
      </c>
      <c r="AY651" t="s">
        <v>74</v>
      </c>
      <c r="AZ651" t="s">
        <v>74</v>
      </c>
      <c r="BA651" t="s">
        <v>74</v>
      </c>
      <c r="BB651" t="s">
        <v>74</v>
      </c>
      <c r="BC651" t="s">
        <v>74</v>
      </c>
      <c r="BD651">
        <v>788</v>
      </c>
      <c r="BE651" t="s">
        <v>12334</v>
      </c>
      <c r="BF651" t="str">
        <f>HYPERLINK("http://dx.doi.org/10.3390/e23070788","http://dx.doi.org/10.3390/e23070788")</f>
        <v>http://dx.doi.org/10.3390/e23070788</v>
      </c>
      <c r="BG651" t="s">
        <v>74</v>
      </c>
      <c r="BH651" t="s">
        <v>74</v>
      </c>
      <c r="BI651">
        <v>14</v>
      </c>
      <c r="BJ651" t="s">
        <v>6758</v>
      </c>
      <c r="BK651" t="s">
        <v>98</v>
      </c>
      <c r="BL651" t="s">
        <v>6759</v>
      </c>
      <c r="BM651" t="s">
        <v>12335</v>
      </c>
      <c r="BN651">
        <v>34206409</v>
      </c>
      <c r="BO651" t="s">
        <v>101</v>
      </c>
      <c r="BP651" t="s">
        <v>74</v>
      </c>
      <c r="BQ651" t="s">
        <v>74</v>
      </c>
      <c r="BR651" t="s">
        <v>102</v>
      </c>
      <c r="BS651" t="s">
        <v>12336</v>
      </c>
      <c r="BT651" t="str">
        <f>HYPERLINK("https%3A%2F%2Fwww.webofscience.com%2Fwos%2Fwoscc%2Ffull-record%2FWOS:000677337400001","View Full Record in Web of Science")</f>
        <v>View Full Record in Web of Science</v>
      </c>
    </row>
    <row r="652" spans="1:72" x14ac:dyDescent="0.2">
      <c r="A652" t="s">
        <v>72</v>
      </c>
      <c r="B652" t="s">
        <v>12337</v>
      </c>
      <c r="C652" t="s">
        <v>74</v>
      </c>
      <c r="D652" t="s">
        <v>74</v>
      </c>
      <c r="E652" t="s">
        <v>74</v>
      </c>
      <c r="F652" t="s">
        <v>12338</v>
      </c>
      <c r="G652" t="s">
        <v>74</v>
      </c>
      <c r="H652" t="s">
        <v>74</v>
      </c>
      <c r="I652" t="s">
        <v>12339</v>
      </c>
      <c r="J652" t="s">
        <v>12340</v>
      </c>
      <c r="K652" t="s">
        <v>74</v>
      </c>
      <c r="L652" t="s">
        <v>74</v>
      </c>
      <c r="M652" t="s">
        <v>78</v>
      </c>
      <c r="N652" t="s">
        <v>108</v>
      </c>
      <c r="O652" t="s">
        <v>74</v>
      </c>
      <c r="P652" t="s">
        <v>74</v>
      </c>
      <c r="Q652" t="s">
        <v>74</v>
      </c>
      <c r="R652" t="s">
        <v>74</v>
      </c>
      <c r="S652" t="s">
        <v>74</v>
      </c>
      <c r="T652" t="s">
        <v>12341</v>
      </c>
      <c r="U652" t="s">
        <v>12342</v>
      </c>
      <c r="V652" t="s">
        <v>12343</v>
      </c>
      <c r="W652" t="s">
        <v>12344</v>
      </c>
      <c r="X652" t="s">
        <v>12345</v>
      </c>
      <c r="Y652" t="s">
        <v>12346</v>
      </c>
      <c r="Z652" t="s">
        <v>12347</v>
      </c>
      <c r="AA652" t="s">
        <v>74</v>
      </c>
      <c r="AB652" t="s">
        <v>74</v>
      </c>
      <c r="AC652" t="s">
        <v>74</v>
      </c>
      <c r="AD652" t="s">
        <v>74</v>
      </c>
      <c r="AE652" t="s">
        <v>74</v>
      </c>
      <c r="AF652" t="s">
        <v>74</v>
      </c>
      <c r="AG652">
        <v>37</v>
      </c>
      <c r="AH652">
        <v>7</v>
      </c>
      <c r="AI652">
        <v>8</v>
      </c>
      <c r="AJ652">
        <v>0</v>
      </c>
      <c r="AK652">
        <v>34</v>
      </c>
      <c r="AL652" t="s">
        <v>321</v>
      </c>
      <c r="AM652" t="s">
        <v>348</v>
      </c>
      <c r="AN652" t="s">
        <v>2555</v>
      </c>
      <c r="AO652" t="s">
        <v>2556</v>
      </c>
      <c r="AP652" t="s">
        <v>2557</v>
      </c>
      <c r="AQ652" t="s">
        <v>74</v>
      </c>
      <c r="AR652" t="s">
        <v>2558</v>
      </c>
      <c r="AS652" t="s">
        <v>2559</v>
      </c>
      <c r="AT652" t="s">
        <v>216</v>
      </c>
      <c r="AU652">
        <v>2016</v>
      </c>
      <c r="AV652">
        <v>19</v>
      </c>
      <c r="AW652">
        <v>4</v>
      </c>
      <c r="AX652" t="s">
        <v>74</v>
      </c>
      <c r="AY652" t="s">
        <v>74</v>
      </c>
      <c r="AZ652" t="s">
        <v>570</v>
      </c>
      <c r="BA652" t="s">
        <v>74</v>
      </c>
      <c r="BB652">
        <v>2211</v>
      </c>
      <c r="BC652">
        <v>2223</v>
      </c>
      <c r="BD652" t="s">
        <v>74</v>
      </c>
      <c r="BE652" t="s">
        <v>12348</v>
      </c>
      <c r="BF652" t="str">
        <f>HYPERLINK("http://dx.doi.org/10.1007/s10586-016-0624-3","http://dx.doi.org/10.1007/s10586-016-0624-3")</f>
        <v>http://dx.doi.org/10.1007/s10586-016-0624-3</v>
      </c>
      <c r="BG652" t="s">
        <v>74</v>
      </c>
      <c r="BH652" t="s">
        <v>74</v>
      </c>
      <c r="BI652">
        <v>13</v>
      </c>
      <c r="BJ652" t="s">
        <v>2563</v>
      </c>
      <c r="BK652" t="s">
        <v>147</v>
      </c>
      <c r="BL652" t="s">
        <v>99</v>
      </c>
      <c r="BM652" t="s">
        <v>12349</v>
      </c>
      <c r="BN652" t="s">
        <v>74</v>
      </c>
      <c r="BO652" t="s">
        <v>74</v>
      </c>
      <c r="BP652" t="s">
        <v>74</v>
      </c>
      <c r="BQ652" t="s">
        <v>74</v>
      </c>
      <c r="BR652" t="s">
        <v>102</v>
      </c>
      <c r="BS652" t="s">
        <v>12350</v>
      </c>
      <c r="BT652" t="str">
        <f>HYPERLINK("https%3A%2F%2Fwww.webofscience.com%2Fwos%2Fwoscc%2Ffull-record%2FWOS:000388972000041","View Full Record in Web of Science")</f>
        <v>View Full Record in Web of Science</v>
      </c>
    </row>
    <row r="653" spans="1:72" x14ac:dyDescent="0.2">
      <c r="A653" t="s">
        <v>72</v>
      </c>
      <c r="B653" t="s">
        <v>12351</v>
      </c>
      <c r="C653" t="s">
        <v>74</v>
      </c>
      <c r="D653" t="s">
        <v>74</v>
      </c>
      <c r="E653" t="s">
        <v>74</v>
      </c>
      <c r="F653" t="s">
        <v>12352</v>
      </c>
      <c r="G653" t="s">
        <v>74</v>
      </c>
      <c r="H653" t="s">
        <v>74</v>
      </c>
      <c r="I653" t="s">
        <v>12353</v>
      </c>
      <c r="J653" t="s">
        <v>12354</v>
      </c>
      <c r="K653" t="s">
        <v>74</v>
      </c>
      <c r="L653" t="s">
        <v>74</v>
      </c>
      <c r="M653" t="s">
        <v>78</v>
      </c>
      <c r="N653" t="s">
        <v>917</v>
      </c>
      <c r="O653" t="s">
        <v>74</v>
      </c>
      <c r="P653" t="s">
        <v>74</v>
      </c>
      <c r="Q653" t="s">
        <v>74</v>
      </c>
      <c r="R653" t="s">
        <v>74</v>
      </c>
      <c r="S653" t="s">
        <v>74</v>
      </c>
      <c r="T653" t="s">
        <v>12355</v>
      </c>
      <c r="U653" t="s">
        <v>74</v>
      </c>
      <c r="V653" t="s">
        <v>12356</v>
      </c>
      <c r="W653" t="s">
        <v>12357</v>
      </c>
      <c r="X653" t="s">
        <v>12358</v>
      </c>
      <c r="Y653" t="s">
        <v>12359</v>
      </c>
      <c r="Z653" t="s">
        <v>12360</v>
      </c>
      <c r="AA653" t="s">
        <v>12361</v>
      </c>
      <c r="AB653" t="s">
        <v>12362</v>
      </c>
      <c r="AC653" t="s">
        <v>12363</v>
      </c>
      <c r="AD653" t="s">
        <v>12364</v>
      </c>
      <c r="AE653" t="s">
        <v>12365</v>
      </c>
      <c r="AF653" t="s">
        <v>74</v>
      </c>
      <c r="AG653">
        <v>41</v>
      </c>
      <c r="AH653">
        <v>1</v>
      </c>
      <c r="AI653">
        <v>1</v>
      </c>
      <c r="AJ653">
        <v>10</v>
      </c>
      <c r="AK653">
        <v>10</v>
      </c>
      <c r="AL653" t="s">
        <v>409</v>
      </c>
      <c r="AM653" t="s">
        <v>410</v>
      </c>
      <c r="AN653" t="s">
        <v>411</v>
      </c>
      <c r="AO653" t="s">
        <v>12366</v>
      </c>
      <c r="AP653" t="s">
        <v>12367</v>
      </c>
      <c r="AQ653" t="s">
        <v>74</v>
      </c>
      <c r="AR653" t="s">
        <v>12368</v>
      </c>
      <c r="AS653" t="s">
        <v>12369</v>
      </c>
      <c r="AT653" t="s">
        <v>9711</v>
      </c>
      <c r="AU653">
        <v>2023</v>
      </c>
      <c r="AV653" t="s">
        <v>74</v>
      </c>
      <c r="AW653" t="s">
        <v>74</v>
      </c>
      <c r="AX653" t="s">
        <v>74</v>
      </c>
      <c r="AY653" t="s">
        <v>74</v>
      </c>
      <c r="AZ653" t="s">
        <v>74</v>
      </c>
      <c r="BA653" t="s">
        <v>74</v>
      </c>
      <c r="BB653" t="s">
        <v>74</v>
      </c>
      <c r="BC653" t="s">
        <v>74</v>
      </c>
      <c r="BD653" t="s">
        <v>74</v>
      </c>
      <c r="BE653" t="s">
        <v>12370</v>
      </c>
      <c r="BF653" t="str">
        <f>HYPERLINK("http://dx.doi.org/10.1049/cit2.12218","http://dx.doi.org/10.1049/cit2.12218")</f>
        <v>http://dx.doi.org/10.1049/cit2.12218</v>
      </c>
      <c r="BG653" t="s">
        <v>74</v>
      </c>
      <c r="BH653" t="s">
        <v>930</v>
      </c>
      <c r="BI653">
        <v>15</v>
      </c>
      <c r="BJ653" t="s">
        <v>2017</v>
      </c>
      <c r="BK653" t="s">
        <v>98</v>
      </c>
      <c r="BL653" t="s">
        <v>99</v>
      </c>
      <c r="BM653" t="s">
        <v>12371</v>
      </c>
      <c r="BN653" t="s">
        <v>74</v>
      </c>
      <c r="BO653" t="s">
        <v>126</v>
      </c>
      <c r="BP653" t="s">
        <v>74</v>
      </c>
      <c r="BQ653" t="s">
        <v>74</v>
      </c>
      <c r="BR653" t="s">
        <v>102</v>
      </c>
      <c r="BS653" t="s">
        <v>12372</v>
      </c>
      <c r="BT653" t="str">
        <f>HYPERLINK("https%3A%2F%2Fwww.webofscience.com%2Fwos%2Fwoscc%2Ffull-record%2FWOS:000980347100001","View Full Record in Web of Science")</f>
        <v>View Full Record in Web of Science</v>
      </c>
    </row>
    <row r="654" spans="1:72" x14ac:dyDescent="0.2">
      <c r="A654" t="s">
        <v>72</v>
      </c>
      <c r="B654" t="s">
        <v>12373</v>
      </c>
      <c r="C654" t="s">
        <v>74</v>
      </c>
      <c r="D654" t="s">
        <v>74</v>
      </c>
      <c r="E654" t="s">
        <v>74</v>
      </c>
      <c r="F654" t="s">
        <v>12374</v>
      </c>
      <c r="G654" t="s">
        <v>74</v>
      </c>
      <c r="H654" t="s">
        <v>74</v>
      </c>
      <c r="I654" t="s">
        <v>12375</v>
      </c>
      <c r="J654" t="s">
        <v>12376</v>
      </c>
      <c r="K654" t="s">
        <v>74</v>
      </c>
      <c r="L654" t="s">
        <v>74</v>
      </c>
      <c r="M654" t="s">
        <v>78</v>
      </c>
      <c r="N654" t="s">
        <v>108</v>
      </c>
      <c r="O654" t="s">
        <v>74</v>
      </c>
      <c r="P654" t="s">
        <v>74</v>
      </c>
      <c r="Q654" t="s">
        <v>74</v>
      </c>
      <c r="R654" t="s">
        <v>74</v>
      </c>
      <c r="S654" t="s">
        <v>74</v>
      </c>
      <c r="T654" t="s">
        <v>74</v>
      </c>
      <c r="U654" t="s">
        <v>12377</v>
      </c>
      <c r="V654" t="s">
        <v>12378</v>
      </c>
      <c r="W654" t="s">
        <v>12379</v>
      </c>
      <c r="X654" t="s">
        <v>12380</v>
      </c>
      <c r="Y654" t="s">
        <v>12381</v>
      </c>
      <c r="Z654" t="s">
        <v>12382</v>
      </c>
      <c r="AA654" t="s">
        <v>12383</v>
      </c>
      <c r="AB654" t="s">
        <v>12384</v>
      </c>
      <c r="AC654" t="s">
        <v>12385</v>
      </c>
      <c r="AD654" t="s">
        <v>12386</v>
      </c>
      <c r="AE654" t="s">
        <v>12387</v>
      </c>
      <c r="AF654" t="s">
        <v>74</v>
      </c>
      <c r="AG654">
        <v>48</v>
      </c>
      <c r="AH654">
        <v>3</v>
      </c>
      <c r="AI654">
        <v>3</v>
      </c>
      <c r="AJ654">
        <v>1</v>
      </c>
      <c r="AK654">
        <v>19</v>
      </c>
      <c r="AL654" t="s">
        <v>2952</v>
      </c>
      <c r="AM654" t="s">
        <v>90</v>
      </c>
      <c r="AN654" t="s">
        <v>2953</v>
      </c>
      <c r="AO654" t="s">
        <v>12388</v>
      </c>
      <c r="AP654" t="s">
        <v>12389</v>
      </c>
      <c r="AQ654" t="s">
        <v>74</v>
      </c>
      <c r="AR654" t="s">
        <v>12390</v>
      </c>
      <c r="AS654" t="s">
        <v>12391</v>
      </c>
      <c r="AT654" t="s">
        <v>12392</v>
      </c>
      <c r="AU654">
        <v>2020</v>
      </c>
      <c r="AV654">
        <v>2020</v>
      </c>
      <c r="AW654" t="s">
        <v>74</v>
      </c>
      <c r="AX654" t="s">
        <v>74</v>
      </c>
      <c r="AY654" t="s">
        <v>74</v>
      </c>
      <c r="AZ654" t="s">
        <v>74</v>
      </c>
      <c r="BA654" t="s">
        <v>74</v>
      </c>
      <c r="BB654" t="s">
        <v>74</v>
      </c>
      <c r="BC654" t="s">
        <v>74</v>
      </c>
      <c r="BD654">
        <v>8843397</v>
      </c>
      <c r="BE654" t="s">
        <v>12393</v>
      </c>
      <c r="BF654" t="str">
        <f>HYPERLINK("http://dx.doi.org/10.1155/2020/8843397","http://dx.doi.org/10.1155/2020/8843397")</f>
        <v>http://dx.doi.org/10.1155/2020/8843397</v>
      </c>
      <c r="BG654" t="s">
        <v>74</v>
      </c>
      <c r="BH654" t="s">
        <v>74</v>
      </c>
      <c r="BI654">
        <v>22</v>
      </c>
      <c r="BJ654" t="s">
        <v>12394</v>
      </c>
      <c r="BK654" t="s">
        <v>98</v>
      </c>
      <c r="BL654" t="s">
        <v>7606</v>
      </c>
      <c r="BM654" t="s">
        <v>12395</v>
      </c>
      <c r="BN654" t="s">
        <v>74</v>
      </c>
      <c r="BO654" t="s">
        <v>126</v>
      </c>
      <c r="BP654" t="s">
        <v>74</v>
      </c>
      <c r="BQ654" t="s">
        <v>74</v>
      </c>
      <c r="BR654" t="s">
        <v>102</v>
      </c>
      <c r="BS654" t="s">
        <v>12396</v>
      </c>
      <c r="BT654" t="str">
        <f>HYPERLINK("https%3A%2F%2Fwww.webofscience.com%2Fwos%2Fwoscc%2Ffull-record%2FWOS:000591585900003","View Full Record in Web of Science")</f>
        <v>View Full Record in Web of Science</v>
      </c>
    </row>
    <row r="655" spans="1:72" x14ac:dyDescent="0.2">
      <c r="A655" t="s">
        <v>72</v>
      </c>
      <c r="B655" t="s">
        <v>12397</v>
      </c>
      <c r="C655" t="s">
        <v>74</v>
      </c>
      <c r="D655" t="s">
        <v>74</v>
      </c>
      <c r="E655" t="s">
        <v>74</v>
      </c>
      <c r="F655" t="s">
        <v>12398</v>
      </c>
      <c r="G655" t="s">
        <v>74</v>
      </c>
      <c r="H655" t="s">
        <v>74</v>
      </c>
      <c r="I655" t="s">
        <v>12399</v>
      </c>
      <c r="J655" t="s">
        <v>4384</v>
      </c>
      <c r="K655" t="s">
        <v>74</v>
      </c>
      <c r="L655" t="s">
        <v>74</v>
      </c>
      <c r="M655" t="s">
        <v>78</v>
      </c>
      <c r="N655" t="s">
        <v>108</v>
      </c>
      <c r="O655" t="s">
        <v>74</v>
      </c>
      <c r="P655" t="s">
        <v>74</v>
      </c>
      <c r="Q655" t="s">
        <v>74</v>
      </c>
      <c r="R655" t="s">
        <v>74</v>
      </c>
      <c r="S655" t="s">
        <v>74</v>
      </c>
      <c r="T655" t="s">
        <v>12400</v>
      </c>
      <c r="U655" t="s">
        <v>12401</v>
      </c>
      <c r="V655" t="s">
        <v>12402</v>
      </c>
      <c r="W655" t="s">
        <v>12403</v>
      </c>
      <c r="X655" t="s">
        <v>2626</v>
      </c>
      <c r="Y655" t="s">
        <v>12404</v>
      </c>
      <c r="Z655" t="s">
        <v>12405</v>
      </c>
      <c r="AA655" t="s">
        <v>12406</v>
      </c>
      <c r="AB655" t="s">
        <v>12407</v>
      </c>
      <c r="AC655" t="s">
        <v>12408</v>
      </c>
      <c r="AD655" t="s">
        <v>12409</v>
      </c>
      <c r="AE655" t="s">
        <v>12410</v>
      </c>
      <c r="AF655" t="s">
        <v>74</v>
      </c>
      <c r="AG655">
        <v>57</v>
      </c>
      <c r="AH655">
        <v>0</v>
      </c>
      <c r="AI655">
        <v>0</v>
      </c>
      <c r="AJ655">
        <v>9</v>
      </c>
      <c r="AK655">
        <v>10</v>
      </c>
      <c r="AL655" t="s">
        <v>167</v>
      </c>
      <c r="AM655" t="s">
        <v>168</v>
      </c>
      <c r="AN655" t="s">
        <v>169</v>
      </c>
      <c r="AO655" t="s">
        <v>4393</v>
      </c>
      <c r="AP655" t="s">
        <v>74</v>
      </c>
      <c r="AQ655" t="s">
        <v>74</v>
      </c>
      <c r="AR655" t="s">
        <v>4384</v>
      </c>
      <c r="AS655" t="s">
        <v>4394</v>
      </c>
      <c r="AT655" t="s">
        <v>74</v>
      </c>
      <c r="AU655">
        <v>2023</v>
      </c>
      <c r="AV655">
        <v>11</v>
      </c>
      <c r="AW655" t="s">
        <v>74</v>
      </c>
      <c r="AX655" t="s">
        <v>74</v>
      </c>
      <c r="AY655" t="s">
        <v>74</v>
      </c>
      <c r="AZ655" t="s">
        <v>74</v>
      </c>
      <c r="BA655" t="s">
        <v>74</v>
      </c>
      <c r="BB655">
        <v>8119</v>
      </c>
      <c r="BC655">
        <v>8135</v>
      </c>
      <c r="BD655" t="s">
        <v>74</v>
      </c>
      <c r="BE655" t="s">
        <v>12411</v>
      </c>
      <c r="BF655" t="str">
        <f>HYPERLINK("http://dx.doi.org/10.1109/ACCESS.2022.3232299","http://dx.doi.org/10.1109/ACCESS.2022.3232299")</f>
        <v>http://dx.doi.org/10.1109/ACCESS.2022.3232299</v>
      </c>
      <c r="BG655" t="s">
        <v>74</v>
      </c>
      <c r="BH655" t="s">
        <v>74</v>
      </c>
      <c r="BI655">
        <v>17</v>
      </c>
      <c r="BJ655" t="s">
        <v>2959</v>
      </c>
      <c r="BK655" t="s">
        <v>98</v>
      </c>
      <c r="BL655" t="s">
        <v>2960</v>
      </c>
      <c r="BM655" t="s">
        <v>12412</v>
      </c>
      <c r="BN655" t="s">
        <v>74</v>
      </c>
      <c r="BO655" t="s">
        <v>150</v>
      </c>
      <c r="BP655" t="s">
        <v>74</v>
      </c>
      <c r="BQ655" t="s">
        <v>74</v>
      </c>
      <c r="BR655" t="s">
        <v>102</v>
      </c>
      <c r="BS655" t="s">
        <v>12413</v>
      </c>
      <c r="BT655" t="str">
        <f>HYPERLINK("https%3A%2F%2Fwww.webofscience.com%2Fwos%2Fwoscc%2Ffull-record%2FWOS:000923719200001","View Full Record in Web of Science")</f>
        <v>View Full Record in Web of Science</v>
      </c>
    </row>
    <row r="656" spans="1:72" x14ac:dyDescent="0.2">
      <c r="A656" t="s">
        <v>72</v>
      </c>
      <c r="B656" t="s">
        <v>12414</v>
      </c>
      <c r="C656" t="s">
        <v>74</v>
      </c>
      <c r="D656" t="s">
        <v>74</v>
      </c>
      <c r="E656" t="s">
        <v>74</v>
      </c>
      <c r="F656" t="s">
        <v>12415</v>
      </c>
      <c r="G656" t="s">
        <v>74</v>
      </c>
      <c r="H656" t="s">
        <v>74</v>
      </c>
      <c r="I656" t="s">
        <v>12416</v>
      </c>
      <c r="J656" t="s">
        <v>11064</v>
      </c>
      <c r="K656" t="s">
        <v>74</v>
      </c>
      <c r="L656" t="s">
        <v>74</v>
      </c>
      <c r="M656" t="s">
        <v>78</v>
      </c>
      <c r="N656" t="s">
        <v>108</v>
      </c>
      <c r="O656" t="s">
        <v>74</v>
      </c>
      <c r="P656" t="s">
        <v>74</v>
      </c>
      <c r="Q656" t="s">
        <v>74</v>
      </c>
      <c r="R656" t="s">
        <v>74</v>
      </c>
      <c r="S656" t="s">
        <v>74</v>
      </c>
      <c r="T656" t="s">
        <v>12417</v>
      </c>
      <c r="U656" t="s">
        <v>12418</v>
      </c>
      <c r="V656" t="s">
        <v>12419</v>
      </c>
      <c r="W656" t="s">
        <v>12420</v>
      </c>
      <c r="X656" t="s">
        <v>12421</v>
      </c>
      <c r="Y656" t="s">
        <v>12422</v>
      </c>
      <c r="Z656" t="s">
        <v>12423</v>
      </c>
      <c r="AA656" t="s">
        <v>12424</v>
      </c>
      <c r="AB656" t="s">
        <v>12425</v>
      </c>
      <c r="AC656" t="s">
        <v>74</v>
      </c>
      <c r="AD656" t="s">
        <v>74</v>
      </c>
      <c r="AE656" t="s">
        <v>74</v>
      </c>
      <c r="AF656" t="s">
        <v>74</v>
      </c>
      <c r="AG656">
        <v>59</v>
      </c>
      <c r="AH656">
        <v>13</v>
      </c>
      <c r="AI656">
        <v>13</v>
      </c>
      <c r="AJ656">
        <v>0</v>
      </c>
      <c r="AK656">
        <v>37</v>
      </c>
      <c r="AL656" t="s">
        <v>409</v>
      </c>
      <c r="AM656" t="s">
        <v>410</v>
      </c>
      <c r="AN656" t="s">
        <v>411</v>
      </c>
      <c r="AO656" t="s">
        <v>11074</v>
      </c>
      <c r="AP656" t="s">
        <v>11075</v>
      </c>
      <c r="AQ656" t="s">
        <v>74</v>
      </c>
      <c r="AR656" t="s">
        <v>11076</v>
      </c>
      <c r="AS656" t="s">
        <v>11077</v>
      </c>
      <c r="AT656" t="s">
        <v>2693</v>
      </c>
      <c r="AU656">
        <v>2014</v>
      </c>
      <c r="AV656">
        <v>31</v>
      </c>
      <c r="AW656">
        <v>3</v>
      </c>
      <c r="AX656" t="s">
        <v>74</v>
      </c>
      <c r="AY656" t="s">
        <v>74</v>
      </c>
      <c r="AZ656" t="s">
        <v>570</v>
      </c>
      <c r="BA656" t="s">
        <v>74</v>
      </c>
      <c r="BB656">
        <v>383</v>
      </c>
      <c r="BC656">
        <v>397</v>
      </c>
      <c r="BD656" t="s">
        <v>74</v>
      </c>
      <c r="BE656" t="s">
        <v>12426</v>
      </c>
      <c r="BF656" t="str">
        <f>HYPERLINK("http://dx.doi.org/10.1002/sres.2278","http://dx.doi.org/10.1002/sres.2278")</f>
        <v>http://dx.doi.org/10.1002/sres.2278</v>
      </c>
      <c r="BG656" t="s">
        <v>74</v>
      </c>
      <c r="BH656" t="s">
        <v>74</v>
      </c>
      <c r="BI656">
        <v>15</v>
      </c>
      <c r="BJ656" t="s">
        <v>11079</v>
      </c>
      <c r="BK656" t="s">
        <v>242</v>
      </c>
      <c r="BL656" t="s">
        <v>647</v>
      </c>
      <c r="BM656" t="s">
        <v>12427</v>
      </c>
      <c r="BN656" t="s">
        <v>74</v>
      </c>
      <c r="BO656" t="s">
        <v>74</v>
      </c>
      <c r="BP656" t="s">
        <v>74</v>
      </c>
      <c r="BQ656" t="s">
        <v>74</v>
      </c>
      <c r="BR656" t="s">
        <v>102</v>
      </c>
      <c r="BS656" t="s">
        <v>12428</v>
      </c>
      <c r="BT656" t="str">
        <f>HYPERLINK("https%3A%2F%2Fwww.webofscience.com%2Fwos%2Fwoscc%2Ffull-record%2FWOS:000340253200005","View Full Record in Web of Science")</f>
        <v>View Full Record in Web of Science</v>
      </c>
    </row>
    <row r="657" spans="1:72" x14ac:dyDescent="0.2">
      <c r="A657" t="s">
        <v>475</v>
      </c>
      <c r="B657" t="s">
        <v>12429</v>
      </c>
      <c r="C657" t="s">
        <v>74</v>
      </c>
      <c r="D657" t="s">
        <v>12430</v>
      </c>
      <c r="E657" t="s">
        <v>74</v>
      </c>
      <c r="F657" t="s">
        <v>12431</v>
      </c>
      <c r="G657" t="s">
        <v>74</v>
      </c>
      <c r="H657" t="s">
        <v>74</v>
      </c>
      <c r="I657" t="s">
        <v>12432</v>
      </c>
      <c r="J657" t="s">
        <v>12433</v>
      </c>
      <c r="K657" t="s">
        <v>4416</v>
      </c>
      <c r="L657" t="s">
        <v>74</v>
      </c>
      <c r="M657" t="s">
        <v>78</v>
      </c>
      <c r="N657" t="s">
        <v>482</v>
      </c>
      <c r="O657" t="s">
        <v>12434</v>
      </c>
      <c r="P657" t="s">
        <v>12435</v>
      </c>
      <c r="Q657" t="s">
        <v>12436</v>
      </c>
      <c r="R657" t="s">
        <v>12437</v>
      </c>
      <c r="S657" t="s">
        <v>74</v>
      </c>
      <c r="T657" t="s">
        <v>74</v>
      </c>
      <c r="U657" t="s">
        <v>74</v>
      </c>
      <c r="V657" t="s">
        <v>12438</v>
      </c>
      <c r="W657" t="s">
        <v>12439</v>
      </c>
      <c r="X657" t="s">
        <v>5131</v>
      </c>
      <c r="Y657" t="s">
        <v>12440</v>
      </c>
      <c r="Z657" t="s">
        <v>12441</v>
      </c>
      <c r="AA657" t="s">
        <v>12442</v>
      </c>
      <c r="AB657" t="s">
        <v>74</v>
      </c>
      <c r="AC657" t="s">
        <v>74</v>
      </c>
      <c r="AD657" t="s">
        <v>74</v>
      </c>
      <c r="AE657" t="s">
        <v>74</v>
      </c>
      <c r="AF657" t="s">
        <v>74</v>
      </c>
      <c r="AG657">
        <v>17</v>
      </c>
      <c r="AH657">
        <v>23</v>
      </c>
      <c r="AI657">
        <v>24</v>
      </c>
      <c r="AJ657">
        <v>0</v>
      </c>
      <c r="AK657">
        <v>7</v>
      </c>
      <c r="AL657" t="s">
        <v>2363</v>
      </c>
      <c r="AM657" t="s">
        <v>2364</v>
      </c>
      <c r="AN657" t="s">
        <v>2365</v>
      </c>
      <c r="AO657" t="s">
        <v>2366</v>
      </c>
      <c r="AP657" t="s">
        <v>2367</v>
      </c>
      <c r="AQ657" t="s">
        <v>12443</v>
      </c>
      <c r="AR657" t="s">
        <v>4428</v>
      </c>
      <c r="AS657" t="s">
        <v>74</v>
      </c>
      <c r="AT657" t="s">
        <v>74</v>
      </c>
      <c r="AU657">
        <v>2006</v>
      </c>
      <c r="AV657">
        <v>4093</v>
      </c>
      <c r="AW657" t="s">
        <v>74</v>
      </c>
      <c r="AX657" t="s">
        <v>74</v>
      </c>
      <c r="AY657" t="s">
        <v>74</v>
      </c>
      <c r="AZ657" t="s">
        <v>74</v>
      </c>
      <c r="BA657" t="s">
        <v>74</v>
      </c>
      <c r="BB657">
        <v>1</v>
      </c>
      <c r="BC657">
        <v>18</v>
      </c>
      <c r="BD657" t="s">
        <v>74</v>
      </c>
      <c r="BE657" t="s">
        <v>74</v>
      </c>
      <c r="BF657" t="s">
        <v>74</v>
      </c>
      <c r="BG657" t="s">
        <v>74</v>
      </c>
      <c r="BH657" t="s">
        <v>74</v>
      </c>
      <c r="BI657">
        <v>18</v>
      </c>
      <c r="BJ657" t="s">
        <v>5057</v>
      </c>
      <c r="BK657" t="s">
        <v>2370</v>
      </c>
      <c r="BL657" t="s">
        <v>99</v>
      </c>
      <c r="BM657" t="s">
        <v>12444</v>
      </c>
      <c r="BN657" t="s">
        <v>74</v>
      </c>
      <c r="BO657" t="s">
        <v>74</v>
      </c>
      <c r="BP657" t="s">
        <v>74</v>
      </c>
      <c r="BQ657" t="s">
        <v>74</v>
      </c>
      <c r="BR657" t="s">
        <v>102</v>
      </c>
      <c r="BS657" t="s">
        <v>12445</v>
      </c>
      <c r="BT657" t="str">
        <f>HYPERLINK("https%3A%2F%2Fwww.webofscience.com%2Fwos%2Fwoscc%2Ffull-record%2FWOS:000240088200001","View Full Record in Web of Science")</f>
        <v>View Full Record in Web of Science</v>
      </c>
    </row>
    <row r="658" spans="1:72" x14ac:dyDescent="0.2">
      <c r="A658" t="s">
        <v>72</v>
      </c>
      <c r="B658" t="s">
        <v>12446</v>
      </c>
      <c r="C658" t="s">
        <v>74</v>
      </c>
      <c r="D658" t="s">
        <v>74</v>
      </c>
      <c r="E658" t="s">
        <v>74</v>
      </c>
      <c r="F658" t="s">
        <v>12447</v>
      </c>
      <c r="G658" t="s">
        <v>74</v>
      </c>
      <c r="H658" t="s">
        <v>74</v>
      </c>
      <c r="I658" t="s">
        <v>12448</v>
      </c>
      <c r="J658" t="s">
        <v>12449</v>
      </c>
      <c r="K658" t="s">
        <v>74</v>
      </c>
      <c r="L658" t="s">
        <v>74</v>
      </c>
      <c r="M658" t="s">
        <v>78</v>
      </c>
      <c r="N658" t="s">
        <v>108</v>
      </c>
      <c r="O658" t="s">
        <v>74</v>
      </c>
      <c r="P658" t="s">
        <v>74</v>
      </c>
      <c r="Q658" t="s">
        <v>74</v>
      </c>
      <c r="R658" t="s">
        <v>74</v>
      </c>
      <c r="S658" t="s">
        <v>74</v>
      </c>
      <c r="T658" t="s">
        <v>74</v>
      </c>
      <c r="U658" t="s">
        <v>74</v>
      </c>
      <c r="V658" t="s">
        <v>12450</v>
      </c>
      <c r="W658" t="s">
        <v>12451</v>
      </c>
      <c r="X658" t="s">
        <v>12452</v>
      </c>
      <c r="Y658" t="s">
        <v>12453</v>
      </c>
      <c r="Z658" t="s">
        <v>12454</v>
      </c>
      <c r="AA658" t="s">
        <v>12455</v>
      </c>
      <c r="AB658" t="s">
        <v>12456</v>
      </c>
      <c r="AC658" t="s">
        <v>12457</v>
      </c>
      <c r="AD658" t="s">
        <v>12458</v>
      </c>
      <c r="AE658" t="s">
        <v>12459</v>
      </c>
      <c r="AF658" t="s">
        <v>74</v>
      </c>
      <c r="AG658">
        <v>30</v>
      </c>
      <c r="AH658">
        <v>7</v>
      </c>
      <c r="AI658">
        <v>7</v>
      </c>
      <c r="AJ658">
        <v>2</v>
      </c>
      <c r="AK658">
        <v>4</v>
      </c>
      <c r="AL658" t="s">
        <v>12460</v>
      </c>
      <c r="AM658" t="s">
        <v>12461</v>
      </c>
      <c r="AN658" t="s">
        <v>12462</v>
      </c>
      <c r="AO658" t="s">
        <v>12463</v>
      </c>
      <c r="AP658" t="s">
        <v>12464</v>
      </c>
      <c r="AQ658" t="s">
        <v>74</v>
      </c>
      <c r="AR658" t="s">
        <v>12465</v>
      </c>
      <c r="AS658" t="s">
        <v>12466</v>
      </c>
      <c r="AT658" t="s">
        <v>416</v>
      </c>
      <c r="AU658">
        <v>2021</v>
      </c>
      <c r="AV658">
        <v>11</v>
      </c>
      <c r="AW658">
        <v>2</v>
      </c>
      <c r="AX658" t="s">
        <v>74</v>
      </c>
      <c r="AY658" t="s">
        <v>74</v>
      </c>
      <c r="AZ658" t="s">
        <v>74</v>
      </c>
      <c r="BA658" t="s">
        <v>74</v>
      </c>
      <c r="BB658">
        <v>109</v>
      </c>
      <c r="BC658">
        <v>120</v>
      </c>
      <c r="BD658" t="s">
        <v>74</v>
      </c>
      <c r="BE658" t="s">
        <v>12467</v>
      </c>
      <c r="BF658" t="str">
        <f>HYPERLINK("http://dx.doi.org/10.1049/els2.12009","http://dx.doi.org/10.1049/els2.12009")</f>
        <v>http://dx.doi.org/10.1049/els2.12009</v>
      </c>
      <c r="BG658" t="s">
        <v>74</v>
      </c>
      <c r="BH658" t="s">
        <v>2780</v>
      </c>
      <c r="BI658">
        <v>12</v>
      </c>
      <c r="BJ658" t="s">
        <v>12468</v>
      </c>
      <c r="BK658" t="s">
        <v>98</v>
      </c>
      <c r="BL658" t="s">
        <v>7606</v>
      </c>
      <c r="BM658" t="s">
        <v>12469</v>
      </c>
      <c r="BN658" t="s">
        <v>74</v>
      </c>
      <c r="BO658" t="s">
        <v>101</v>
      </c>
      <c r="BP658" t="s">
        <v>74</v>
      </c>
      <c r="BQ658" t="s">
        <v>74</v>
      </c>
      <c r="BR658" t="s">
        <v>102</v>
      </c>
      <c r="BS658" t="s">
        <v>12470</v>
      </c>
      <c r="BT658" t="str">
        <f>HYPERLINK("https%3A%2F%2Fwww.webofscience.com%2Fwos%2Fwoscc%2Ffull-record%2FWOS:000614527400001","View Full Record in Web of Science")</f>
        <v>View Full Record in Web of Science</v>
      </c>
    </row>
    <row r="659" spans="1:72" x14ac:dyDescent="0.2">
      <c r="A659" t="s">
        <v>72</v>
      </c>
      <c r="B659" t="s">
        <v>12471</v>
      </c>
      <c r="C659" t="s">
        <v>74</v>
      </c>
      <c r="D659" t="s">
        <v>74</v>
      </c>
      <c r="E659" t="s">
        <v>74</v>
      </c>
      <c r="F659" t="s">
        <v>12472</v>
      </c>
      <c r="G659" t="s">
        <v>74</v>
      </c>
      <c r="H659" t="s">
        <v>74</v>
      </c>
      <c r="I659" t="s">
        <v>12473</v>
      </c>
      <c r="J659" t="s">
        <v>12474</v>
      </c>
      <c r="K659" t="s">
        <v>74</v>
      </c>
      <c r="L659" t="s">
        <v>74</v>
      </c>
      <c r="M659" t="s">
        <v>78</v>
      </c>
      <c r="N659" t="s">
        <v>108</v>
      </c>
      <c r="O659" t="s">
        <v>74</v>
      </c>
      <c r="P659" t="s">
        <v>74</v>
      </c>
      <c r="Q659" t="s">
        <v>74</v>
      </c>
      <c r="R659" t="s">
        <v>74</v>
      </c>
      <c r="S659" t="s">
        <v>74</v>
      </c>
      <c r="T659" t="s">
        <v>12475</v>
      </c>
      <c r="U659" t="s">
        <v>12476</v>
      </c>
      <c r="V659" t="s">
        <v>12477</v>
      </c>
      <c r="W659" t="s">
        <v>12478</v>
      </c>
      <c r="X659" t="s">
        <v>12479</v>
      </c>
      <c r="Y659" t="s">
        <v>12480</v>
      </c>
      <c r="Z659" t="s">
        <v>12481</v>
      </c>
      <c r="AA659" t="s">
        <v>12482</v>
      </c>
      <c r="AB659" t="s">
        <v>12483</v>
      </c>
      <c r="AC659" t="s">
        <v>74</v>
      </c>
      <c r="AD659" t="s">
        <v>74</v>
      </c>
      <c r="AE659" t="s">
        <v>74</v>
      </c>
      <c r="AF659" t="s">
        <v>74</v>
      </c>
      <c r="AG659">
        <v>40</v>
      </c>
      <c r="AH659">
        <v>21</v>
      </c>
      <c r="AI659">
        <v>21</v>
      </c>
      <c r="AJ659">
        <v>0</v>
      </c>
      <c r="AK659">
        <v>5</v>
      </c>
      <c r="AL659" t="s">
        <v>279</v>
      </c>
      <c r="AM659" t="s">
        <v>280</v>
      </c>
      <c r="AN659" t="s">
        <v>281</v>
      </c>
      <c r="AO659" t="s">
        <v>74</v>
      </c>
      <c r="AP659" t="s">
        <v>12484</v>
      </c>
      <c r="AQ659" t="s">
        <v>74</v>
      </c>
      <c r="AR659" t="s">
        <v>12485</v>
      </c>
      <c r="AS659" t="s">
        <v>12486</v>
      </c>
      <c r="AT659" t="s">
        <v>12487</v>
      </c>
      <c r="AU659">
        <v>2018</v>
      </c>
      <c r="AV659">
        <v>6</v>
      </c>
      <c r="AW659">
        <v>1</v>
      </c>
      <c r="AX659" t="s">
        <v>74</v>
      </c>
      <c r="AY659" t="s">
        <v>74</v>
      </c>
      <c r="AZ659" t="s">
        <v>74</v>
      </c>
      <c r="BA659" t="s">
        <v>74</v>
      </c>
      <c r="BB659">
        <v>345</v>
      </c>
      <c r="BC659">
        <v>363</v>
      </c>
      <c r="BD659" t="s">
        <v>74</v>
      </c>
      <c r="BE659" t="s">
        <v>12488</v>
      </c>
      <c r="BF659" t="str">
        <f>HYPERLINK("http://dx.doi.org/10.1080/21693277.2018.1517056","http://dx.doi.org/10.1080/21693277.2018.1517056")</f>
        <v>http://dx.doi.org/10.1080/21693277.2018.1517056</v>
      </c>
      <c r="BG659" t="s">
        <v>74</v>
      </c>
      <c r="BH659" t="s">
        <v>74</v>
      </c>
      <c r="BI659">
        <v>19</v>
      </c>
      <c r="BJ659" t="s">
        <v>3847</v>
      </c>
      <c r="BK659" t="s">
        <v>124</v>
      </c>
      <c r="BL659" t="s">
        <v>1292</v>
      </c>
      <c r="BM659" t="s">
        <v>12489</v>
      </c>
      <c r="BN659" t="s">
        <v>74</v>
      </c>
      <c r="BO659" t="s">
        <v>126</v>
      </c>
      <c r="BP659" t="s">
        <v>74</v>
      </c>
      <c r="BQ659" t="s">
        <v>74</v>
      </c>
      <c r="BR659" t="s">
        <v>102</v>
      </c>
      <c r="BS659" t="s">
        <v>12490</v>
      </c>
      <c r="BT659" t="str">
        <f>HYPERLINK("https%3A%2F%2Fwww.webofscience.com%2Fwos%2Fwoscc%2Ffull-record%2FWOS:000452154400001","View Full Record in Web of Science")</f>
        <v>View Full Record in Web of Science</v>
      </c>
    </row>
    <row r="660" spans="1:72" x14ac:dyDescent="0.2">
      <c r="A660" t="s">
        <v>72</v>
      </c>
      <c r="B660" t="s">
        <v>12491</v>
      </c>
      <c r="C660" t="s">
        <v>74</v>
      </c>
      <c r="D660" t="s">
        <v>74</v>
      </c>
      <c r="E660" t="s">
        <v>74</v>
      </c>
      <c r="F660" t="s">
        <v>12492</v>
      </c>
      <c r="G660" t="s">
        <v>74</v>
      </c>
      <c r="H660" t="s">
        <v>74</v>
      </c>
      <c r="I660" t="s">
        <v>12493</v>
      </c>
      <c r="J660" t="s">
        <v>4480</v>
      </c>
      <c r="K660" t="s">
        <v>74</v>
      </c>
      <c r="L660" t="s">
        <v>74</v>
      </c>
      <c r="M660" t="s">
        <v>78</v>
      </c>
      <c r="N660" t="s">
        <v>108</v>
      </c>
      <c r="O660" t="s">
        <v>74</v>
      </c>
      <c r="P660" t="s">
        <v>74</v>
      </c>
      <c r="Q660" t="s">
        <v>74</v>
      </c>
      <c r="R660" t="s">
        <v>74</v>
      </c>
      <c r="S660" t="s">
        <v>74</v>
      </c>
      <c r="T660" t="s">
        <v>12494</v>
      </c>
      <c r="U660" t="s">
        <v>74</v>
      </c>
      <c r="V660" t="s">
        <v>12495</v>
      </c>
      <c r="W660" t="s">
        <v>12496</v>
      </c>
      <c r="X660" t="s">
        <v>12497</v>
      </c>
      <c r="Y660" t="s">
        <v>12498</v>
      </c>
      <c r="Z660" t="s">
        <v>12499</v>
      </c>
      <c r="AA660" t="s">
        <v>12500</v>
      </c>
      <c r="AB660" t="s">
        <v>12501</v>
      </c>
      <c r="AC660" t="s">
        <v>12502</v>
      </c>
      <c r="AD660" t="s">
        <v>12503</v>
      </c>
      <c r="AE660" t="s">
        <v>12504</v>
      </c>
      <c r="AF660" t="s">
        <v>74</v>
      </c>
      <c r="AG660">
        <v>44</v>
      </c>
      <c r="AH660">
        <v>18</v>
      </c>
      <c r="AI660">
        <v>18</v>
      </c>
      <c r="AJ660">
        <v>9</v>
      </c>
      <c r="AK660">
        <v>59</v>
      </c>
      <c r="AL660" t="s">
        <v>4005</v>
      </c>
      <c r="AM660" t="s">
        <v>4006</v>
      </c>
      <c r="AN660" t="s">
        <v>4007</v>
      </c>
      <c r="AO660" t="s">
        <v>4487</v>
      </c>
      <c r="AP660" t="s">
        <v>4488</v>
      </c>
      <c r="AQ660" t="s">
        <v>74</v>
      </c>
      <c r="AR660" t="s">
        <v>4489</v>
      </c>
      <c r="AS660" t="s">
        <v>4490</v>
      </c>
      <c r="AT660" t="s">
        <v>846</v>
      </c>
      <c r="AU660">
        <v>2021</v>
      </c>
      <c r="AV660">
        <v>28</v>
      </c>
      <c r="AW660">
        <v>20</v>
      </c>
      <c r="AX660" t="s">
        <v>74</v>
      </c>
      <c r="AY660" t="s">
        <v>74</v>
      </c>
      <c r="AZ660" t="s">
        <v>74</v>
      </c>
      <c r="BA660" t="s">
        <v>74</v>
      </c>
      <c r="BB660">
        <v>25886</v>
      </c>
      <c r="BC660">
        <v>25905</v>
      </c>
      <c r="BD660" t="s">
        <v>74</v>
      </c>
      <c r="BE660" t="s">
        <v>12505</v>
      </c>
      <c r="BF660" t="str">
        <f>HYPERLINK("http://dx.doi.org/10.1007/s11356-021-12407-w","http://dx.doi.org/10.1007/s11356-021-12407-w")</f>
        <v>http://dx.doi.org/10.1007/s11356-021-12407-w</v>
      </c>
      <c r="BG660" t="s">
        <v>74</v>
      </c>
      <c r="BH660" t="s">
        <v>2780</v>
      </c>
      <c r="BI660">
        <v>20</v>
      </c>
      <c r="BJ660" t="s">
        <v>674</v>
      </c>
      <c r="BK660" t="s">
        <v>147</v>
      </c>
      <c r="BL660" t="s">
        <v>675</v>
      </c>
      <c r="BM660" t="s">
        <v>12506</v>
      </c>
      <c r="BN660">
        <v>33479871</v>
      </c>
      <c r="BO660" t="s">
        <v>74</v>
      </c>
      <c r="BP660" t="s">
        <v>74</v>
      </c>
      <c r="BQ660" t="s">
        <v>74</v>
      </c>
      <c r="BR660" t="s">
        <v>102</v>
      </c>
      <c r="BS660" t="s">
        <v>12507</v>
      </c>
      <c r="BT660" t="str">
        <f>HYPERLINK("https%3A%2F%2Fwww.webofscience.com%2Fwos%2Fwoscc%2Ffull-record%2FWOS:000609398000008","View Full Record in Web of Science")</f>
        <v>View Full Record in Web of Science</v>
      </c>
    </row>
    <row r="661" spans="1:72" x14ac:dyDescent="0.2">
      <c r="A661" t="s">
        <v>72</v>
      </c>
      <c r="B661" t="s">
        <v>12508</v>
      </c>
      <c r="C661" t="s">
        <v>74</v>
      </c>
      <c r="D661" t="s">
        <v>74</v>
      </c>
      <c r="E661" t="s">
        <v>74</v>
      </c>
      <c r="F661" t="s">
        <v>12509</v>
      </c>
      <c r="G661" t="s">
        <v>74</v>
      </c>
      <c r="H661" t="s">
        <v>74</v>
      </c>
      <c r="I661" t="s">
        <v>12510</v>
      </c>
      <c r="J661" t="s">
        <v>976</v>
      </c>
      <c r="K661" t="s">
        <v>74</v>
      </c>
      <c r="L661" t="s">
        <v>74</v>
      </c>
      <c r="M661" t="s">
        <v>78</v>
      </c>
      <c r="N661" t="s">
        <v>108</v>
      </c>
      <c r="O661" t="s">
        <v>74</v>
      </c>
      <c r="P661" t="s">
        <v>74</v>
      </c>
      <c r="Q661" t="s">
        <v>74</v>
      </c>
      <c r="R661" t="s">
        <v>74</v>
      </c>
      <c r="S661" t="s">
        <v>74</v>
      </c>
      <c r="T661" t="s">
        <v>12511</v>
      </c>
      <c r="U661" t="s">
        <v>12512</v>
      </c>
      <c r="V661" t="s">
        <v>12513</v>
      </c>
      <c r="W661" t="s">
        <v>12514</v>
      </c>
      <c r="X661" t="s">
        <v>12515</v>
      </c>
      <c r="Y661" t="s">
        <v>12516</v>
      </c>
      <c r="Z661" t="s">
        <v>12517</v>
      </c>
      <c r="AA661" t="s">
        <v>12518</v>
      </c>
      <c r="AB661" t="s">
        <v>12519</v>
      </c>
      <c r="AC661" t="s">
        <v>74</v>
      </c>
      <c r="AD661" t="s">
        <v>74</v>
      </c>
      <c r="AE661" t="s">
        <v>74</v>
      </c>
      <c r="AF661" t="s">
        <v>74</v>
      </c>
      <c r="AG661">
        <v>101</v>
      </c>
      <c r="AH661">
        <v>60</v>
      </c>
      <c r="AI661">
        <v>65</v>
      </c>
      <c r="AJ661">
        <v>2</v>
      </c>
      <c r="AK661">
        <v>137</v>
      </c>
      <c r="AL661" t="s">
        <v>259</v>
      </c>
      <c r="AM661" t="s">
        <v>260</v>
      </c>
      <c r="AN661" t="s">
        <v>261</v>
      </c>
      <c r="AO661" t="s">
        <v>989</v>
      </c>
      <c r="AP661" t="s">
        <v>990</v>
      </c>
      <c r="AQ661" t="s">
        <v>74</v>
      </c>
      <c r="AR661" t="s">
        <v>991</v>
      </c>
      <c r="AS661" t="s">
        <v>992</v>
      </c>
      <c r="AT661" t="s">
        <v>6220</v>
      </c>
      <c r="AU661">
        <v>2017</v>
      </c>
      <c r="AV661">
        <v>165</v>
      </c>
      <c r="AW661" t="s">
        <v>74</v>
      </c>
      <c r="AX661" t="s">
        <v>74</v>
      </c>
      <c r="AY661" t="s">
        <v>74</v>
      </c>
      <c r="AZ661" t="s">
        <v>74</v>
      </c>
      <c r="BA661" t="s">
        <v>74</v>
      </c>
      <c r="BB661">
        <v>1598</v>
      </c>
      <c r="BC661">
        <v>1619</v>
      </c>
      <c r="BD661" t="s">
        <v>74</v>
      </c>
      <c r="BE661" t="s">
        <v>12520</v>
      </c>
      <c r="BF661" t="str">
        <f>HYPERLINK("http://dx.doi.org/10.1016/j.jclepro.2017.06.180","http://dx.doi.org/10.1016/j.jclepro.2017.06.180")</f>
        <v>http://dx.doi.org/10.1016/j.jclepro.2017.06.180</v>
      </c>
      <c r="BG661" t="s">
        <v>74</v>
      </c>
      <c r="BH661" t="s">
        <v>74</v>
      </c>
      <c r="BI661">
        <v>22</v>
      </c>
      <c r="BJ661" t="s">
        <v>995</v>
      </c>
      <c r="BK661" t="s">
        <v>147</v>
      </c>
      <c r="BL661" t="s">
        <v>996</v>
      </c>
      <c r="BM661" t="s">
        <v>12521</v>
      </c>
      <c r="BN661" t="s">
        <v>74</v>
      </c>
      <c r="BO661" t="s">
        <v>74</v>
      </c>
      <c r="BP661" t="s">
        <v>74</v>
      </c>
      <c r="BQ661" t="s">
        <v>74</v>
      </c>
      <c r="BR661" t="s">
        <v>102</v>
      </c>
      <c r="BS661" t="s">
        <v>12522</v>
      </c>
      <c r="BT661" t="str">
        <f>HYPERLINK("https%3A%2F%2Fwww.webofscience.com%2Fwos%2Fwoscc%2Ffull-record%2FWOS:000411544400135","View Full Record in Web of Science")</f>
        <v>View Full Record in Web of Science</v>
      </c>
    </row>
    <row r="662" spans="1:72" x14ac:dyDescent="0.2">
      <c r="A662" t="s">
        <v>72</v>
      </c>
      <c r="B662" t="s">
        <v>12523</v>
      </c>
      <c r="C662" t="s">
        <v>74</v>
      </c>
      <c r="D662" t="s">
        <v>74</v>
      </c>
      <c r="E662" t="s">
        <v>74</v>
      </c>
      <c r="F662" t="s">
        <v>12524</v>
      </c>
      <c r="G662" t="s">
        <v>74</v>
      </c>
      <c r="H662" t="s">
        <v>74</v>
      </c>
      <c r="I662" t="s">
        <v>12525</v>
      </c>
      <c r="J662" t="s">
        <v>131</v>
      </c>
      <c r="K662" t="s">
        <v>74</v>
      </c>
      <c r="L662" t="s">
        <v>74</v>
      </c>
      <c r="M662" t="s">
        <v>78</v>
      </c>
      <c r="N662" t="s">
        <v>108</v>
      </c>
      <c r="O662" t="s">
        <v>74</v>
      </c>
      <c r="P662" t="s">
        <v>74</v>
      </c>
      <c r="Q662" t="s">
        <v>74</v>
      </c>
      <c r="R662" t="s">
        <v>74</v>
      </c>
      <c r="S662" t="s">
        <v>74</v>
      </c>
      <c r="T662" t="s">
        <v>12526</v>
      </c>
      <c r="U662" t="s">
        <v>12527</v>
      </c>
      <c r="V662" t="s">
        <v>12528</v>
      </c>
      <c r="W662" t="s">
        <v>12529</v>
      </c>
      <c r="X662" t="s">
        <v>12530</v>
      </c>
      <c r="Y662" t="s">
        <v>12531</v>
      </c>
      <c r="Z662" t="s">
        <v>12532</v>
      </c>
      <c r="AA662" t="s">
        <v>12533</v>
      </c>
      <c r="AB662" t="s">
        <v>12534</v>
      </c>
      <c r="AC662" t="s">
        <v>12535</v>
      </c>
      <c r="AD662" t="s">
        <v>12536</v>
      </c>
      <c r="AE662" t="s">
        <v>12537</v>
      </c>
      <c r="AF662" t="s">
        <v>74</v>
      </c>
      <c r="AG662">
        <v>46</v>
      </c>
      <c r="AH662">
        <v>6</v>
      </c>
      <c r="AI662">
        <v>6</v>
      </c>
      <c r="AJ662">
        <v>7</v>
      </c>
      <c r="AK662">
        <v>35</v>
      </c>
      <c r="AL662" t="s">
        <v>116</v>
      </c>
      <c r="AM662" t="s">
        <v>117</v>
      </c>
      <c r="AN662" t="s">
        <v>118</v>
      </c>
      <c r="AO662" t="s">
        <v>74</v>
      </c>
      <c r="AP662" t="s">
        <v>142</v>
      </c>
      <c r="AQ662" t="s">
        <v>74</v>
      </c>
      <c r="AR662" t="s">
        <v>143</v>
      </c>
      <c r="AS662" t="s">
        <v>144</v>
      </c>
      <c r="AT662" t="s">
        <v>800</v>
      </c>
      <c r="AU662">
        <v>2021</v>
      </c>
      <c r="AV662">
        <v>13</v>
      </c>
      <c r="AW662">
        <v>7</v>
      </c>
      <c r="AX662" t="s">
        <v>74</v>
      </c>
      <c r="AY662" t="s">
        <v>74</v>
      </c>
      <c r="AZ662" t="s">
        <v>74</v>
      </c>
      <c r="BA662" t="s">
        <v>74</v>
      </c>
      <c r="BB662" t="s">
        <v>74</v>
      </c>
      <c r="BC662" t="s">
        <v>74</v>
      </c>
      <c r="BD662">
        <v>3641</v>
      </c>
      <c r="BE662" t="s">
        <v>12538</v>
      </c>
      <c r="BF662" t="str">
        <f>HYPERLINK("http://dx.doi.org/10.3390/su13073641","http://dx.doi.org/10.3390/su13073641")</f>
        <v>http://dx.doi.org/10.3390/su13073641</v>
      </c>
      <c r="BG662" t="s">
        <v>74</v>
      </c>
      <c r="BH662" t="s">
        <v>74</v>
      </c>
      <c r="BI662">
        <v>16</v>
      </c>
      <c r="BJ662" t="s">
        <v>146</v>
      </c>
      <c r="BK662" t="s">
        <v>147</v>
      </c>
      <c r="BL662" t="s">
        <v>148</v>
      </c>
      <c r="BM662" t="s">
        <v>12539</v>
      </c>
      <c r="BN662" t="s">
        <v>74</v>
      </c>
      <c r="BO662" t="s">
        <v>126</v>
      </c>
      <c r="BP662" t="s">
        <v>74</v>
      </c>
      <c r="BQ662" t="s">
        <v>74</v>
      </c>
      <c r="BR662" t="s">
        <v>102</v>
      </c>
      <c r="BS662" t="s">
        <v>12540</v>
      </c>
      <c r="BT662" t="str">
        <f>HYPERLINK("https%3A%2F%2Fwww.webofscience.com%2Fwos%2Fwoscc%2Ffull-record%2FWOS:000638907100001","View Full Record in Web of Science")</f>
        <v>View Full Record in Web of Science</v>
      </c>
    </row>
    <row r="663" spans="1:72" x14ac:dyDescent="0.2">
      <c r="A663" t="s">
        <v>72</v>
      </c>
      <c r="B663" t="s">
        <v>12541</v>
      </c>
      <c r="C663" t="s">
        <v>74</v>
      </c>
      <c r="D663" t="s">
        <v>74</v>
      </c>
      <c r="E663" t="s">
        <v>74</v>
      </c>
      <c r="F663" t="s">
        <v>12542</v>
      </c>
      <c r="G663" t="s">
        <v>74</v>
      </c>
      <c r="H663" t="s">
        <v>74</v>
      </c>
      <c r="I663" t="s">
        <v>12543</v>
      </c>
      <c r="J663" t="s">
        <v>12544</v>
      </c>
      <c r="K663" t="s">
        <v>74</v>
      </c>
      <c r="L663" t="s">
        <v>74</v>
      </c>
      <c r="M663" t="s">
        <v>78</v>
      </c>
      <c r="N663" t="s">
        <v>108</v>
      </c>
      <c r="O663" t="s">
        <v>74</v>
      </c>
      <c r="P663" t="s">
        <v>74</v>
      </c>
      <c r="Q663" t="s">
        <v>74</v>
      </c>
      <c r="R663" t="s">
        <v>74</v>
      </c>
      <c r="S663" t="s">
        <v>74</v>
      </c>
      <c r="T663" t="s">
        <v>12545</v>
      </c>
      <c r="U663" t="s">
        <v>12546</v>
      </c>
      <c r="V663" t="s">
        <v>12547</v>
      </c>
      <c r="W663" t="s">
        <v>12548</v>
      </c>
      <c r="X663" t="s">
        <v>12549</v>
      </c>
      <c r="Y663" t="s">
        <v>12550</v>
      </c>
      <c r="Z663" t="s">
        <v>12551</v>
      </c>
      <c r="AA663" t="s">
        <v>12552</v>
      </c>
      <c r="AB663" t="s">
        <v>12553</v>
      </c>
      <c r="AC663" t="s">
        <v>12554</v>
      </c>
      <c r="AD663" t="s">
        <v>12555</v>
      </c>
      <c r="AE663" t="s">
        <v>12556</v>
      </c>
      <c r="AF663" t="s">
        <v>74</v>
      </c>
      <c r="AG663">
        <v>42</v>
      </c>
      <c r="AH663">
        <v>5</v>
      </c>
      <c r="AI663">
        <v>5</v>
      </c>
      <c r="AJ663">
        <v>1</v>
      </c>
      <c r="AK663">
        <v>6</v>
      </c>
      <c r="AL663" t="s">
        <v>6000</v>
      </c>
      <c r="AM663" t="s">
        <v>348</v>
      </c>
      <c r="AN663" t="s">
        <v>10158</v>
      </c>
      <c r="AO663" t="s">
        <v>12557</v>
      </c>
      <c r="AP663" t="s">
        <v>12558</v>
      </c>
      <c r="AQ663" t="s">
        <v>74</v>
      </c>
      <c r="AR663" t="s">
        <v>12559</v>
      </c>
      <c r="AS663" t="s">
        <v>12560</v>
      </c>
      <c r="AT663" t="s">
        <v>372</v>
      </c>
      <c r="AU663">
        <v>2021</v>
      </c>
      <c r="AV663">
        <v>20</v>
      </c>
      <c r="AW663">
        <v>1</v>
      </c>
      <c r="AX663" t="s">
        <v>74</v>
      </c>
      <c r="AY663" t="s">
        <v>74</v>
      </c>
      <c r="AZ663" t="s">
        <v>74</v>
      </c>
      <c r="BA663" t="s">
        <v>74</v>
      </c>
      <c r="BB663" t="s">
        <v>74</v>
      </c>
      <c r="BC663" t="s">
        <v>74</v>
      </c>
      <c r="BD663">
        <v>6</v>
      </c>
      <c r="BE663" t="s">
        <v>12561</v>
      </c>
      <c r="BF663" t="str">
        <f>HYPERLINK("http://dx.doi.org/10.1145/3419105","http://dx.doi.org/10.1145/3419105")</f>
        <v>http://dx.doi.org/10.1145/3419105</v>
      </c>
      <c r="BG663" t="s">
        <v>74</v>
      </c>
      <c r="BH663" t="s">
        <v>74</v>
      </c>
      <c r="BI663">
        <v>18</v>
      </c>
      <c r="BJ663" t="s">
        <v>10164</v>
      </c>
      <c r="BK663" t="s">
        <v>98</v>
      </c>
      <c r="BL663" t="s">
        <v>99</v>
      </c>
      <c r="BM663" t="s">
        <v>12562</v>
      </c>
      <c r="BN663" t="s">
        <v>74</v>
      </c>
      <c r="BO663" t="s">
        <v>74</v>
      </c>
      <c r="BP663" t="s">
        <v>74</v>
      </c>
      <c r="BQ663" t="s">
        <v>74</v>
      </c>
      <c r="BR663" t="s">
        <v>102</v>
      </c>
      <c r="BS663" t="s">
        <v>12563</v>
      </c>
      <c r="BT663" t="str">
        <f>HYPERLINK("https%3A%2F%2Fwww.webofscience.com%2Fwos%2Fwoscc%2Ffull-record%2FWOS:000608740800006","View Full Record in Web of Science")</f>
        <v>View Full Record in Web of Science</v>
      </c>
    </row>
    <row r="664" spans="1:72" x14ac:dyDescent="0.2">
      <c r="A664" t="s">
        <v>72</v>
      </c>
      <c r="B664" t="s">
        <v>12564</v>
      </c>
      <c r="C664" t="s">
        <v>74</v>
      </c>
      <c r="D664" t="s">
        <v>74</v>
      </c>
      <c r="E664" t="s">
        <v>74</v>
      </c>
      <c r="F664" t="s">
        <v>12565</v>
      </c>
      <c r="G664" t="s">
        <v>74</v>
      </c>
      <c r="H664" t="s">
        <v>74</v>
      </c>
      <c r="I664" t="s">
        <v>12566</v>
      </c>
      <c r="J664" t="s">
        <v>12567</v>
      </c>
      <c r="K664" t="s">
        <v>74</v>
      </c>
      <c r="L664" t="s">
        <v>74</v>
      </c>
      <c r="M664" t="s">
        <v>78</v>
      </c>
      <c r="N664" t="s">
        <v>108</v>
      </c>
      <c r="O664" t="s">
        <v>74</v>
      </c>
      <c r="P664" t="s">
        <v>74</v>
      </c>
      <c r="Q664" t="s">
        <v>74</v>
      </c>
      <c r="R664" t="s">
        <v>74</v>
      </c>
      <c r="S664" t="s">
        <v>74</v>
      </c>
      <c r="T664" t="s">
        <v>12568</v>
      </c>
      <c r="U664" t="s">
        <v>74</v>
      </c>
      <c r="V664" t="s">
        <v>12569</v>
      </c>
      <c r="W664" t="s">
        <v>12570</v>
      </c>
      <c r="X664" t="s">
        <v>12571</v>
      </c>
      <c r="Y664" t="s">
        <v>12572</v>
      </c>
      <c r="Z664" t="s">
        <v>12573</v>
      </c>
      <c r="AA664" t="s">
        <v>74</v>
      </c>
      <c r="AB664" t="s">
        <v>74</v>
      </c>
      <c r="AC664" t="s">
        <v>74</v>
      </c>
      <c r="AD664" t="s">
        <v>74</v>
      </c>
      <c r="AE664" t="s">
        <v>74</v>
      </c>
      <c r="AF664" t="s">
        <v>74</v>
      </c>
      <c r="AG664">
        <v>10</v>
      </c>
      <c r="AH664">
        <v>0</v>
      </c>
      <c r="AI664">
        <v>0</v>
      </c>
      <c r="AJ664">
        <v>1</v>
      </c>
      <c r="AK664">
        <v>1</v>
      </c>
      <c r="AL664" t="s">
        <v>12574</v>
      </c>
      <c r="AM664" t="s">
        <v>12575</v>
      </c>
      <c r="AN664" t="s">
        <v>12576</v>
      </c>
      <c r="AO664" t="s">
        <v>12577</v>
      </c>
      <c r="AP664" t="s">
        <v>12578</v>
      </c>
      <c r="AQ664" t="s">
        <v>74</v>
      </c>
      <c r="AR664" t="s">
        <v>12579</v>
      </c>
      <c r="AS664" t="s">
        <v>12580</v>
      </c>
      <c r="AT664" t="s">
        <v>74</v>
      </c>
      <c r="AU664">
        <v>2022</v>
      </c>
      <c r="AV664">
        <v>13</v>
      </c>
      <c r="AW664" t="s">
        <v>74</v>
      </c>
      <c r="AX664" t="s">
        <v>74</v>
      </c>
      <c r="AY664" t="s">
        <v>74</v>
      </c>
      <c r="AZ664" t="s">
        <v>570</v>
      </c>
      <c r="BA664" t="s">
        <v>74</v>
      </c>
      <c r="BB664">
        <v>771</v>
      </c>
      <c r="BC664">
        <v>782</v>
      </c>
      <c r="BD664" t="s">
        <v>74</v>
      </c>
      <c r="BE664" t="s">
        <v>12581</v>
      </c>
      <c r="BF664" t="str">
        <f>HYPERLINK("http://dx.doi.org/10.47750/pnr.2022.13.S06.106","http://dx.doi.org/10.47750/pnr.2022.13.S06.106")</f>
        <v>http://dx.doi.org/10.47750/pnr.2022.13.S06.106</v>
      </c>
      <c r="BG664" t="s">
        <v>74</v>
      </c>
      <c r="BH664" t="s">
        <v>74</v>
      </c>
      <c r="BI664">
        <v>12</v>
      </c>
      <c r="BJ664" t="s">
        <v>12582</v>
      </c>
      <c r="BK664" t="s">
        <v>124</v>
      </c>
      <c r="BL664" t="s">
        <v>12582</v>
      </c>
      <c r="BM664" t="s">
        <v>12583</v>
      </c>
      <c r="BN664" t="s">
        <v>74</v>
      </c>
      <c r="BO664" t="s">
        <v>804</v>
      </c>
      <c r="BP664" t="s">
        <v>74</v>
      </c>
      <c r="BQ664" t="s">
        <v>74</v>
      </c>
      <c r="BR664" t="s">
        <v>102</v>
      </c>
      <c r="BS664" t="s">
        <v>12584</v>
      </c>
      <c r="BT664" t="str">
        <f>HYPERLINK("https%3A%2F%2Fwww.webofscience.com%2Fwos%2Fwoscc%2Ffull-record%2FWOS:000876090500013","View Full Record in Web of Science")</f>
        <v>View Full Record in Web of Science</v>
      </c>
    </row>
    <row r="665" spans="1:72" x14ac:dyDescent="0.2">
      <c r="A665" t="s">
        <v>72</v>
      </c>
      <c r="B665" t="s">
        <v>12585</v>
      </c>
      <c r="C665" t="s">
        <v>74</v>
      </c>
      <c r="D665" t="s">
        <v>74</v>
      </c>
      <c r="E665" t="s">
        <v>74</v>
      </c>
      <c r="F665" t="s">
        <v>12586</v>
      </c>
      <c r="G665" t="s">
        <v>74</v>
      </c>
      <c r="H665" t="s">
        <v>74</v>
      </c>
      <c r="I665" t="s">
        <v>12587</v>
      </c>
      <c r="J665" t="s">
        <v>762</v>
      </c>
      <c r="K665" t="s">
        <v>74</v>
      </c>
      <c r="L665" t="s">
        <v>74</v>
      </c>
      <c r="M665" t="s">
        <v>78</v>
      </c>
      <c r="N665" t="s">
        <v>108</v>
      </c>
      <c r="O665" t="s">
        <v>74</v>
      </c>
      <c r="P665" t="s">
        <v>74</v>
      </c>
      <c r="Q665" t="s">
        <v>74</v>
      </c>
      <c r="R665" t="s">
        <v>74</v>
      </c>
      <c r="S665" t="s">
        <v>74</v>
      </c>
      <c r="T665" t="s">
        <v>12588</v>
      </c>
      <c r="U665" t="s">
        <v>12589</v>
      </c>
      <c r="V665" t="s">
        <v>12590</v>
      </c>
      <c r="W665" t="s">
        <v>12591</v>
      </c>
      <c r="X665" t="s">
        <v>74</v>
      </c>
      <c r="Y665" t="s">
        <v>12592</v>
      </c>
      <c r="Z665" t="s">
        <v>12593</v>
      </c>
      <c r="AA665" t="s">
        <v>74</v>
      </c>
      <c r="AB665" t="s">
        <v>74</v>
      </c>
      <c r="AC665" t="s">
        <v>74</v>
      </c>
      <c r="AD665" t="s">
        <v>74</v>
      </c>
      <c r="AE665" t="s">
        <v>74</v>
      </c>
      <c r="AF665" t="s">
        <v>74</v>
      </c>
      <c r="AG665">
        <v>49</v>
      </c>
      <c r="AH665">
        <v>14</v>
      </c>
      <c r="AI665">
        <v>14</v>
      </c>
      <c r="AJ665">
        <v>1</v>
      </c>
      <c r="AK665">
        <v>46</v>
      </c>
      <c r="AL665" t="s">
        <v>279</v>
      </c>
      <c r="AM665" t="s">
        <v>280</v>
      </c>
      <c r="AN665" t="s">
        <v>12594</v>
      </c>
      <c r="AO665" t="s">
        <v>773</v>
      </c>
      <c r="AP665" t="s">
        <v>774</v>
      </c>
      <c r="AQ665" t="s">
        <v>74</v>
      </c>
      <c r="AR665" t="s">
        <v>775</v>
      </c>
      <c r="AS665" t="s">
        <v>776</v>
      </c>
      <c r="AT665" t="s">
        <v>12595</v>
      </c>
      <c r="AU665">
        <v>2016</v>
      </c>
      <c r="AV665">
        <v>54</v>
      </c>
      <c r="AW665">
        <v>8</v>
      </c>
      <c r="AX665" t="s">
        <v>74</v>
      </c>
      <c r="AY665" t="s">
        <v>74</v>
      </c>
      <c r="AZ665" t="s">
        <v>74</v>
      </c>
      <c r="BA665" t="s">
        <v>74</v>
      </c>
      <c r="BB665">
        <v>2487</v>
      </c>
      <c r="BC665">
        <v>2498</v>
      </c>
      <c r="BD665" t="s">
        <v>74</v>
      </c>
      <c r="BE665" t="s">
        <v>12596</v>
      </c>
      <c r="BF665" t="str">
        <f>HYPERLINK("http://dx.doi.org/10.1080/00207543.2015.1106605","http://dx.doi.org/10.1080/00207543.2015.1106605")</f>
        <v>http://dx.doi.org/10.1080/00207543.2015.1106605</v>
      </c>
      <c r="BG665" t="s">
        <v>74</v>
      </c>
      <c r="BH665" t="s">
        <v>74</v>
      </c>
      <c r="BI665">
        <v>12</v>
      </c>
      <c r="BJ665" t="s">
        <v>780</v>
      </c>
      <c r="BK665" t="s">
        <v>147</v>
      </c>
      <c r="BL665" t="s">
        <v>781</v>
      </c>
      <c r="BM665" t="s">
        <v>12597</v>
      </c>
      <c r="BN665" t="s">
        <v>74</v>
      </c>
      <c r="BO665" t="s">
        <v>74</v>
      </c>
      <c r="BP665" t="s">
        <v>74</v>
      </c>
      <c r="BQ665" t="s">
        <v>74</v>
      </c>
      <c r="BR665" t="s">
        <v>102</v>
      </c>
      <c r="BS665" t="s">
        <v>12598</v>
      </c>
      <c r="BT665" t="str">
        <f>HYPERLINK("https%3A%2F%2Fwww.webofscience.com%2Fwos%2Fwoscc%2Ffull-record%2FWOS:000373740300021","View Full Record in Web of Science")</f>
        <v>View Full Record in Web of Science</v>
      </c>
    </row>
    <row r="666" spans="1:72" x14ac:dyDescent="0.2">
      <c r="A666" t="s">
        <v>72</v>
      </c>
      <c r="B666" t="s">
        <v>12599</v>
      </c>
      <c r="C666" t="s">
        <v>74</v>
      </c>
      <c r="D666" t="s">
        <v>74</v>
      </c>
      <c r="E666" t="s">
        <v>74</v>
      </c>
      <c r="F666" t="s">
        <v>12600</v>
      </c>
      <c r="G666" t="s">
        <v>74</v>
      </c>
      <c r="H666" t="s">
        <v>74</v>
      </c>
      <c r="I666" t="s">
        <v>12601</v>
      </c>
      <c r="J666" t="s">
        <v>12602</v>
      </c>
      <c r="K666" t="s">
        <v>74</v>
      </c>
      <c r="L666" t="s">
        <v>74</v>
      </c>
      <c r="M666" t="s">
        <v>78</v>
      </c>
      <c r="N666" t="s">
        <v>108</v>
      </c>
      <c r="O666" t="s">
        <v>74</v>
      </c>
      <c r="P666" t="s">
        <v>74</v>
      </c>
      <c r="Q666" t="s">
        <v>74</v>
      </c>
      <c r="R666" t="s">
        <v>74</v>
      </c>
      <c r="S666" t="s">
        <v>74</v>
      </c>
      <c r="T666" t="s">
        <v>12603</v>
      </c>
      <c r="U666" t="s">
        <v>12604</v>
      </c>
      <c r="V666" t="s">
        <v>12605</v>
      </c>
      <c r="W666" t="s">
        <v>12606</v>
      </c>
      <c r="X666" t="s">
        <v>12607</v>
      </c>
      <c r="Y666" t="s">
        <v>12608</v>
      </c>
      <c r="Z666" t="s">
        <v>12609</v>
      </c>
      <c r="AA666" t="s">
        <v>74</v>
      </c>
      <c r="AB666" t="s">
        <v>74</v>
      </c>
      <c r="AC666" t="s">
        <v>74</v>
      </c>
      <c r="AD666" t="s">
        <v>74</v>
      </c>
      <c r="AE666" t="s">
        <v>74</v>
      </c>
      <c r="AF666" t="s">
        <v>74</v>
      </c>
      <c r="AG666">
        <v>56</v>
      </c>
      <c r="AH666">
        <v>19</v>
      </c>
      <c r="AI666">
        <v>20</v>
      </c>
      <c r="AJ666">
        <v>0</v>
      </c>
      <c r="AK666">
        <v>20</v>
      </c>
      <c r="AL666" t="s">
        <v>6345</v>
      </c>
      <c r="AM666" t="s">
        <v>210</v>
      </c>
      <c r="AN666" t="s">
        <v>6346</v>
      </c>
      <c r="AO666" t="s">
        <v>12610</v>
      </c>
      <c r="AP666" t="s">
        <v>74</v>
      </c>
      <c r="AQ666" t="s">
        <v>74</v>
      </c>
      <c r="AR666" t="s">
        <v>12611</v>
      </c>
      <c r="AS666" t="s">
        <v>12612</v>
      </c>
      <c r="AT666" t="s">
        <v>239</v>
      </c>
      <c r="AU666">
        <v>2008</v>
      </c>
      <c r="AV666">
        <v>17</v>
      </c>
      <c r="AW666">
        <v>4</v>
      </c>
      <c r="AX666" t="s">
        <v>74</v>
      </c>
      <c r="AY666" t="s">
        <v>74</v>
      </c>
      <c r="AZ666" t="s">
        <v>74</v>
      </c>
      <c r="BA666" t="s">
        <v>74</v>
      </c>
      <c r="BB666">
        <v>371</v>
      </c>
      <c r="BC666">
        <v>384</v>
      </c>
      <c r="BD666" t="s">
        <v>74</v>
      </c>
      <c r="BE666" t="s">
        <v>12613</v>
      </c>
      <c r="BF666" t="str">
        <f>HYPERLINK("http://dx.doi.org/10.1016/j.ibusrev.2008.03.001","http://dx.doi.org/10.1016/j.ibusrev.2008.03.001")</f>
        <v>http://dx.doi.org/10.1016/j.ibusrev.2008.03.001</v>
      </c>
      <c r="BG666" t="s">
        <v>74</v>
      </c>
      <c r="BH666" t="s">
        <v>74</v>
      </c>
      <c r="BI666">
        <v>14</v>
      </c>
      <c r="BJ666" t="s">
        <v>931</v>
      </c>
      <c r="BK666" t="s">
        <v>242</v>
      </c>
      <c r="BL666" t="s">
        <v>419</v>
      </c>
      <c r="BM666" t="s">
        <v>12614</v>
      </c>
      <c r="BN666" t="s">
        <v>74</v>
      </c>
      <c r="BO666" t="s">
        <v>74</v>
      </c>
      <c r="BP666" t="s">
        <v>74</v>
      </c>
      <c r="BQ666" t="s">
        <v>74</v>
      </c>
      <c r="BR666" t="s">
        <v>102</v>
      </c>
      <c r="BS666" t="s">
        <v>12615</v>
      </c>
      <c r="BT666" t="str">
        <f>HYPERLINK("https%3A%2F%2Fwww.webofscience.com%2Fwos%2Fwoscc%2Ffull-record%2FWOS:000258249900001","View Full Record in Web of Science")</f>
        <v>View Full Record in Web of Science</v>
      </c>
    </row>
    <row r="667" spans="1:72" x14ac:dyDescent="0.2">
      <c r="A667" t="s">
        <v>72</v>
      </c>
      <c r="B667" t="s">
        <v>12616</v>
      </c>
      <c r="C667" t="s">
        <v>74</v>
      </c>
      <c r="D667" t="s">
        <v>74</v>
      </c>
      <c r="E667" t="s">
        <v>74</v>
      </c>
      <c r="F667" t="s">
        <v>12617</v>
      </c>
      <c r="G667" t="s">
        <v>74</v>
      </c>
      <c r="H667" t="s">
        <v>74</v>
      </c>
      <c r="I667" t="s">
        <v>12618</v>
      </c>
      <c r="J667" t="s">
        <v>12619</v>
      </c>
      <c r="K667" t="s">
        <v>74</v>
      </c>
      <c r="L667" t="s">
        <v>74</v>
      </c>
      <c r="M667" t="s">
        <v>78</v>
      </c>
      <c r="N667" t="s">
        <v>917</v>
      </c>
      <c r="O667" t="s">
        <v>74</v>
      </c>
      <c r="P667" t="s">
        <v>74</v>
      </c>
      <c r="Q667" t="s">
        <v>74</v>
      </c>
      <c r="R667" t="s">
        <v>74</v>
      </c>
      <c r="S667" t="s">
        <v>74</v>
      </c>
      <c r="T667" t="s">
        <v>12620</v>
      </c>
      <c r="U667" t="s">
        <v>12621</v>
      </c>
      <c r="V667" t="s">
        <v>12622</v>
      </c>
      <c r="W667" t="s">
        <v>12623</v>
      </c>
      <c r="X667" t="s">
        <v>12624</v>
      </c>
      <c r="Y667" t="s">
        <v>12625</v>
      </c>
      <c r="Z667" t="s">
        <v>12626</v>
      </c>
      <c r="AA667" t="s">
        <v>12627</v>
      </c>
      <c r="AB667" t="s">
        <v>12628</v>
      </c>
      <c r="AC667" t="s">
        <v>12629</v>
      </c>
      <c r="AD667" t="s">
        <v>12630</v>
      </c>
      <c r="AE667" t="s">
        <v>12631</v>
      </c>
      <c r="AF667" t="s">
        <v>74</v>
      </c>
      <c r="AG667">
        <v>74</v>
      </c>
      <c r="AH667">
        <v>0</v>
      </c>
      <c r="AI667">
        <v>0</v>
      </c>
      <c r="AJ667">
        <v>1</v>
      </c>
      <c r="AK667">
        <v>9</v>
      </c>
      <c r="AL667" t="s">
        <v>321</v>
      </c>
      <c r="AM667" t="s">
        <v>322</v>
      </c>
      <c r="AN667" t="s">
        <v>323</v>
      </c>
      <c r="AO667" t="s">
        <v>12632</v>
      </c>
      <c r="AP667" t="s">
        <v>12633</v>
      </c>
      <c r="AQ667" t="s">
        <v>74</v>
      </c>
      <c r="AR667" t="s">
        <v>12634</v>
      </c>
      <c r="AS667" t="s">
        <v>12635</v>
      </c>
      <c r="AT667" t="s">
        <v>12636</v>
      </c>
      <c r="AU667">
        <v>2021</v>
      </c>
      <c r="AV667" t="s">
        <v>74</v>
      </c>
      <c r="AW667" t="s">
        <v>74</v>
      </c>
      <c r="AX667" t="s">
        <v>74</v>
      </c>
      <c r="AY667" t="s">
        <v>74</v>
      </c>
      <c r="AZ667" t="s">
        <v>74</v>
      </c>
      <c r="BA667" t="s">
        <v>74</v>
      </c>
      <c r="BB667" t="s">
        <v>74</v>
      </c>
      <c r="BC667" t="s">
        <v>74</v>
      </c>
      <c r="BD667" t="s">
        <v>74</v>
      </c>
      <c r="BE667" t="s">
        <v>12637</v>
      </c>
      <c r="BF667" t="str">
        <f>HYPERLINK("http://dx.doi.org/10.1007/s10660-021-09524-6","http://dx.doi.org/10.1007/s10660-021-09524-6")</f>
        <v>http://dx.doi.org/10.1007/s10660-021-09524-6</v>
      </c>
      <c r="BG667" t="s">
        <v>74</v>
      </c>
      <c r="BH667" t="s">
        <v>4060</v>
      </c>
      <c r="BI667">
        <v>30</v>
      </c>
      <c r="BJ667" t="s">
        <v>849</v>
      </c>
      <c r="BK667" t="s">
        <v>242</v>
      </c>
      <c r="BL667" t="s">
        <v>419</v>
      </c>
      <c r="BM667" t="s">
        <v>12638</v>
      </c>
      <c r="BN667" t="s">
        <v>74</v>
      </c>
      <c r="BO667" t="s">
        <v>74</v>
      </c>
      <c r="BP667" t="s">
        <v>74</v>
      </c>
      <c r="BQ667" t="s">
        <v>74</v>
      </c>
      <c r="BR667" t="s">
        <v>102</v>
      </c>
      <c r="BS667" t="s">
        <v>12639</v>
      </c>
      <c r="BT667" t="str">
        <f>HYPERLINK("https%3A%2F%2Fwww.webofscience.com%2Fwos%2Fwoscc%2Ffull-record%2FWOS:000725364400001","View Full Record in Web of Science")</f>
        <v>View Full Record in Web of Science</v>
      </c>
    </row>
    <row r="668" spans="1:72" x14ac:dyDescent="0.2">
      <c r="A668" t="s">
        <v>72</v>
      </c>
      <c r="B668" t="s">
        <v>12640</v>
      </c>
      <c r="C668" t="s">
        <v>74</v>
      </c>
      <c r="D668" t="s">
        <v>74</v>
      </c>
      <c r="E668" t="s">
        <v>74</v>
      </c>
      <c r="F668" t="s">
        <v>12641</v>
      </c>
      <c r="G668" t="s">
        <v>74</v>
      </c>
      <c r="H668" t="s">
        <v>74</v>
      </c>
      <c r="I668" t="s">
        <v>12642</v>
      </c>
      <c r="J668" t="s">
        <v>12643</v>
      </c>
      <c r="K668" t="s">
        <v>74</v>
      </c>
      <c r="L668" t="s">
        <v>74</v>
      </c>
      <c r="M668" t="s">
        <v>78</v>
      </c>
      <c r="N668" t="s">
        <v>108</v>
      </c>
      <c r="O668" t="s">
        <v>74</v>
      </c>
      <c r="P668" t="s">
        <v>74</v>
      </c>
      <c r="Q668" t="s">
        <v>74</v>
      </c>
      <c r="R668" t="s">
        <v>74</v>
      </c>
      <c r="S668" t="s">
        <v>74</v>
      </c>
      <c r="T668" t="s">
        <v>12644</v>
      </c>
      <c r="U668" t="s">
        <v>12645</v>
      </c>
      <c r="V668" t="s">
        <v>12646</v>
      </c>
      <c r="W668" t="s">
        <v>12647</v>
      </c>
      <c r="X668" t="s">
        <v>12648</v>
      </c>
      <c r="Y668" t="s">
        <v>12649</v>
      </c>
      <c r="Z668" t="s">
        <v>12650</v>
      </c>
      <c r="AA668" t="s">
        <v>74</v>
      </c>
      <c r="AB668" t="s">
        <v>74</v>
      </c>
      <c r="AC668" t="s">
        <v>74</v>
      </c>
      <c r="AD668" t="s">
        <v>74</v>
      </c>
      <c r="AE668" t="s">
        <v>74</v>
      </c>
      <c r="AF668" t="s">
        <v>74</v>
      </c>
      <c r="AG668">
        <v>32</v>
      </c>
      <c r="AH668">
        <v>18</v>
      </c>
      <c r="AI668">
        <v>19</v>
      </c>
      <c r="AJ668">
        <v>3</v>
      </c>
      <c r="AK668">
        <v>44</v>
      </c>
      <c r="AL668" t="s">
        <v>209</v>
      </c>
      <c r="AM668" t="s">
        <v>210</v>
      </c>
      <c r="AN668" t="s">
        <v>211</v>
      </c>
      <c r="AO668" t="s">
        <v>12651</v>
      </c>
      <c r="AP668" t="s">
        <v>12652</v>
      </c>
      <c r="AQ668" t="s">
        <v>74</v>
      </c>
      <c r="AR668" t="s">
        <v>12653</v>
      </c>
      <c r="AS668" t="s">
        <v>12654</v>
      </c>
      <c r="AT668" t="s">
        <v>800</v>
      </c>
      <c r="AU668">
        <v>2015</v>
      </c>
      <c r="AV668">
        <v>46</v>
      </c>
      <c r="AW668" t="s">
        <v>74</v>
      </c>
      <c r="AX668" t="s">
        <v>74</v>
      </c>
      <c r="AY668" t="s">
        <v>74</v>
      </c>
      <c r="AZ668" t="s">
        <v>74</v>
      </c>
      <c r="BA668" t="s">
        <v>74</v>
      </c>
      <c r="BB668">
        <v>1</v>
      </c>
      <c r="BC668">
        <v>10</v>
      </c>
      <c r="BD668" t="s">
        <v>74</v>
      </c>
      <c r="BE668" t="s">
        <v>12655</v>
      </c>
      <c r="BF668" t="str">
        <f>HYPERLINK("http://dx.doi.org/10.1016/j.econmod.2014.12.035","http://dx.doi.org/10.1016/j.econmod.2014.12.035")</f>
        <v>http://dx.doi.org/10.1016/j.econmod.2014.12.035</v>
      </c>
      <c r="BG668" t="s">
        <v>74</v>
      </c>
      <c r="BH668" t="s">
        <v>74</v>
      </c>
      <c r="BI668">
        <v>10</v>
      </c>
      <c r="BJ668" t="s">
        <v>1661</v>
      </c>
      <c r="BK668" t="s">
        <v>242</v>
      </c>
      <c r="BL668" t="s">
        <v>419</v>
      </c>
      <c r="BM668" t="s">
        <v>12656</v>
      </c>
      <c r="BN668" t="s">
        <v>74</v>
      </c>
      <c r="BO668" t="s">
        <v>74</v>
      </c>
      <c r="BP668" t="s">
        <v>74</v>
      </c>
      <c r="BQ668" t="s">
        <v>74</v>
      </c>
      <c r="BR668" t="s">
        <v>102</v>
      </c>
      <c r="BS668" t="s">
        <v>12657</v>
      </c>
      <c r="BT668" t="str">
        <f>HYPERLINK("https%3A%2F%2Fwww.webofscience.com%2Fwos%2Fwoscc%2Ffull-record%2FWOS:000351974700001","View Full Record in Web of Science")</f>
        <v>View Full Record in Web of Science</v>
      </c>
    </row>
    <row r="669" spans="1:72" x14ac:dyDescent="0.2">
      <c r="A669" t="s">
        <v>72</v>
      </c>
      <c r="B669" t="s">
        <v>12658</v>
      </c>
      <c r="C669" t="s">
        <v>74</v>
      </c>
      <c r="D669" t="s">
        <v>74</v>
      </c>
      <c r="E669" t="s">
        <v>74</v>
      </c>
      <c r="F669" t="s">
        <v>12659</v>
      </c>
      <c r="G669" t="s">
        <v>74</v>
      </c>
      <c r="H669" t="s">
        <v>74</v>
      </c>
      <c r="I669" t="s">
        <v>12660</v>
      </c>
      <c r="J669" t="s">
        <v>12661</v>
      </c>
      <c r="K669" t="s">
        <v>74</v>
      </c>
      <c r="L669" t="s">
        <v>74</v>
      </c>
      <c r="M669" t="s">
        <v>78</v>
      </c>
      <c r="N669" t="s">
        <v>108</v>
      </c>
      <c r="O669" t="s">
        <v>74</v>
      </c>
      <c r="P669" t="s">
        <v>74</v>
      </c>
      <c r="Q669" t="s">
        <v>74</v>
      </c>
      <c r="R669" t="s">
        <v>74</v>
      </c>
      <c r="S669" t="s">
        <v>74</v>
      </c>
      <c r="T669" t="s">
        <v>74</v>
      </c>
      <c r="U669" t="s">
        <v>74</v>
      </c>
      <c r="V669" t="s">
        <v>12662</v>
      </c>
      <c r="W669" t="s">
        <v>12663</v>
      </c>
      <c r="X669" t="s">
        <v>9972</v>
      </c>
      <c r="Y669" t="s">
        <v>12664</v>
      </c>
      <c r="Z669" t="s">
        <v>12665</v>
      </c>
      <c r="AA669" t="s">
        <v>74</v>
      </c>
      <c r="AB669" t="s">
        <v>74</v>
      </c>
      <c r="AC669" t="s">
        <v>74</v>
      </c>
      <c r="AD669" t="s">
        <v>74</v>
      </c>
      <c r="AE669" t="s">
        <v>74</v>
      </c>
      <c r="AF669" t="s">
        <v>74</v>
      </c>
      <c r="AG669">
        <v>89</v>
      </c>
      <c r="AH669">
        <v>0</v>
      </c>
      <c r="AI669">
        <v>0</v>
      </c>
      <c r="AJ669">
        <v>0</v>
      </c>
      <c r="AK669">
        <v>0</v>
      </c>
      <c r="AL669" t="s">
        <v>611</v>
      </c>
      <c r="AM669" t="s">
        <v>612</v>
      </c>
      <c r="AN669" t="s">
        <v>613</v>
      </c>
      <c r="AO669" t="s">
        <v>12666</v>
      </c>
      <c r="AP669" t="s">
        <v>74</v>
      </c>
      <c r="AQ669" t="s">
        <v>74</v>
      </c>
      <c r="AR669" t="s">
        <v>12661</v>
      </c>
      <c r="AS669" t="s">
        <v>12667</v>
      </c>
      <c r="AT669" t="s">
        <v>12668</v>
      </c>
      <c r="AU669">
        <v>2023</v>
      </c>
      <c r="AV669">
        <v>4</v>
      </c>
      <c r="AW669">
        <v>7</v>
      </c>
      <c r="AX669" t="s">
        <v>74</v>
      </c>
      <c r="AY669" t="s">
        <v>74</v>
      </c>
      <c r="AZ669" t="s">
        <v>74</v>
      </c>
      <c r="BA669" t="s">
        <v>74</v>
      </c>
      <c r="BB669" t="s">
        <v>74</v>
      </c>
      <c r="BC669" t="s">
        <v>74</v>
      </c>
      <c r="BD669">
        <v>100773</v>
      </c>
      <c r="BE669" t="s">
        <v>12669</v>
      </c>
      <c r="BF669" t="str">
        <f>HYPERLINK("http://dx.doi.org/10.1016/j.patter.2023.100773","http://dx.doi.org/10.1016/j.patter.2023.100773")</f>
        <v>http://dx.doi.org/10.1016/j.patter.2023.100773</v>
      </c>
      <c r="BG669" t="s">
        <v>74</v>
      </c>
      <c r="BH669" t="s">
        <v>74</v>
      </c>
      <c r="BI669">
        <v>14</v>
      </c>
      <c r="BJ669" t="s">
        <v>12670</v>
      </c>
      <c r="BK669" t="s">
        <v>124</v>
      </c>
      <c r="BL669" t="s">
        <v>99</v>
      </c>
      <c r="BM669" t="s">
        <v>12671</v>
      </c>
      <c r="BN669">
        <v>37521045</v>
      </c>
      <c r="BO669" t="s">
        <v>101</v>
      </c>
      <c r="BP669" t="s">
        <v>74</v>
      </c>
      <c r="BQ669" t="s">
        <v>74</v>
      </c>
      <c r="BR669" t="s">
        <v>102</v>
      </c>
      <c r="BS669" t="s">
        <v>12672</v>
      </c>
      <c r="BT669" t="str">
        <f>HYPERLINK("https%3A%2F%2Fwww.webofscience.com%2Fwos%2Fwoscc%2Ffull-record%2FWOS:001043013900001","View Full Record in Web of Science")</f>
        <v>View Full Record in Web of Science</v>
      </c>
    </row>
    <row r="670" spans="1:72" x14ac:dyDescent="0.2">
      <c r="A670" t="s">
        <v>72</v>
      </c>
      <c r="B670" t="s">
        <v>12673</v>
      </c>
      <c r="C670" t="s">
        <v>74</v>
      </c>
      <c r="D670" t="s">
        <v>74</v>
      </c>
      <c r="E670" t="s">
        <v>74</v>
      </c>
      <c r="F670" t="s">
        <v>12674</v>
      </c>
      <c r="G670" t="s">
        <v>74</v>
      </c>
      <c r="H670" t="s">
        <v>74</v>
      </c>
      <c r="I670" t="s">
        <v>12675</v>
      </c>
      <c r="J670" t="s">
        <v>5545</v>
      </c>
      <c r="K670" t="s">
        <v>74</v>
      </c>
      <c r="L670" t="s">
        <v>74</v>
      </c>
      <c r="M670" t="s">
        <v>78</v>
      </c>
      <c r="N670" t="s">
        <v>108</v>
      </c>
      <c r="O670" t="s">
        <v>74</v>
      </c>
      <c r="P670" t="s">
        <v>74</v>
      </c>
      <c r="Q670" t="s">
        <v>74</v>
      </c>
      <c r="R670" t="s">
        <v>74</v>
      </c>
      <c r="S670" t="s">
        <v>74</v>
      </c>
      <c r="T670" t="s">
        <v>12676</v>
      </c>
      <c r="U670" t="s">
        <v>12677</v>
      </c>
      <c r="V670" t="s">
        <v>12678</v>
      </c>
      <c r="W670" t="s">
        <v>12679</v>
      </c>
      <c r="X670" t="s">
        <v>12680</v>
      </c>
      <c r="Y670" t="s">
        <v>8588</v>
      </c>
      <c r="Z670" t="s">
        <v>12681</v>
      </c>
      <c r="AA670" t="s">
        <v>74</v>
      </c>
      <c r="AB670" t="s">
        <v>74</v>
      </c>
      <c r="AC670" t="s">
        <v>74</v>
      </c>
      <c r="AD670" t="s">
        <v>74</v>
      </c>
      <c r="AE670" t="s">
        <v>74</v>
      </c>
      <c r="AF670" t="s">
        <v>74</v>
      </c>
      <c r="AG670">
        <v>136</v>
      </c>
      <c r="AH670">
        <v>41</v>
      </c>
      <c r="AI670">
        <v>41</v>
      </c>
      <c r="AJ670">
        <v>1</v>
      </c>
      <c r="AK670">
        <v>27</v>
      </c>
      <c r="AL670" t="s">
        <v>437</v>
      </c>
      <c r="AM670" t="s">
        <v>438</v>
      </c>
      <c r="AN670" t="s">
        <v>439</v>
      </c>
      <c r="AO670" t="s">
        <v>5556</v>
      </c>
      <c r="AP670" t="s">
        <v>5557</v>
      </c>
      <c r="AQ670" t="s">
        <v>74</v>
      </c>
      <c r="AR670" t="s">
        <v>5558</v>
      </c>
      <c r="AS670" t="s">
        <v>5559</v>
      </c>
      <c r="AT670" t="s">
        <v>74</v>
      </c>
      <c r="AU670">
        <v>2017</v>
      </c>
      <c r="AV670">
        <v>37</v>
      </c>
      <c r="AW670">
        <v>3</v>
      </c>
      <c r="AX670" t="s">
        <v>74</v>
      </c>
      <c r="AY670" t="s">
        <v>74</v>
      </c>
      <c r="AZ670" t="s">
        <v>74</v>
      </c>
      <c r="BA670" t="s">
        <v>74</v>
      </c>
      <c r="BB670">
        <v>300</v>
      </c>
      <c r="BC670">
        <v>320</v>
      </c>
      <c r="BD670" t="s">
        <v>74</v>
      </c>
      <c r="BE670" t="s">
        <v>12682</v>
      </c>
      <c r="BF670" t="str">
        <f>HYPERLINK("http://dx.doi.org/10.1108/IJOPM-08-2015-0493","http://dx.doi.org/10.1108/IJOPM-08-2015-0493")</f>
        <v>http://dx.doi.org/10.1108/IJOPM-08-2015-0493</v>
      </c>
      <c r="BG670" t="s">
        <v>74</v>
      </c>
      <c r="BH670" t="s">
        <v>74</v>
      </c>
      <c r="BI670">
        <v>21</v>
      </c>
      <c r="BJ670" t="s">
        <v>418</v>
      </c>
      <c r="BK670" t="s">
        <v>242</v>
      </c>
      <c r="BL670" t="s">
        <v>419</v>
      </c>
      <c r="BM670" t="s">
        <v>12683</v>
      </c>
      <c r="BN670" t="s">
        <v>74</v>
      </c>
      <c r="BO670" t="s">
        <v>74</v>
      </c>
      <c r="BP670" t="s">
        <v>74</v>
      </c>
      <c r="BQ670" t="s">
        <v>74</v>
      </c>
      <c r="BR670" t="s">
        <v>102</v>
      </c>
      <c r="BS670" t="s">
        <v>12684</v>
      </c>
      <c r="BT670" t="str">
        <f>HYPERLINK("https%3A%2F%2Fwww.webofscience.com%2Fwos%2Fwoscc%2Ffull-record%2FWOS:000398065900002","View Full Record in Web of Science")</f>
        <v>View Full Record in Web of Science</v>
      </c>
    </row>
    <row r="671" spans="1:72" x14ac:dyDescent="0.2">
      <c r="A671" t="s">
        <v>72</v>
      </c>
      <c r="B671" t="s">
        <v>12685</v>
      </c>
      <c r="C671" t="s">
        <v>74</v>
      </c>
      <c r="D671" t="s">
        <v>74</v>
      </c>
      <c r="E671" t="s">
        <v>74</v>
      </c>
      <c r="F671" t="s">
        <v>12686</v>
      </c>
      <c r="G671" t="s">
        <v>74</v>
      </c>
      <c r="H671" t="s">
        <v>74</v>
      </c>
      <c r="I671" t="s">
        <v>12687</v>
      </c>
      <c r="J671" t="s">
        <v>12688</v>
      </c>
      <c r="K671" t="s">
        <v>74</v>
      </c>
      <c r="L671" t="s">
        <v>74</v>
      </c>
      <c r="M671" t="s">
        <v>78</v>
      </c>
      <c r="N671" t="s">
        <v>108</v>
      </c>
      <c r="O671" t="s">
        <v>74</v>
      </c>
      <c r="P671" t="s">
        <v>74</v>
      </c>
      <c r="Q671" t="s">
        <v>74</v>
      </c>
      <c r="R671" t="s">
        <v>74</v>
      </c>
      <c r="S671" t="s">
        <v>74</v>
      </c>
      <c r="T671" t="s">
        <v>12689</v>
      </c>
      <c r="U671" t="s">
        <v>74</v>
      </c>
      <c r="V671" t="s">
        <v>12690</v>
      </c>
      <c r="W671" t="s">
        <v>12691</v>
      </c>
      <c r="X671" t="s">
        <v>12692</v>
      </c>
      <c r="Y671" t="s">
        <v>12693</v>
      </c>
      <c r="Z671" t="s">
        <v>12694</v>
      </c>
      <c r="AA671" t="s">
        <v>12695</v>
      </c>
      <c r="AB671" t="s">
        <v>12696</v>
      </c>
      <c r="AC671" t="s">
        <v>12697</v>
      </c>
      <c r="AD671" t="s">
        <v>12698</v>
      </c>
      <c r="AE671" t="s">
        <v>12699</v>
      </c>
      <c r="AF671" t="s">
        <v>74</v>
      </c>
      <c r="AG671">
        <v>5</v>
      </c>
      <c r="AH671">
        <v>6</v>
      </c>
      <c r="AI671">
        <v>6</v>
      </c>
      <c r="AJ671">
        <v>2</v>
      </c>
      <c r="AK671">
        <v>34</v>
      </c>
      <c r="AL671" t="s">
        <v>12700</v>
      </c>
      <c r="AM671" t="s">
        <v>12701</v>
      </c>
      <c r="AN671" t="s">
        <v>12702</v>
      </c>
      <c r="AO671" t="s">
        <v>12703</v>
      </c>
      <c r="AP671" t="s">
        <v>12704</v>
      </c>
      <c r="AQ671" t="s">
        <v>74</v>
      </c>
      <c r="AR671" t="s">
        <v>12705</v>
      </c>
      <c r="AS671" t="s">
        <v>12706</v>
      </c>
      <c r="AT671" t="s">
        <v>800</v>
      </c>
      <c r="AU671">
        <v>2015</v>
      </c>
      <c r="AV671">
        <v>10</v>
      </c>
      <c r="AW671">
        <v>2</v>
      </c>
      <c r="AX671" t="s">
        <v>74</v>
      </c>
      <c r="AY671" t="s">
        <v>74</v>
      </c>
      <c r="AZ671" t="s">
        <v>74</v>
      </c>
      <c r="BA671" t="s">
        <v>74</v>
      </c>
      <c r="BB671">
        <v>238</v>
      </c>
      <c r="BC671">
        <v>247</v>
      </c>
      <c r="BD671" t="s">
        <v>74</v>
      </c>
      <c r="BE671" t="s">
        <v>12707</v>
      </c>
      <c r="BF671" t="str">
        <f>HYPERLINK("http://dx.doi.org/10.15837/ijccc.2015.2.1755","http://dx.doi.org/10.15837/ijccc.2015.2.1755")</f>
        <v>http://dx.doi.org/10.15837/ijccc.2015.2.1755</v>
      </c>
      <c r="BG671" t="s">
        <v>74</v>
      </c>
      <c r="BH671" t="s">
        <v>74</v>
      </c>
      <c r="BI671">
        <v>10</v>
      </c>
      <c r="BJ671" t="s">
        <v>12708</v>
      </c>
      <c r="BK671" t="s">
        <v>98</v>
      </c>
      <c r="BL671" t="s">
        <v>1929</v>
      </c>
      <c r="BM671" t="s">
        <v>12709</v>
      </c>
      <c r="BN671" t="s">
        <v>74</v>
      </c>
      <c r="BO671" t="s">
        <v>150</v>
      </c>
      <c r="BP671" t="s">
        <v>74</v>
      </c>
      <c r="BQ671" t="s">
        <v>74</v>
      </c>
      <c r="BR671" t="s">
        <v>102</v>
      </c>
      <c r="BS671" t="s">
        <v>12710</v>
      </c>
      <c r="BT671" t="str">
        <f>HYPERLINK("https%3A%2F%2Fwww.webofscience.com%2Fwos%2Fwoscc%2Ffull-record%2FWOS:000349814800009","View Full Record in Web of Science")</f>
        <v>View Full Record in Web of Science</v>
      </c>
    </row>
    <row r="672" spans="1:72" x14ac:dyDescent="0.2">
      <c r="A672" t="s">
        <v>72</v>
      </c>
      <c r="B672" t="s">
        <v>12711</v>
      </c>
      <c r="C672" t="s">
        <v>74</v>
      </c>
      <c r="D672" t="s">
        <v>74</v>
      </c>
      <c r="E672" t="s">
        <v>74</v>
      </c>
      <c r="F672" t="s">
        <v>12712</v>
      </c>
      <c r="G672" t="s">
        <v>74</v>
      </c>
      <c r="H672" t="s">
        <v>74</v>
      </c>
      <c r="I672" t="s">
        <v>12713</v>
      </c>
      <c r="J672" t="s">
        <v>3951</v>
      </c>
      <c r="K672" t="s">
        <v>74</v>
      </c>
      <c r="L672" t="s">
        <v>74</v>
      </c>
      <c r="M672" t="s">
        <v>78</v>
      </c>
      <c r="N672" t="s">
        <v>108</v>
      </c>
      <c r="O672" t="s">
        <v>74</v>
      </c>
      <c r="P672" t="s">
        <v>74</v>
      </c>
      <c r="Q672" t="s">
        <v>74</v>
      </c>
      <c r="R672" t="s">
        <v>74</v>
      </c>
      <c r="S672" t="s">
        <v>74</v>
      </c>
      <c r="T672" t="s">
        <v>74</v>
      </c>
      <c r="U672" t="s">
        <v>12714</v>
      </c>
      <c r="V672" t="s">
        <v>12715</v>
      </c>
      <c r="W672" t="s">
        <v>12716</v>
      </c>
      <c r="X672" t="s">
        <v>12717</v>
      </c>
      <c r="Y672" t="s">
        <v>12718</v>
      </c>
      <c r="Z672" t="s">
        <v>12719</v>
      </c>
      <c r="AA672" t="s">
        <v>12720</v>
      </c>
      <c r="AB672" t="s">
        <v>12721</v>
      </c>
      <c r="AC672" t="s">
        <v>12722</v>
      </c>
      <c r="AD672" t="s">
        <v>12723</v>
      </c>
      <c r="AE672" t="s">
        <v>12724</v>
      </c>
      <c r="AF672" t="s">
        <v>74</v>
      </c>
      <c r="AG672">
        <v>34</v>
      </c>
      <c r="AH672">
        <v>3</v>
      </c>
      <c r="AI672">
        <v>3</v>
      </c>
      <c r="AJ672">
        <v>3</v>
      </c>
      <c r="AK672">
        <v>21</v>
      </c>
      <c r="AL672" t="s">
        <v>3963</v>
      </c>
      <c r="AM672" t="s">
        <v>90</v>
      </c>
      <c r="AN672" t="s">
        <v>3964</v>
      </c>
      <c r="AO672" t="s">
        <v>3965</v>
      </c>
      <c r="AP672" t="s">
        <v>3966</v>
      </c>
      <c r="AQ672" t="s">
        <v>74</v>
      </c>
      <c r="AR672" t="s">
        <v>3967</v>
      </c>
      <c r="AS672" t="s">
        <v>3968</v>
      </c>
      <c r="AT672" t="s">
        <v>12725</v>
      </c>
      <c r="AU672">
        <v>2020</v>
      </c>
      <c r="AV672">
        <v>2020</v>
      </c>
      <c r="AW672" t="s">
        <v>74</v>
      </c>
      <c r="AX672" t="s">
        <v>74</v>
      </c>
      <c r="AY672" t="s">
        <v>74</v>
      </c>
      <c r="AZ672" t="s">
        <v>74</v>
      </c>
      <c r="BA672" t="s">
        <v>74</v>
      </c>
      <c r="BB672" t="s">
        <v>74</v>
      </c>
      <c r="BC672" t="s">
        <v>74</v>
      </c>
      <c r="BD672">
        <v>1878720</v>
      </c>
      <c r="BE672" t="s">
        <v>12726</v>
      </c>
      <c r="BF672" t="str">
        <f>HYPERLINK("http://dx.doi.org/10.1155/2020/1878720","http://dx.doi.org/10.1155/2020/1878720")</f>
        <v>http://dx.doi.org/10.1155/2020/1878720</v>
      </c>
      <c r="BG672" t="s">
        <v>74</v>
      </c>
      <c r="BH672" t="s">
        <v>74</v>
      </c>
      <c r="BI672">
        <v>11</v>
      </c>
      <c r="BJ672" t="s">
        <v>3970</v>
      </c>
      <c r="BK672" t="s">
        <v>147</v>
      </c>
      <c r="BL672" t="s">
        <v>3971</v>
      </c>
      <c r="BM672" t="s">
        <v>12727</v>
      </c>
      <c r="BN672" t="s">
        <v>74</v>
      </c>
      <c r="BO672" t="s">
        <v>306</v>
      </c>
      <c r="BP672" t="s">
        <v>74</v>
      </c>
      <c r="BQ672" t="s">
        <v>74</v>
      </c>
      <c r="BR672" t="s">
        <v>102</v>
      </c>
      <c r="BS672" t="s">
        <v>12728</v>
      </c>
      <c r="BT672" t="str">
        <f>HYPERLINK("https%3A%2F%2Fwww.webofscience.com%2Fwos%2Fwoscc%2Ffull-record%2FWOS:000553401500007","View Full Record in Web of Science")</f>
        <v>View Full Record in Web of Science</v>
      </c>
    </row>
    <row r="673" spans="1:72" x14ac:dyDescent="0.2">
      <c r="A673" t="s">
        <v>72</v>
      </c>
      <c r="B673" t="s">
        <v>12729</v>
      </c>
      <c r="C673" t="s">
        <v>74</v>
      </c>
      <c r="D673" t="s">
        <v>74</v>
      </c>
      <c r="E673" t="s">
        <v>74</v>
      </c>
      <c r="F673" t="s">
        <v>12730</v>
      </c>
      <c r="G673" t="s">
        <v>74</v>
      </c>
      <c r="H673" t="s">
        <v>74</v>
      </c>
      <c r="I673" t="s">
        <v>12731</v>
      </c>
      <c r="J673" t="s">
        <v>8248</v>
      </c>
      <c r="K673" t="s">
        <v>74</v>
      </c>
      <c r="L673" t="s">
        <v>74</v>
      </c>
      <c r="M673" t="s">
        <v>78</v>
      </c>
      <c r="N673" t="s">
        <v>108</v>
      </c>
      <c r="O673" t="s">
        <v>74</v>
      </c>
      <c r="P673" t="s">
        <v>74</v>
      </c>
      <c r="Q673" t="s">
        <v>74</v>
      </c>
      <c r="R673" t="s">
        <v>74</v>
      </c>
      <c r="S673" t="s">
        <v>74</v>
      </c>
      <c r="T673" t="s">
        <v>12732</v>
      </c>
      <c r="U673" t="s">
        <v>12733</v>
      </c>
      <c r="V673" t="s">
        <v>12734</v>
      </c>
      <c r="W673" t="s">
        <v>12735</v>
      </c>
      <c r="X673" t="s">
        <v>12736</v>
      </c>
      <c r="Y673" t="s">
        <v>12737</v>
      </c>
      <c r="Z673" t="s">
        <v>12738</v>
      </c>
      <c r="AA673" t="s">
        <v>12739</v>
      </c>
      <c r="AB673" t="s">
        <v>12740</v>
      </c>
      <c r="AC673" t="s">
        <v>12741</v>
      </c>
      <c r="AD673" t="s">
        <v>12742</v>
      </c>
      <c r="AE673" t="s">
        <v>12743</v>
      </c>
      <c r="AF673" t="s">
        <v>74</v>
      </c>
      <c r="AG673">
        <v>26</v>
      </c>
      <c r="AH673">
        <v>2</v>
      </c>
      <c r="AI673">
        <v>2</v>
      </c>
      <c r="AJ673">
        <v>0</v>
      </c>
      <c r="AK673">
        <v>20</v>
      </c>
      <c r="AL673" t="s">
        <v>8260</v>
      </c>
      <c r="AM673" t="s">
        <v>3717</v>
      </c>
      <c r="AN673" t="s">
        <v>8261</v>
      </c>
      <c r="AO673" t="s">
        <v>8262</v>
      </c>
      <c r="AP673" t="s">
        <v>8263</v>
      </c>
      <c r="AQ673" t="s">
        <v>74</v>
      </c>
      <c r="AR673" t="s">
        <v>8264</v>
      </c>
      <c r="AS673" t="s">
        <v>8265</v>
      </c>
      <c r="AT673" t="s">
        <v>394</v>
      </c>
      <c r="AU673">
        <v>2017</v>
      </c>
      <c r="AV673">
        <v>10</v>
      </c>
      <c r="AW673">
        <v>5</v>
      </c>
      <c r="AX673" t="s">
        <v>74</v>
      </c>
      <c r="AY673" t="s">
        <v>74</v>
      </c>
      <c r="AZ673" t="s">
        <v>74</v>
      </c>
      <c r="BA673" t="s">
        <v>74</v>
      </c>
      <c r="BB673">
        <v>126</v>
      </c>
      <c r="BC673">
        <v>133</v>
      </c>
      <c r="BD673" t="s">
        <v>74</v>
      </c>
      <c r="BE673" t="s">
        <v>12744</v>
      </c>
      <c r="BF673" t="str">
        <f>HYPERLINK("http://dx.doi.org/10.25165/j.ijabe.20171005.3087","http://dx.doi.org/10.25165/j.ijabe.20171005.3087")</f>
        <v>http://dx.doi.org/10.25165/j.ijabe.20171005.3087</v>
      </c>
      <c r="BG673" t="s">
        <v>74</v>
      </c>
      <c r="BH673" t="s">
        <v>74</v>
      </c>
      <c r="BI673">
        <v>8</v>
      </c>
      <c r="BJ673" t="s">
        <v>8267</v>
      </c>
      <c r="BK673" t="s">
        <v>98</v>
      </c>
      <c r="BL673" t="s">
        <v>8268</v>
      </c>
      <c r="BM673" t="s">
        <v>12745</v>
      </c>
      <c r="BN673" t="s">
        <v>74</v>
      </c>
      <c r="BO673" t="s">
        <v>126</v>
      </c>
      <c r="BP673" t="s">
        <v>74</v>
      </c>
      <c r="BQ673" t="s">
        <v>74</v>
      </c>
      <c r="BR673" t="s">
        <v>102</v>
      </c>
      <c r="BS673" t="s">
        <v>12746</v>
      </c>
      <c r="BT673" t="str">
        <f>HYPERLINK("https%3A%2F%2Fwww.webofscience.com%2Fwos%2Fwoscc%2Ffull-record%2FWOS:000412990100012","View Full Record in Web of Science")</f>
        <v>View Full Record in Web of Science</v>
      </c>
    </row>
    <row r="674" spans="1:72" x14ac:dyDescent="0.2">
      <c r="A674" t="s">
        <v>72</v>
      </c>
      <c r="B674" t="s">
        <v>12747</v>
      </c>
      <c r="C674" t="s">
        <v>74</v>
      </c>
      <c r="D674" t="s">
        <v>74</v>
      </c>
      <c r="E674" t="s">
        <v>74</v>
      </c>
      <c r="F674" t="s">
        <v>12748</v>
      </c>
      <c r="G674" t="s">
        <v>74</v>
      </c>
      <c r="H674" t="s">
        <v>74</v>
      </c>
      <c r="I674" t="s">
        <v>12749</v>
      </c>
      <c r="J674" t="s">
        <v>12750</v>
      </c>
      <c r="K674" t="s">
        <v>74</v>
      </c>
      <c r="L674" t="s">
        <v>74</v>
      </c>
      <c r="M674" t="s">
        <v>78</v>
      </c>
      <c r="N674" t="s">
        <v>108</v>
      </c>
      <c r="O674" t="s">
        <v>74</v>
      </c>
      <c r="P674" t="s">
        <v>74</v>
      </c>
      <c r="Q674" t="s">
        <v>74</v>
      </c>
      <c r="R674" t="s">
        <v>74</v>
      </c>
      <c r="S674" t="s">
        <v>74</v>
      </c>
      <c r="T674" t="s">
        <v>12751</v>
      </c>
      <c r="U674" t="s">
        <v>12752</v>
      </c>
      <c r="V674" t="s">
        <v>12753</v>
      </c>
      <c r="W674" t="s">
        <v>12754</v>
      </c>
      <c r="X674" t="s">
        <v>12755</v>
      </c>
      <c r="Y674" t="s">
        <v>12756</v>
      </c>
      <c r="Z674" t="s">
        <v>12757</v>
      </c>
      <c r="AA674" t="s">
        <v>12758</v>
      </c>
      <c r="AB674" t="s">
        <v>12759</v>
      </c>
      <c r="AC674" t="s">
        <v>74</v>
      </c>
      <c r="AD674" t="s">
        <v>74</v>
      </c>
      <c r="AE674" t="s">
        <v>74</v>
      </c>
      <c r="AF674" t="s">
        <v>74</v>
      </c>
      <c r="AG674">
        <v>44</v>
      </c>
      <c r="AH674">
        <v>4</v>
      </c>
      <c r="AI674">
        <v>5</v>
      </c>
      <c r="AJ674">
        <v>9</v>
      </c>
      <c r="AK674">
        <v>63</v>
      </c>
      <c r="AL674" t="s">
        <v>12760</v>
      </c>
      <c r="AM674" t="s">
        <v>12761</v>
      </c>
      <c r="AN674" t="s">
        <v>12762</v>
      </c>
      <c r="AO674" t="s">
        <v>12763</v>
      </c>
      <c r="AP674" t="s">
        <v>12764</v>
      </c>
      <c r="AQ674" t="s">
        <v>74</v>
      </c>
      <c r="AR674" t="s">
        <v>12765</v>
      </c>
      <c r="AS674" t="s">
        <v>12766</v>
      </c>
      <c r="AT674" t="s">
        <v>416</v>
      </c>
      <c r="AU674">
        <v>2021</v>
      </c>
      <c r="AV674">
        <v>17</v>
      </c>
      <c r="AW674">
        <v>2</v>
      </c>
      <c r="AX674" t="s">
        <v>74</v>
      </c>
      <c r="AY674" t="s">
        <v>74</v>
      </c>
      <c r="AZ674" t="s">
        <v>74</v>
      </c>
      <c r="BA674" t="s">
        <v>74</v>
      </c>
      <c r="BB674">
        <v>185</v>
      </c>
      <c r="BC674">
        <v>196</v>
      </c>
      <c r="BD674" t="s">
        <v>74</v>
      </c>
      <c r="BE674" t="s">
        <v>12767</v>
      </c>
      <c r="BF674" t="str">
        <f>HYPERLINK("http://dx.doi.org/10.24138/jcomss-2021-0068","http://dx.doi.org/10.24138/jcomss-2021-0068")</f>
        <v>http://dx.doi.org/10.24138/jcomss-2021-0068</v>
      </c>
      <c r="BG674" t="s">
        <v>74</v>
      </c>
      <c r="BH674" t="s">
        <v>74</v>
      </c>
      <c r="BI674">
        <v>12</v>
      </c>
      <c r="BJ674" t="s">
        <v>503</v>
      </c>
      <c r="BK674" t="s">
        <v>124</v>
      </c>
      <c r="BL674" t="s">
        <v>505</v>
      </c>
      <c r="BM674" t="s">
        <v>12768</v>
      </c>
      <c r="BN674" t="s">
        <v>74</v>
      </c>
      <c r="BO674" t="s">
        <v>623</v>
      </c>
      <c r="BP674" t="s">
        <v>74</v>
      </c>
      <c r="BQ674" t="s">
        <v>74</v>
      </c>
      <c r="BR674" t="s">
        <v>102</v>
      </c>
      <c r="BS674" t="s">
        <v>12769</v>
      </c>
      <c r="BT674" t="str">
        <f>HYPERLINK("https%3A%2F%2Fwww.webofscience.com%2Fwos%2Fwoscc%2Ffull-record%2FWOS:000669650700001","View Full Record in Web of Science")</f>
        <v>View Full Record in Web of Science</v>
      </c>
    </row>
    <row r="675" spans="1:72" x14ac:dyDescent="0.2">
      <c r="A675" t="s">
        <v>72</v>
      </c>
      <c r="B675" t="s">
        <v>12770</v>
      </c>
      <c r="C675" t="s">
        <v>74</v>
      </c>
      <c r="D675" t="s">
        <v>74</v>
      </c>
      <c r="E675" t="s">
        <v>74</v>
      </c>
      <c r="F675" t="s">
        <v>12771</v>
      </c>
      <c r="G675" t="s">
        <v>74</v>
      </c>
      <c r="H675" t="s">
        <v>74</v>
      </c>
      <c r="I675" t="s">
        <v>12772</v>
      </c>
      <c r="J675" t="s">
        <v>131</v>
      </c>
      <c r="K675" t="s">
        <v>74</v>
      </c>
      <c r="L675" t="s">
        <v>74</v>
      </c>
      <c r="M675" t="s">
        <v>78</v>
      </c>
      <c r="N675" t="s">
        <v>108</v>
      </c>
      <c r="O675" t="s">
        <v>74</v>
      </c>
      <c r="P675" t="s">
        <v>74</v>
      </c>
      <c r="Q675" t="s">
        <v>74</v>
      </c>
      <c r="R675" t="s">
        <v>74</v>
      </c>
      <c r="S675" t="s">
        <v>74</v>
      </c>
      <c r="T675" t="s">
        <v>12773</v>
      </c>
      <c r="U675" t="s">
        <v>12774</v>
      </c>
      <c r="V675" t="s">
        <v>12775</v>
      </c>
      <c r="W675" t="s">
        <v>12776</v>
      </c>
      <c r="X675" t="s">
        <v>12777</v>
      </c>
      <c r="Y675" t="s">
        <v>12778</v>
      </c>
      <c r="Z675" t="s">
        <v>12779</v>
      </c>
      <c r="AA675" t="s">
        <v>12780</v>
      </c>
      <c r="AB675" t="s">
        <v>12781</v>
      </c>
      <c r="AC675" t="s">
        <v>12782</v>
      </c>
      <c r="AD675" t="s">
        <v>12783</v>
      </c>
      <c r="AE675" t="s">
        <v>12784</v>
      </c>
      <c r="AF675" t="s">
        <v>74</v>
      </c>
      <c r="AG675">
        <v>81</v>
      </c>
      <c r="AH675">
        <v>11</v>
      </c>
      <c r="AI675">
        <v>13</v>
      </c>
      <c r="AJ675">
        <v>2</v>
      </c>
      <c r="AK675">
        <v>73</v>
      </c>
      <c r="AL675" t="s">
        <v>116</v>
      </c>
      <c r="AM675" t="s">
        <v>117</v>
      </c>
      <c r="AN675" t="s">
        <v>118</v>
      </c>
      <c r="AO675" t="s">
        <v>74</v>
      </c>
      <c r="AP675" t="s">
        <v>142</v>
      </c>
      <c r="AQ675" t="s">
        <v>74</v>
      </c>
      <c r="AR675" t="s">
        <v>143</v>
      </c>
      <c r="AS675" t="s">
        <v>144</v>
      </c>
      <c r="AT675" t="s">
        <v>846</v>
      </c>
      <c r="AU675">
        <v>2015</v>
      </c>
      <c r="AV675">
        <v>7</v>
      </c>
      <c r="AW675">
        <v>5</v>
      </c>
      <c r="AX675" t="s">
        <v>74</v>
      </c>
      <c r="AY675" t="s">
        <v>74</v>
      </c>
      <c r="AZ675" t="s">
        <v>74</v>
      </c>
      <c r="BA675" t="s">
        <v>74</v>
      </c>
      <c r="BB675">
        <v>6189</v>
      </c>
      <c r="BC675">
        <v>6211</v>
      </c>
      <c r="BD675" t="s">
        <v>74</v>
      </c>
      <c r="BE675" t="s">
        <v>12785</v>
      </c>
      <c r="BF675" t="str">
        <f>HYPERLINK("http://dx.doi.org/10.3390/su7056189","http://dx.doi.org/10.3390/su7056189")</f>
        <v>http://dx.doi.org/10.3390/su7056189</v>
      </c>
      <c r="BG675" t="s">
        <v>74</v>
      </c>
      <c r="BH675" t="s">
        <v>74</v>
      </c>
      <c r="BI675">
        <v>23</v>
      </c>
      <c r="BJ675" t="s">
        <v>146</v>
      </c>
      <c r="BK675" t="s">
        <v>147</v>
      </c>
      <c r="BL675" t="s">
        <v>148</v>
      </c>
      <c r="BM675" t="s">
        <v>12786</v>
      </c>
      <c r="BN675" t="s">
        <v>74</v>
      </c>
      <c r="BO675" t="s">
        <v>12787</v>
      </c>
      <c r="BP675" t="s">
        <v>74</v>
      </c>
      <c r="BQ675" t="s">
        <v>74</v>
      </c>
      <c r="BR675" t="s">
        <v>102</v>
      </c>
      <c r="BS675" t="s">
        <v>12788</v>
      </c>
      <c r="BT675" t="str">
        <f>HYPERLINK("https%3A%2F%2Fwww.webofscience.com%2Fwos%2Fwoscc%2Ffull-record%2FWOS:000356936200069","View Full Record in Web of Science")</f>
        <v>View Full Record in Web of Science</v>
      </c>
    </row>
    <row r="676" spans="1:72" x14ac:dyDescent="0.2">
      <c r="A676" t="s">
        <v>72</v>
      </c>
      <c r="B676" t="s">
        <v>12789</v>
      </c>
      <c r="C676" t="s">
        <v>74</v>
      </c>
      <c r="D676" t="s">
        <v>74</v>
      </c>
      <c r="E676" t="s">
        <v>74</v>
      </c>
      <c r="F676" t="s">
        <v>12790</v>
      </c>
      <c r="G676" t="s">
        <v>74</v>
      </c>
      <c r="H676" t="s">
        <v>74</v>
      </c>
      <c r="I676" t="s">
        <v>12791</v>
      </c>
      <c r="J676" t="s">
        <v>425</v>
      </c>
      <c r="K676" t="s">
        <v>74</v>
      </c>
      <c r="L676" t="s">
        <v>74</v>
      </c>
      <c r="M676" t="s">
        <v>78</v>
      </c>
      <c r="N676" t="s">
        <v>108</v>
      </c>
      <c r="O676" t="s">
        <v>74</v>
      </c>
      <c r="P676" t="s">
        <v>74</v>
      </c>
      <c r="Q676" t="s">
        <v>74</v>
      </c>
      <c r="R676" t="s">
        <v>74</v>
      </c>
      <c r="S676" t="s">
        <v>74</v>
      </c>
      <c r="T676" t="s">
        <v>12792</v>
      </c>
      <c r="U676" t="s">
        <v>12793</v>
      </c>
      <c r="V676" t="s">
        <v>12794</v>
      </c>
      <c r="W676" t="s">
        <v>12795</v>
      </c>
      <c r="X676" t="s">
        <v>11182</v>
      </c>
      <c r="Y676" t="s">
        <v>12796</v>
      </c>
      <c r="Z676" t="s">
        <v>12797</v>
      </c>
      <c r="AA676" t="s">
        <v>12798</v>
      </c>
      <c r="AB676" t="s">
        <v>12799</v>
      </c>
      <c r="AC676" t="s">
        <v>74</v>
      </c>
      <c r="AD676" t="s">
        <v>74</v>
      </c>
      <c r="AE676" t="s">
        <v>74</v>
      </c>
      <c r="AF676" t="s">
        <v>74</v>
      </c>
      <c r="AG676">
        <v>65</v>
      </c>
      <c r="AH676">
        <v>8</v>
      </c>
      <c r="AI676">
        <v>8</v>
      </c>
      <c r="AJ676">
        <v>1</v>
      </c>
      <c r="AK676">
        <v>26</v>
      </c>
      <c r="AL676" t="s">
        <v>437</v>
      </c>
      <c r="AM676" t="s">
        <v>438</v>
      </c>
      <c r="AN676" t="s">
        <v>439</v>
      </c>
      <c r="AO676" t="s">
        <v>440</v>
      </c>
      <c r="AP676" t="s">
        <v>441</v>
      </c>
      <c r="AQ676" t="s">
        <v>74</v>
      </c>
      <c r="AR676" t="s">
        <v>442</v>
      </c>
      <c r="AS676" t="s">
        <v>443</v>
      </c>
      <c r="AT676" t="s">
        <v>444</v>
      </c>
      <c r="AU676">
        <v>2019</v>
      </c>
      <c r="AV676">
        <v>19</v>
      </c>
      <c r="AW676">
        <v>3</v>
      </c>
      <c r="AX676" t="s">
        <v>74</v>
      </c>
      <c r="AY676" t="s">
        <v>74</v>
      </c>
      <c r="AZ676" t="s">
        <v>74</v>
      </c>
      <c r="BA676" t="s">
        <v>74</v>
      </c>
      <c r="BB676">
        <v>491</v>
      </c>
      <c r="BC676">
        <v>510</v>
      </c>
      <c r="BD676" t="s">
        <v>74</v>
      </c>
      <c r="BE676" t="s">
        <v>12800</v>
      </c>
      <c r="BF676" t="str">
        <f>HYPERLINK("http://dx.doi.org/10.1108/CI-10-2018-0087","http://dx.doi.org/10.1108/CI-10-2018-0087")</f>
        <v>http://dx.doi.org/10.1108/CI-10-2018-0087</v>
      </c>
      <c r="BG676" t="s">
        <v>74</v>
      </c>
      <c r="BH676" t="s">
        <v>74</v>
      </c>
      <c r="BI676">
        <v>20</v>
      </c>
      <c r="BJ676" t="s">
        <v>446</v>
      </c>
      <c r="BK676" t="s">
        <v>124</v>
      </c>
      <c r="BL676" t="s">
        <v>446</v>
      </c>
      <c r="BM676" t="s">
        <v>447</v>
      </c>
      <c r="BN676" t="s">
        <v>74</v>
      </c>
      <c r="BO676" t="s">
        <v>594</v>
      </c>
      <c r="BP676" t="s">
        <v>74</v>
      </c>
      <c r="BQ676" t="s">
        <v>74</v>
      </c>
      <c r="BR676" t="s">
        <v>102</v>
      </c>
      <c r="BS676" t="s">
        <v>12801</v>
      </c>
      <c r="BT676" t="str">
        <f>HYPERLINK("https%3A%2F%2Fwww.webofscience.com%2Fwos%2Fwoscc%2Ffull-record%2FWOS:000479238300009","View Full Record in Web of Science")</f>
        <v>View Full Record in Web of Science</v>
      </c>
    </row>
    <row r="677" spans="1:72" x14ac:dyDescent="0.2">
      <c r="A677" t="s">
        <v>72</v>
      </c>
      <c r="B677" t="s">
        <v>12802</v>
      </c>
      <c r="C677" t="s">
        <v>74</v>
      </c>
      <c r="D677" t="s">
        <v>74</v>
      </c>
      <c r="E677" t="s">
        <v>74</v>
      </c>
      <c r="F677" t="s">
        <v>12803</v>
      </c>
      <c r="G677" t="s">
        <v>74</v>
      </c>
      <c r="H677" t="s">
        <v>74</v>
      </c>
      <c r="I677" t="s">
        <v>12804</v>
      </c>
      <c r="J677" t="s">
        <v>12805</v>
      </c>
      <c r="K677" t="s">
        <v>74</v>
      </c>
      <c r="L677" t="s">
        <v>74</v>
      </c>
      <c r="M677" t="s">
        <v>78</v>
      </c>
      <c r="N677" t="s">
        <v>108</v>
      </c>
      <c r="O677" t="s">
        <v>74</v>
      </c>
      <c r="P677" t="s">
        <v>74</v>
      </c>
      <c r="Q677" t="s">
        <v>74</v>
      </c>
      <c r="R677" t="s">
        <v>74</v>
      </c>
      <c r="S677" t="s">
        <v>74</v>
      </c>
      <c r="T677" t="s">
        <v>12806</v>
      </c>
      <c r="U677" t="s">
        <v>74</v>
      </c>
      <c r="V677" t="s">
        <v>12807</v>
      </c>
      <c r="W677" t="s">
        <v>12808</v>
      </c>
      <c r="X677" t="s">
        <v>12809</v>
      </c>
      <c r="Y677" t="s">
        <v>12810</v>
      </c>
      <c r="Z677" t="s">
        <v>12811</v>
      </c>
      <c r="AA677" t="s">
        <v>74</v>
      </c>
      <c r="AB677" t="s">
        <v>74</v>
      </c>
      <c r="AC677" t="s">
        <v>74</v>
      </c>
      <c r="AD677" t="s">
        <v>74</v>
      </c>
      <c r="AE677" t="s">
        <v>74</v>
      </c>
      <c r="AF677" t="s">
        <v>74</v>
      </c>
      <c r="AG677">
        <v>26</v>
      </c>
      <c r="AH677">
        <v>21</v>
      </c>
      <c r="AI677">
        <v>21</v>
      </c>
      <c r="AJ677">
        <v>0</v>
      </c>
      <c r="AK677">
        <v>18</v>
      </c>
      <c r="AL677" t="s">
        <v>636</v>
      </c>
      <c r="AM677" t="s">
        <v>637</v>
      </c>
      <c r="AN677" t="s">
        <v>638</v>
      </c>
      <c r="AO677" t="s">
        <v>12812</v>
      </c>
      <c r="AP677" t="s">
        <v>12813</v>
      </c>
      <c r="AQ677" t="s">
        <v>74</v>
      </c>
      <c r="AR677" t="s">
        <v>12814</v>
      </c>
      <c r="AS677" t="s">
        <v>12815</v>
      </c>
      <c r="AT677" t="s">
        <v>216</v>
      </c>
      <c r="AU677">
        <v>2010</v>
      </c>
      <c r="AV677">
        <v>16</v>
      </c>
      <c r="AW677">
        <v>4</v>
      </c>
      <c r="AX677" t="s">
        <v>74</v>
      </c>
      <c r="AY677" t="s">
        <v>74</v>
      </c>
      <c r="AZ677" t="s">
        <v>74</v>
      </c>
      <c r="BA677" t="s">
        <v>74</v>
      </c>
      <c r="BB677">
        <v>235</v>
      </c>
      <c r="BC677">
        <v>245</v>
      </c>
      <c r="BD677" t="s">
        <v>74</v>
      </c>
      <c r="BE677" t="s">
        <v>12816</v>
      </c>
      <c r="BF677" t="str">
        <f>HYPERLINK("http://dx.doi.org/10.1177/1460458210380529","http://dx.doi.org/10.1177/1460458210380529")</f>
        <v>http://dx.doi.org/10.1177/1460458210380529</v>
      </c>
      <c r="BG677" t="s">
        <v>74</v>
      </c>
      <c r="BH677" t="s">
        <v>74</v>
      </c>
      <c r="BI677">
        <v>11</v>
      </c>
      <c r="BJ677" t="s">
        <v>7981</v>
      </c>
      <c r="BK677" t="s">
        <v>147</v>
      </c>
      <c r="BL677" t="s">
        <v>7981</v>
      </c>
      <c r="BM677" t="s">
        <v>12817</v>
      </c>
      <c r="BN677">
        <v>21216804</v>
      </c>
      <c r="BO677" t="s">
        <v>74</v>
      </c>
      <c r="BP677" t="s">
        <v>74</v>
      </c>
      <c r="BQ677" t="s">
        <v>74</v>
      </c>
      <c r="BR677" t="s">
        <v>102</v>
      </c>
      <c r="BS677" t="s">
        <v>12818</v>
      </c>
      <c r="BT677" t="str">
        <f>HYPERLINK("https%3A%2F%2Fwww.webofscience.com%2Fwos%2Fwoscc%2Ffull-record%2FWOS:000285994700001","View Full Record in Web of Science")</f>
        <v>View Full Record in Web of Science</v>
      </c>
    </row>
    <row r="678" spans="1:72" x14ac:dyDescent="0.2">
      <c r="A678" t="s">
        <v>72</v>
      </c>
      <c r="B678" t="s">
        <v>12819</v>
      </c>
      <c r="C678" t="s">
        <v>74</v>
      </c>
      <c r="D678" t="s">
        <v>74</v>
      </c>
      <c r="E678" t="s">
        <v>74</v>
      </c>
      <c r="F678" t="s">
        <v>12819</v>
      </c>
      <c r="G678" t="s">
        <v>74</v>
      </c>
      <c r="H678" t="s">
        <v>74</v>
      </c>
      <c r="I678" t="s">
        <v>12820</v>
      </c>
      <c r="J678" t="s">
        <v>1782</v>
      </c>
      <c r="K678" t="s">
        <v>74</v>
      </c>
      <c r="L678" t="s">
        <v>74</v>
      </c>
      <c r="M678" t="s">
        <v>78</v>
      </c>
      <c r="N678" t="s">
        <v>482</v>
      </c>
      <c r="O678" t="s">
        <v>12821</v>
      </c>
      <c r="P678" t="s">
        <v>12822</v>
      </c>
      <c r="Q678" t="s">
        <v>12823</v>
      </c>
      <c r="R678" t="s">
        <v>12824</v>
      </c>
      <c r="S678" t="s">
        <v>74</v>
      </c>
      <c r="T678" t="s">
        <v>12825</v>
      </c>
      <c r="U678" t="s">
        <v>74</v>
      </c>
      <c r="V678" t="s">
        <v>12826</v>
      </c>
      <c r="W678" t="s">
        <v>12827</v>
      </c>
      <c r="X678" t="s">
        <v>12828</v>
      </c>
      <c r="Y678" t="s">
        <v>12829</v>
      </c>
      <c r="Z678" t="s">
        <v>12830</v>
      </c>
      <c r="AA678" t="s">
        <v>74</v>
      </c>
      <c r="AB678" t="s">
        <v>74</v>
      </c>
      <c r="AC678" t="s">
        <v>74</v>
      </c>
      <c r="AD678" t="s">
        <v>74</v>
      </c>
      <c r="AE678" t="s">
        <v>74</v>
      </c>
      <c r="AF678" t="s">
        <v>74</v>
      </c>
      <c r="AG678">
        <v>17</v>
      </c>
      <c r="AH678">
        <v>4</v>
      </c>
      <c r="AI678">
        <v>4</v>
      </c>
      <c r="AJ678">
        <v>0</v>
      </c>
      <c r="AK678">
        <v>2</v>
      </c>
      <c r="AL678" t="s">
        <v>209</v>
      </c>
      <c r="AM678" t="s">
        <v>210</v>
      </c>
      <c r="AN678" t="s">
        <v>211</v>
      </c>
      <c r="AO678" t="s">
        <v>1792</v>
      </c>
      <c r="AP678" t="s">
        <v>1793</v>
      </c>
      <c r="AQ678" t="s">
        <v>74</v>
      </c>
      <c r="AR678" t="s">
        <v>1794</v>
      </c>
      <c r="AS678" t="s">
        <v>1795</v>
      </c>
      <c r="AT678" t="s">
        <v>1796</v>
      </c>
      <c r="AU678">
        <v>2005</v>
      </c>
      <c r="AV678">
        <v>160</v>
      </c>
      <c r="AW678">
        <v>2</v>
      </c>
      <c r="AX678" t="s">
        <v>74</v>
      </c>
      <c r="AY678" t="s">
        <v>74</v>
      </c>
      <c r="AZ678" t="s">
        <v>74</v>
      </c>
      <c r="BA678" t="s">
        <v>74</v>
      </c>
      <c r="BB678">
        <v>353</v>
      </c>
      <c r="BC678">
        <v>364</v>
      </c>
      <c r="BD678" t="s">
        <v>74</v>
      </c>
      <c r="BE678" t="s">
        <v>12831</v>
      </c>
      <c r="BF678" t="str">
        <f>HYPERLINK("http://dx.doi.org/10.1016/j.ejor.2003.07.012","http://dx.doi.org/10.1016/j.ejor.2003.07.012")</f>
        <v>http://dx.doi.org/10.1016/j.ejor.2003.07.012</v>
      </c>
      <c r="BG678" t="s">
        <v>74</v>
      </c>
      <c r="BH678" t="s">
        <v>74</v>
      </c>
      <c r="BI678">
        <v>12</v>
      </c>
      <c r="BJ678" t="s">
        <v>524</v>
      </c>
      <c r="BK678" t="s">
        <v>3093</v>
      </c>
      <c r="BL678" t="s">
        <v>525</v>
      </c>
      <c r="BM678" t="s">
        <v>12832</v>
      </c>
      <c r="BN678" t="s">
        <v>74</v>
      </c>
      <c r="BO678" t="s">
        <v>74</v>
      </c>
      <c r="BP678" t="s">
        <v>74</v>
      </c>
      <c r="BQ678" t="s">
        <v>74</v>
      </c>
      <c r="BR678" t="s">
        <v>102</v>
      </c>
      <c r="BS678" t="s">
        <v>12833</v>
      </c>
      <c r="BT678" t="str">
        <f>HYPERLINK("https%3A%2F%2Fwww.webofscience.com%2Fwos%2Fwoscc%2Ffull-record%2FWOS:000224168700006","View Full Record in Web of Science")</f>
        <v>View Full Record in Web of Science</v>
      </c>
    </row>
    <row r="679" spans="1:72" x14ac:dyDescent="0.2">
      <c r="A679" t="s">
        <v>72</v>
      </c>
      <c r="B679" t="s">
        <v>12834</v>
      </c>
      <c r="C679" t="s">
        <v>74</v>
      </c>
      <c r="D679" t="s">
        <v>74</v>
      </c>
      <c r="E679" t="s">
        <v>74</v>
      </c>
      <c r="F679" t="s">
        <v>12835</v>
      </c>
      <c r="G679" t="s">
        <v>74</v>
      </c>
      <c r="H679" t="s">
        <v>74</v>
      </c>
      <c r="I679" t="s">
        <v>12836</v>
      </c>
      <c r="J679" t="s">
        <v>599</v>
      </c>
      <c r="K679" t="s">
        <v>74</v>
      </c>
      <c r="L679" t="s">
        <v>74</v>
      </c>
      <c r="M679" t="s">
        <v>78</v>
      </c>
      <c r="N679" t="s">
        <v>79</v>
      </c>
      <c r="O679" t="s">
        <v>74</v>
      </c>
      <c r="P679" t="s">
        <v>74</v>
      </c>
      <c r="Q679" t="s">
        <v>74</v>
      </c>
      <c r="R679" t="s">
        <v>74</v>
      </c>
      <c r="S679" t="s">
        <v>74</v>
      </c>
      <c r="T679" t="s">
        <v>12837</v>
      </c>
      <c r="U679" t="s">
        <v>12838</v>
      </c>
      <c r="V679" t="s">
        <v>12839</v>
      </c>
      <c r="W679" t="s">
        <v>12840</v>
      </c>
      <c r="X679" t="s">
        <v>12841</v>
      </c>
      <c r="Y679" t="s">
        <v>12842</v>
      </c>
      <c r="Z679" t="s">
        <v>12843</v>
      </c>
      <c r="AA679" t="s">
        <v>12844</v>
      </c>
      <c r="AB679" t="s">
        <v>12845</v>
      </c>
      <c r="AC679" t="s">
        <v>74</v>
      </c>
      <c r="AD679" t="s">
        <v>74</v>
      </c>
      <c r="AE679" t="s">
        <v>74</v>
      </c>
      <c r="AF679" t="s">
        <v>74</v>
      </c>
      <c r="AG679">
        <v>64</v>
      </c>
      <c r="AH679">
        <v>13</v>
      </c>
      <c r="AI679">
        <v>13</v>
      </c>
      <c r="AJ679">
        <v>10</v>
      </c>
      <c r="AK679">
        <v>29</v>
      </c>
      <c r="AL679" t="s">
        <v>259</v>
      </c>
      <c r="AM679" t="s">
        <v>260</v>
      </c>
      <c r="AN679" t="s">
        <v>261</v>
      </c>
      <c r="AO679" t="s">
        <v>74</v>
      </c>
      <c r="AP679" t="s">
        <v>614</v>
      </c>
      <c r="AQ679" t="s">
        <v>74</v>
      </c>
      <c r="AR679" t="s">
        <v>599</v>
      </c>
      <c r="AS679" t="s">
        <v>615</v>
      </c>
      <c r="AT679" t="s">
        <v>800</v>
      </c>
      <c r="AU679">
        <v>2022</v>
      </c>
      <c r="AV679">
        <v>8</v>
      </c>
      <c r="AW679">
        <v>4</v>
      </c>
      <c r="AX679" t="s">
        <v>74</v>
      </c>
      <c r="AY679" t="s">
        <v>74</v>
      </c>
      <c r="AZ679" t="s">
        <v>74</v>
      </c>
      <c r="BA679" t="s">
        <v>74</v>
      </c>
      <c r="BB679" t="s">
        <v>74</v>
      </c>
      <c r="BC679" t="s">
        <v>74</v>
      </c>
      <c r="BD679" t="s">
        <v>12846</v>
      </c>
      <c r="BE679" t="s">
        <v>12847</v>
      </c>
      <c r="BF679" t="str">
        <f>HYPERLINK("http://dx.doi.org/10.1016/j.heliyon.2022.e09270","http://dx.doi.org/10.1016/j.heliyon.2022.e09270")</f>
        <v>http://dx.doi.org/10.1016/j.heliyon.2022.e09270</v>
      </c>
      <c r="BG679" t="s">
        <v>74</v>
      </c>
      <c r="BH679" t="s">
        <v>1099</v>
      </c>
      <c r="BI679">
        <v>12</v>
      </c>
      <c r="BJ679" t="s">
        <v>620</v>
      </c>
      <c r="BK679" t="s">
        <v>98</v>
      </c>
      <c r="BL679" t="s">
        <v>621</v>
      </c>
      <c r="BM679" t="s">
        <v>12848</v>
      </c>
      <c r="BN679">
        <v>35464696</v>
      </c>
      <c r="BO679" t="s">
        <v>623</v>
      </c>
      <c r="BP679" t="s">
        <v>74</v>
      </c>
      <c r="BQ679" t="s">
        <v>74</v>
      </c>
      <c r="BR679" t="s">
        <v>102</v>
      </c>
      <c r="BS679" t="s">
        <v>12849</v>
      </c>
      <c r="BT679" t="str">
        <f>HYPERLINK("https%3A%2F%2Fwww.webofscience.com%2Fwos%2Fwoscc%2Ffull-record%2FWOS:000807485800009","View Full Record in Web of Science")</f>
        <v>View Full Record in Web of Science</v>
      </c>
    </row>
    <row r="680" spans="1:72" x14ac:dyDescent="0.2">
      <c r="A680" t="s">
        <v>72</v>
      </c>
      <c r="B680" t="s">
        <v>12850</v>
      </c>
      <c r="C680" t="s">
        <v>74</v>
      </c>
      <c r="D680" t="s">
        <v>74</v>
      </c>
      <c r="E680" t="s">
        <v>74</v>
      </c>
      <c r="F680" t="s">
        <v>12851</v>
      </c>
      <c r="G680" t="s">
        <v>74</v>
      </c>
      <c r="H680" t="s">
        <v>74</v>
      </c>
      <c r="I680" t="s">
        <v>12852</v>
      </c>
      <c r="J680" t="s">
        <v>976</v>
      </c>
      <c r="K680" t="s">
        <v>74</v>
      </c>
      <c r="L680" t="s">
        <v>74</v>
      </c>
      <c r="M680" t="s">
        <v>78</v>
      </c>
      <c r="N680" t="s">
        <v>108</v>
      </c>
      <c r="O680" t="s">
        <v>74</v>
      </c>
      <c r="P680" t="s">
        <v>74</v>
      </c>
      <c r="Q680" t="s">
        <v>74</v>
      </c>
      <c r="R680" t="s">
        <v>74</v>
      </c>
      <c r="S680" t="s">
        <v>74</v>
      </c>
      <c r="T680" t="s">
        <v>12853</v>
      </c>
      <c r="U680" t="s">
        <v>12854</v>
      </c>
      <c r="V680" t="s">
        <v>12855</v>
      </c>
      <c r="W680" t="s">
        <v>12856</v>
      </c>
      <c r="X680" t="s">
        <v>12857</v>
      </c>
      <c r="Y680" t="s">
        <v>12858</v>
      </c>
      <c r="Z680" t="s">
        <v>12859</v>
      </c>
      <c r="AA680" t="s">
        <v>12860</v>
      </c>
      <c r="AB680" t="s">
        <v>12861</v>
      </c>
      <c r="AC680" t="s">
        <v>74</v>
      </c>
      <c r="AD680" t="s">
        <v>74</v>
      </c>
      <c r="AE680" t="s">
        <v>74</v>
      </c>
      <c r="AF680" t="s">
        <v>74</v>
      </c>
      <c r="AG680">
        <v>61</v>
      </c>
      <c r="AH680">
        <v>0</v>
      </c>
      <c r="AI680">
        <v>0</v>
      </c>
      <c r="AJ680">
        <v>16</v>
      </c>
      <c r="AK680">
        <v>25</v>
      </c>
      <c r="AL680" t="s">
        <v>259</v>
      </c>
      <c r="AM680" t="s">
        <v>260</v>
      </c>
      <c r="AN680" t="s">
        <v>261</v>
      </c>
      <c r="AO680" t="s">
        <v>989</v>
      </c>
      <c r="AP680" t="s">
        <v>990</v>
      </c>
      <c r="AQ680" t="s">
        <v>74</v>
      </c>
      <c r="AR680" t="s">
        <v>991</v>
      </c>
      <c r="AS680" t="s">
        <v>992</v>
      </c>
      <c r="AT680" t="s">
        <v>12862</v>
      </c>
      <c r="AU680">
        <v>2023</v>
      </c>
      <c r="AV680">
        <v>389</v>
      </c>
      <c r="AW680" t="s">
        <v>74</v>
      </c>
      <c r="AX680" t="s">
        <v>74</v>
      </c>
      <c r="AY680" t="s">
        <v>74</v>
      </c>
      <c r="AZ680" t="s">
        <v>74</v>
      </c>
      <c r="BA680" t="s">
        <v>74</v>
      </c>
      <c r="BB680" t="s">
        <v>74</v>
      </c>
      <c r="BC680" t="s">
        <v>74</v>
      </c>
      <c r="BD680">
        <v>136094</v>
      </c>
      <c r="BE680" t="s">
        <v>12863</v>
      </c>
      <c r="BF680" t="str">
        <f>HYPERLINK("http://dx.doi.org/10.1016/j.jclepro.2023.136094","http://dx.doi.org/10.1016/j.jclepro.2023.136094")</f>
        <v>http://dx.doi.org/10.1016/j.jclepro.2023.136094</v>
      </c>
      <c r="BG680" t="s">
        <v>74</v>
      </c>
      <c r="BH680" t="s">
        <v>779</v>
      </c>
      <c r="BI680">
        <v>17</v>
      </c>
      <c r="BJ680" t="s">
        <v>995</v>
      </c>
      <c r="BK680" t="s">
        <v>98</v>
      </c>
      <c r="BL680" t="s">
        <v>996</v>
      </c>
      <c r="BM680" t="s">
        <v>12864</v>
      </c>
      <c r="BN680" t="s">
        <v>74</v>
      </c>
      <c r="BO680" t="s">
        <v>74</v>
      </c>
      <c r="BP680" t="s">
        <v>74</v>
      </c>
      <c r="BQ680" t="s">
        <v>74</v>
      </c>
      <c r="BR680" t="s">
        <v>102</v>
      </c>
      <c r="BS680" t="s">
        <v>12865</v>
      </c>
      <c r="BT680" t="str">
        <f>HYPERLINK("https%3A%2F%2Fwww.webofscience.com%2Fwos%2Fwoscc%2Ffull-record%2FWOS:000925672600001","View Full Record in Web of Science")</f>
        <v>View Full Record in Web of Science</v>
      </c>
    </row>
    <row r="681" spans="1:72" x14ac:dyDescent="0.2">
      <c r="A681" t="s">
        <v>72</v>
      </c>
      <c r="B681" t="s">
        <v>12866</v>
      </c>
      <c r="C681" t="s">
        <v>74</v>
      </c>
      <c r="D681" t="s">
        <v>74</v>
      </c>
      <c r="E681" t="s">
        <v>74</v>
      </c>
      <c r="F681" t="s">
        <v>12867</v>
      </c>
      <c r="G681" t="s">
        <v>74</v>
      </c>
      <c r="H681" t="s">
        <v>74</v>
      </c>
      <c r="I681" t="s">
        <v>12868</v>
      </c>
      <c r="J681" t="s">
        <v>7209</v>
      </c>
      <c r="K681" t="s">
        <v>74</v>
      </c>
      <c r="L681" t="s">
        <v>74</v>
      </c>
      <c r="M681" t="s">
        <v>78</v>
      </c>
      <c r="N681" t="s">
        <v>108</v>
      </c>
      <c r="O681" t="s">
        <v>74</v>
      </c>
      <c r="P681" t="s">
        <v>74</v>
      </c>
      <c r="Q681" t="s">
        <v>74</v>
      </c>
      <c r="R681" t="s">
        <v>74</v>
      </c>
      <c r="S681" t="s">
        <v>74</v>
      </c>
      <c r="T681" t="s">
        <v>12869</v>
      </c>
      <c r="U681" t="s">
        <v>12870</v>
      </c>
      <c r="V681" t="s">
        <v>12871</v>
      </c>
      <c r="W681" t="s">
        <v>12872</v>
      </c>
      <c r="X681" t="s">
        <v>12873</v>
      </c>
      <c r="Y681" t="s">
        <v>12874</v>
      </c>
      <c r="Z681" t="s">
        <v>12875</v>
      </c>
      <c r="AA681" t="s">
        <v>12876</v>
      </c>
      <c r="AB681" t="s">
        <v>12877</v>
      </c>
      <c r="AC681" t="s">
        <v>12878</v>
      </c>
      <c r="AD681" t="s">
        <v>12879</v>
      </c>
      <c r="AE681" t="s">
        <v>12880</v>
      </c>
      <c r="AF681" t="s">
        <v>74</v>
      </c>
      <c r="AG681">
        <v>58</v>
      </c>
      <c r="AH681">
        <v>0</v>
      </c>
      <c r="AI681">
        <v>0</v>
      </c>
      <c r="AJ681">
        <v>1</v>
      </c>
      <c r="AK681">
        <v>1</v>
      </c>
      <c r="AL681" t="s">
        <v>209</v>
      </c>
      <c r="AM681" t="s">
        <v>210</v>
      </c>
      <c r="AN681" t="s">
        <v>211</v>
      </c>
      <c r="AO681" t="s">
        <v>7218</v>
      </c>
      <c r="AP681" t="s">
        <v>7219</v>
      </c>
      <c r="AQ681" t="s">
        <v>74</v>
      </c>
      <c r="AR681" t="s">
        <v>7220</v>
      </c>
      <c r="AS681" t="s">
        <v>7221</v>
      </c>
      <c r="AT681" t="s">
        <v>74</v>
      </c>
      <c r="AU681">
        <v>2023</v>
      </c>
      <c r="AV681">
        <v>12</v>
      </c>
      <c r="AW681" t="s">
        <v>74</v>
      </c>
      <c r="AX681" t="s">
        <v>74</v>
      </c>
      <c r="AY681" t="s">
        <v>74</v>
      </c>
      <c r="AZ681" t="s">
        <v>74</v>
      </c>
      <c r="BA681" t="s">
        <v>74</v>
      </c>
      <c r="BB681" t="s">
        <v>74</v>
      </c>
      <c r="BC681" t="s">
        <v>74</v>
      </c>
      <c r="BD681">
        <v>100114</v>
      </c>
      <c r="BE681" t="s">
        <v>12881</v>
      </c>
      <c r="BF681" t="str">
        <f>HYPERLINK("http://dx.doi.org/10.1016/j.ejtl.2023.100114","http://dx.doi.org/10.1016/j.ejtl.2023.100114")</f>
        <v>http://dx.doi.org/10.1016/j.ejtl.2023.100114</v>
      </c>
      <c r="BG681" t="s">
        <v>74</v>
      </c>
      <c r="BH681" t="s">
        <v>74</v>
      </c>
      <c r="BI681">
        <v>12</v>
      </c>
      <c r="BJ681" t="s">
        <v>7223</v>
      </c>
      <c r="BK681" t="s">
        <v>124</v>
      </c>
      <c r="BL681" t="s">
        <v>7224</v>
      </c>
      <c r="BM681" t="s">
        <v>12882</v>
      </c>
      <c r="BN681" t="s">
        <v>74</v>
      </c>
      <c r="BO681" t="s">
        <v>126</v>
      </c>
      <c r="BP681" t="s">
        <v>74</v>
      </c>
      <c r="BQ681" t="s">
        <v>74</v>
      </c>
      <c r="BR681" t="s">
        <v>102</v>
      </c>
      <c r="BS681" t="s">
        <v>12883</v>
      </c>
      <c r="BT681" t="str">
        <f>HYPERLINK("https%3A%2F%2Fwww.webofscience.com%2Fwos%2Fwoscc%2Ffull-record%2FWOS:001047582000001","View Full Record in Web of Science")</f>
        <v>View Full Record in Web of Science</v>
      </c>
    </row>
    <row r="682" spans="1:72" x14ac:dyDescent="0.2">
      <c r="A682" t="s">
        <v>72</v>
      </c>
      <c r="B682" t="s">
        <v>12884</v>
      </c>
      <c r="C682" t="s">
        <v>74</v>
      </c>
      <c r="D682" t="s">
        <v>74</v>
      </c>
      <c r="E682" t="s">
        <v>74</v>
      </c>
      <c r="F682" t="s">
        <v>12885</v>
      </c>
      <c r="G682" t="s">
        <v>74</v>
      </c>
      <c r="H682" t="s">
        <v>74</v>
      </c>
      <c r="I682" t="s">
        <v>12886</v>
      </c>
      <c r="J682" t="s">
        <v>311</v>
      </c>
      <c r="K682" t="s">
        <v>74</v>
      </c>
      <c r="L682" t="s">
        <v>74</v>
      </c>
      <c r="M682" t="s">
        <v>78</v>
      </c>
      <c r="N682" t="s">
        <v>917</v>
      </c>
      <c r="O682" t="s">
        <v>74</v>
      </c>
      <c r="P682" t="s">
        <v>74</v>
      </c>
      <c r="Q682" t="s">
        <v>74</v>
      </c>
      <c r="R682" t="s">
        <v>74</v>
      </c>
      <c r="S682" t="s">
        <v>74</v>
      </c>
      <c r="T682" t="s">
        <v>12887</v>
      </c>
      <c r="U682" t="s">
        <v>12888</v>
      </c>
      <c r="V682" t="s">
        <v>12889</v>
      </c>
      <c r="W682" t="s">
        <v>12890</v>
      </c>
      <c r="X682" t="s">
        <v>12891</v>
      </c>
      <c r="Y682" t="s">
        <v>12892</v>
      </c>
      <c r="Z682" t="s">
        <v>12893</v>
      </c>
      <c r="AA682" t="s">
        <v>12894</v>
      </c>
      <c r="AB682" t="s">
        <v>12895</v>
      </c>
      <c r="AC682" t="s">
        <v>12896</v>
      </c>
      <c r="AD682" t="s">
        <v>12897</v>
      </c>
      <c r="AE682" t="s">
        <v>12898</v>
      </c>
      <c r="AF682" t="s">
        <v>74</v>
      </c>
      <c r="AG682">
        <v>50</v>
      </c>
      <c r="AH682">
        <v>2</v>
      </c>
      <c r="AI682">
        <v>2</v>
      </c>
      <c r="AJ682">
        <v>13</v>
      </c>
      <c r="AK682">
        <v>64</v>
      </c>
      <c r="AL682" t="s">
        <v>321</v>
      </c>
      <c r="AM682" t="s">
        <v>322</v>
      </c>
      <c r="AN682" t="s">
        <v>323</v>
      </c>
      <c r="AO682" t="s">
        <v>324</v>
      </c>
      <c r="AP682" t="s">
        <v>325</v>
      </c>
      <c r="AQ682" t="s">
        <v>74</v>
      </c>
      <c r="AR682" t="s">
        <v>326</v>
      </c>
      <c r="AS682" t="s">
        <v>327</v>
      </c>
      <c r="AT682" t="s">
        <v>12899</v>
      </c>
      <c r="AU682">
        <v>2021</v>
      </c>
      <c r="AV682" t="s">
        <v>74</v>
      </c>
      <c r="AW682" t="s">
        <v>74</v>
      </c>
      <c r="AX682" t="s">
        <v>74</v>
      </c>
      <c r="AY682" t="s">
        <v>74</v>
      </c>
      <c r="AZ682" t="s">
        <v>74</v>
      </c>
      <c r="BA682" t="s">
        <v>74</v>
      </c>
      <c r="BB682" t="s">
        <v>74</v>
      </c>
      <c r="BC682" t="s">
        <v>74</v>
      </c>
      <c r="BD682" t="s">
        <v>74</v>
      </c>
      <c r="BE682" t="s">
        <v>12900</v>
      </c>
      <c r="BF682" t="str">
        <f>HYPERLINK("http://dx.doi.org/10.1007/s10479-021-04335-2","http://dx.doi.org/10.1007/s10479-021-04335-2")</f>
        <v>http://dx.doi.org/10.1007/s10479-021-04335-2</v>
      </c>
      <c r="BG682" t="s">
        <v>74</v>
      </c>
      <c r="BH682" t="s">
        <v>267</v>
      </c>
      <c r="BI682">
        <v>27</v>
      </c>
      <c r="BJ682" t="s">
        <v>330</v>
      </c>
      <c r="BK682" t="s">
        <v>98</v>
      </c>
      <c r="BL682" t="s">
        <v>330</v>
      </c>
      <c r="BM682" t="s">
        <v>12901</v>
      </c>
      <c r="BN682" t="s">
        <v>74</v>
      </c>
      <c r="BO682" t="s">
        <v>74</v>
      </c>
      <c r="BP682" t="s">
        <v>74</v>
      </c>
      <c r="BQ682" t="s">
        <v>74</v>
      </c>
      <c r="BR682" t="s">
        <v>102</v>
      </c>
      <c r="BS682" t="s">
        <v>12902</v>
      </c>
      <c r="BT682" t="str">
        <f>HYPERLINK("https%3A%2F%2Fwww.webofscience.com%2Fwos%2Fwoscc%2Ffull-record%2FWOS:000708800600003","View Full Record in Web of Science")</f>
        <v>View Full Record in Web of Science</v>
      </c>
    </row>
    <row r="683" spans="1:72" x14ac:dyDescent="0.2">
      <c r="A683" t="s">
        <v>72</v>
      </c>
      <c r="B683" t="s">
        <v>12903</v>
      </c>
      <c r="C683" t="s">
        <v>74</v>
      </c>
      <c r="D683" t="s">
        <v>74</v>
      </c>
      <c r="E683" t="s">
        <v>74</v>
      </c>
      <c r="F683" t="s">
        <v>12904</v>
      </c>
      <c r="G683" t="s">
        <v>74</v>
      </c>
      <c r="H683" t="s">
        <v>74</v>
      </c>
      <c r="I683" t="s">
        <v>12905</v>
      </c>
      <c r="J683" t="s">
        <v>1317</v>
      </c>
      <c r="K683" t="s">
        <v>74</v>
      </c>
      <c r="L683" t="s">
        <v>74</v>
      </c>
      <c r="M683" t="s">
        <v>78</v>
      </c>
      <c r="N683" t="s">
        <v>108</v>
      </c>
      <c r="O683" t="s">
        <v>74</v>
      </c>
      <c r="P683" t="s">
        <v>74</v>
      </c>
      <c r="Q683" t="s">
        <v>74</v>
      </c>
      <c r="R683" t="s">
        <v>74</v>
      </c>
      <c r="S683" t="s">
        <v>74</v>
      </c>
      <c r="T683" t="s">
        <v>12906</v>
      </c>
      <c r="U683" t="s">
        <v>12907</v>
      </c>
      <c r="V683" t="s">
        <v>12908</v>
      </c>
      <c r="W683" t="s">
        <v>12909</v>
      </c>
      <c r="X683" t="s">
        <v>12910</v>
      </c>
      <c r="Y683" t="s">
        <v>9079</v>
      </c>
      <c r="Z683" t="s">
        <v>10846</v>
      </c>
      <c r="AA683" t="s">
        <v>12911</v>
      </c>
      <c r="AB683" t="s">
        <v>12912</v>
      </c>
      <c r="AC683" t="s">
        <v>74</v>
      </c>
      <c r="AD683" t="s">
        <v>74</v>
      </c>
      <c r="AE683" t="s">
        <v>74</v>
      </c>
      <c r="AF683" t="s">
        <v>74</v>
      </c>
      <c r="AG683">
        <v>250</v>
      </c>
      <c r="AH683">
        <v>3</v>
      </c>
      <c r="AI683">
        <v>3</v>
      </c>
      <c r="AJ683">
        <v>14</v>
      </c>
      <c r="AK683">
        <v>38</v>
      </c>
      <c r="AL683" t="s">
        <v>437</v>
      </c>
      <c r="AM683" t="s">
        <v>438</v>
      </c>
      <c r="AN683" t="s">
        <v>439</v>
      </c>
      <c r="AO683" t="s">
        <v>1325</v>
      </c>
      <c r="AP683" t="s">
        <v>1326</v>
      </c>
      <c r="AQ683" t="s">
        <v>74</v>
      </c>
      <c r="AR683" t="s">
        <v>1327</v>
      </c>
      <c r="AS683" t="s">
        <v>1328</v>
      </c>
      <c r="AT683" t="s">
        <v>12913</v>
      </c>
      <c r="AU683">
        <v>2023</v>
      </c>
      <c r="AV683">
        <v>30</v>
      </c>
      <c r="AW683">
        <v>3</v>
      </c>
      <c r="AX683" t="s">
        <v>74</v>
      </c>
      <c r="AY683" t="s">
        <v>74</v>
      </c>
      <c r="AZ683" t="s">
        <v>74</v>
      </c>
      <c r="BA683" t="s">
        <v>74</v>
      </c>
      <c r="BB683">
        <v>834</v>
      </c>
      <c r="BC683">
        <v>867</v>
      </c>
      <c r="BD683" t="s">
        <v>74</v>
      </c>
      <c r="BE683" t="s">
        <v>12914</v>
      </c>
      <c r="BF683" t="str">
        <f>HYPERLINK("http://dx.doi.org/10.1108/BIJ-12-2021-0755","http://dx.doi.org/10.1108/BIJ-12-2021-0755")</f>
        <v>http://dx.doi.org/10.1108/BIJ-12-2021-0755</v>
      </c>
      <c r="BG683" t="s">
        <v>74</v>
      </c>
      <c r="BH683" t="s">
        <v>1099</v>
      </c>
      <c r="BI683">
        <v>34</v>
      </c>
      <c r="BJ683" t="s">
        <v>418</v>
      </c>
      <c r="BK683" t="s">
        <v>124</v>
      </c>
      <c r="BL683" t="s">
        <v>419</v>
      </c>
      <c r="BM683" t="s">
        <v>12915</v>
      </c>
      <c r="BN683" t="s">
        <v>74</v>
      </c>
      <c r="BO683" t="s">
        <v>74</v>
      </c>
      <c r="BP683" t="s">
        <v>74</v>
      </c>
      <c r="BQ683" t="s">
        <v>74</v>
      </c>
      <c r="BR683" t="s">
        <v>102</v>
      </c>
      <c r="BS683" t="s">
        <v>12916</v>
      </c>
      <c r="BT683" t="str">
        <f>HYPERLINK("https%3A%2F%2Fwww.webofscience.com%2Fwos%2Fwoscc%2Ffull-record%2FWOS:000775899300001","View Full Record in Web of Science")</f>
        <v>View Full Record in Web of Science</v>
      </c>
    </row>
    <row r="684" spans="1:72" x14ac:dyDescent="0.2">
      <c r="A684" t="s">
        <v>72</v>
      </c>
      <c r="B684" t="s">
        <v>12917</v>
      </c>
      <c r="C684" t="s">
        <v>74</v>
      </c>
      <c r="D684" t="s">
        <v>74</v>
      </c>
      <c r="E684" t="s">
        <v>74</v>
      </c>
      <c r="F684" t="s">
        <v>12918</v>
      </c>
      <c r="G684" t="s">
        <v>74</v>
      </c>
      <c r="H684" t="s">
        <v>74</v>
      </c>
      <c r="I684" t="s">
        <v>12919</v>
      </c>
      <c r="J684" t="s">
        <v>12920</v>
      </c>
      <c r="K684" t="s">
        <v>74</v>
      </c>
      <c r="L684" t="s">
        <v>74</v>
      </c>
      <c r="M684" t="s">
        <v>78</v>
      </c>
      <c r="N684" t="s">
        <v>108</v>
      </c>
      <c r="O684" t="s">
        <v>74</v>
      </c>
      <c r="P684" t="s">
        <v>74</v>
      </c>
      <c r="Q684" t="s">
        <v>74</v>
      </c>
      <c r="R684" t="s">
        <v>74</v>
      </c>
      <c r="S684" t="s">
        <v>74</v>
      </c>
      <c r="T684" t="s">
        <v>12921</v>
      </c>
      <c r="U684" t="s">
        <v>12922</v>
      </c>
      <c r="V684" t="s">
        <v>12923</v>
      </c>
      <c r="W684" t="s">
        <v>12924</v>
      </c>
      <c r="X684" t="s">
        <v>12925</v>
      </c>
      <c r="Y684" t="s">
        <v>12926</v>
      </c>
      <c r="Z684" t="s">
        <v>12927</v>
      </c>
      <c r="AA684" t="s">
        <v>12928</v>
      </c>
      <c r="AB684" t="s">
        <v>12929</v>
      </c>
      <c r="AC684" t="s">
        <v>12930</v>
      </c>
      <c r="AD684" t="s">
        <v>12931</v>
      </c>
      <c r="AE684" t="s">
        <v>12932</v>
      </c>
      <c r="AF684" t="s">
        <v>74</v>
      </c>
      <c r="AG684">
        <v>50</v>
      </c>
      <c r="AH684">
        <v>20</v>
      </c>
      <c r="AI684">
        <v>23</v>
      </c>
      <c r="AJ684">
        <v>15</v>
      </c>
      <c r="AK684">
        <v>69</v>
      </c>
      <c r="AL684" t="s">
        <v>543</v>
      </c>
      <c r="AM684" t="s">
        <v>260</v>
      </c>
      <c r="AN684" t="s">
        <v>544</v>
      </c>
      <c r="AO684" t="s">
        <v>12933</v>
      </c>
      <c r="AP684" t="s">
        <v>12934</v>
      </c>
      <c r="AQ684" t="s">
        <v>74</v>
      </c>
      <c r="AR684" t="s">
        <v>12935</v>
      </c>
      <c r="AS684" t="s">
        <v>12936</v>
      </c>
      <c r="AT684" t="s">
        <v>12937</v>
      </c>
      <c r="AU684">
        <v>2020</v>
      </c>
      <c r="AV684">
        <v>45</v>
      </c>
      <c r="AW684">
        <v>41</v>
      </c>
      <c r="AX684" t="s">
        <v>74</v>
      </c>
      <c r="AY684" t="s">
        <v>74</v>
      </c>
      <c r="AZ684" t="s">
        <v>74</v>
      </c>
      <c r="BA684" t="s">
        <v>74</v>
      </c>
      <c r="BB684">
        <v>20721</v>
      </c>
      <c r="BC684">
        <v>20739</v>
      </c>
      <c r="BD684" t="s">
        <v>74</v>
      </c>
      <c r="BE684" t="s">
        <v>12938</v>
      </c>
      <c r="BF684" t="str">
        <f>HYPERLINK("http://dx.doi.org/10.1016/j.ijhydene.2020.05.207","http://dx.doi.org/10.1016/j.ijhydene.2020.05.207")</f>
        <v>http://dx.doi.org/10.1016/j.ijhydene.2020.05.207</v>
      </c>
      <c r="BG684" t="s">
        <v>74</v>
      </c>
      <c r="BH684" t="s">
        <v>74</v>
      </c>
      <c r="BI684">
        <v>19</v>
      </c>
      <c r="BJ684" t="s">
        <v>12939</v>
      </c>
      <c r="BK684" t="s">
        <v>98</v>
      </c>
      <c r="BL684" t="s">
        <v>12940</v>
      </c>
      <c r="BM684" t="s">
        <v>12941</v>
      </c>
      <c r="BN684" t="s">
        <v>74</v>
      </c>
      <c r="BO684" t="s">
        <v>74</v>
      </c>
      <c r="BP684" t="s">
        <v>74</v>
      </c>
      <c r="BQ684" t="s">
        <v>74</v>
      </c>
      <c r="BR684" t="s">
        <v>102</v>
      </c>
      <c r="BS684" t="s">
        <v>12942</v>
      </c>
      <c r="BT684" t="str">
        <f>HYPERLINK("https%3A%2F%2Fwww.webofscience.com%2Fwos%2Fwoscc%2Ffull-record%2FWOS:000558598300003","View Full Record in Web of Science")</f>
        <v>View Full Record in Web of Science</v>
      </c>
    </row>
    <row r="685" spans="1:72" x14ac:dyDescent="0.2">
      <c r="A685" t="s">
        <v>72</v>
      </c>
      <c r="B685" t="s">
        <v>12943</v>
      </c>
      <c r="C685" t="s">
        <v>74</v>
      </c>
      <c r="D685" t="s">
        <v>74</v>
      </c>
      <c r="E685" t="s">
        <v>74</v>
      </c>
      <c r="F685" t="s">
        <v>12944</v>
      </c>
      <c r="G685" t="s">
        <v>74</v>
      </c>
      <c r="H685" t="s">
        <v>74</v>
      </c>
      <c r="I685" t="s">
        <v>12945</v>
      </c>
      <c r="J685" t="s">
        <v>12946</v>
      </c>
      <c r="K685" t="s">
        <v>74</v>
      </c>
      <c r="L685" t="s">
        <v>74</v>
      </c>
      <c r="M685" t="s">
        <v>78</v>
      </c>
      <c r="N685" t="s">
        <v>108</v>
      </c>
      <c r="O685" t="s">
        <v>74</v>
      </c>
      <c r="P685" t="s">
        <v>74</v>
      </c>
      <c r="Q685" t="s">
        <v>74</v>
      </c>
      <c r="R685" t="s">
        <v>74</v>
      </c>
      <c r="S685" t="s">
        <v>74</v>
      </c>
      <c r="T685" t="s">
        <v>12947</v>
      </c>
      <c r="U685" t="s">
        <v>12948</v>
      </c>
      <c r="V685" t="s">
        <v>12949</v>
      </c>
      <c r="W685" t="s">
        <v>12950</v>
      </c>
      <c r="X685" t="s">
        <v>12951</v>
      </c>
      <c r="Y685" t="s">
        <v>12952</v>
      </c>
      <c r="Z685" t="s">
        <v>12953</v>
      </c>
      <c r="AA685" t="s">
        <v>74</v>
      </c>
      <c r="AB685" t="s">
        <v>12954</v>
      </c>
      <c r="AC685" t="s">
        <v>12955</v>
      </c>
      <c r="AD685" t="s">
        <v>12956</v>
      </c>
      <c r="AE685" t="s">
        <v>12957</v>
      </c>
      <c r="AF685" t="s">
        <v>74</v>
      </c>
      <c r="AG685">
        <v>59</v>
      </c>
      <c r="AH685">
        <v>14</v>
      </c>
      <c r="AI685">
        <v>14</v>
      </c>
      <c r="AJ685">
        <v>0</v>
      </c>
      <c r="AK685">
        <v>13</v>
      </c>
      <c r="AL685" t="s">
        <v>259</v>
      </c>
      <c r="AM685" t="s">
        <v>260</v>
      </c>
      <c r="AN685" t="s">
        <v>261</v>
      </c>
      <c r="AO685" t="s">
        <v>12958</v>
      </c>
      <c r="AP685" t="s">
        <v>12959</v>
      </c>
      <c r="AQ685" t="s">
        <v>74</v>
      </c>
      <c r="AR685" t="s">
        <v>12960</v>
      </c>
      <c r="AS685" t="s">
        <v>12961</v>
      </c>
      <c r="AT685" t="s">
        <v>174</v>
      </c>
      <c r="AU685">
        <v>2020</v>
      </c>
      <c r="AV685">
        <v>123</v>
      </c>
      <c r="AW685" t="s">
        <v>74</v>
      </c>
      <c r="AX685" t="s">
        <v>74</v>
      </c>
      <c r="AY685" t="s">
        <v>74</v>
      </c>
      <c r="AZ685" t="s">
        <v>74</v>
      </c>
      <c r="BA685" t="s">
        <v>74</v>
      </c>
      <c r="BB685" t="s">
        <v>74</v>
      </c>
      <c r="BC685" t="s">
        <v>74</v>
      </c>
      <c r="BD685">
        <v>102280</v>
      </c>
      <c r="BE685" t="s">
        <v>12962</v>
      </c>
      <c r="BF685" t="str">
        <f>HYPERLINK("http://dx.doi.org/10.1016/j.apgeog.2020.102280","http://dx.doi.org/10.1016/j.apgeog.2020.102280")</f>
        <v>http://dx.doi.org/10.1016/j.apgeog.2020.102280</v>
      </c>
      <c r="BG685" t="s">
        <v>74</v>
      </c>
      <c r="BH685" t="s">
        <v>74</v>
      </c>
      <c r="BI685">
        <v>11</v>
      </c>
      <c r="BJ685" t="s">
        <v>11571</v>
      </c>
      <c r="BK685" t="s">
        <v>242</v>
      </c>
      <c r="BL685" t="s">
        <v>11571</v>
      </c>
      <c r="BM685" t="s">
        <v>12963</v>
      </c>
      <c r="BN685" t="s">
        <v>74</v>
      </c>
      <c r="BO685" t="s">
        <v>74</v>
      </c>
      <c r="BP685" t="s">
        <v>74</v>
      </c>
      <c r="BQ685" t="s">
        <v>74</v>
      </c>
      <c r="BR685" t="s">
        <v>102</v>
      </c>
      <c r="BS685" t="s">
        <v>12964</v>
      </c>
      <c r="BT685" t="str">
        <f>HYPERLINK("https%3A%2F%2Fwww.webofscience.com%2Fwos%2Fwoscc%2Ffull-record%2FWOS:000581742200011","View Full Record in Web of Science")</f>
        <v>View Full Record in Web of Science</v>
      </c>
    </row>
    <row r="686" spans="1:72" x14ac:dyDescent="0.2">
      <c r="A686" t="s">
        <v>72</v>
      </c>
      <c r="B686" t="s">
        <v>12965</v>
      </c>
      <c r="C686" t="s">
        <v>74</v>
      </c>
      <c r="D686" t="s">
        <v>74</v>
      </c>
      <c r="E686" t="s">
        <v>74</v>
      </c>
      <c r="F686" t="s">
        <v>12966</v>
      </c>
      <c r="G686" t="s">
        <v>74</v>
      </c>
      <c r="H686" t="s">
        <v>74</v>
      </c>
      <c r="I686" t="s">
        <v>12967</v>
      </c>
      <c r="J686" t="s">
        <v>7807</v>
      </c>
      <c r="K686" t="s">
        <v>74</v>
      </c>
      <c r="L686" t="s">
        <v>74</v>
      </c>
      <c r="M686" t="s">
        <v>78</v>
      </c>
      <c r="N686" t="s">
        <v>917</v>
      </c>
      <c r="O686" t="s">
        <v>74</v>
      </c>
      <c r="P686" t="s">
        <v>74</v>
      </c>
      <c r="Q686" t="s">
        <v>74</v>
      </c>
      <c r="R686" t="s">
        <v>74</v>
      </c>
      <c r="S686" t="s">
        <v>74</v>
      </c>
      <c r="T686" t="s">
        <v>12968</v>
      </c>
      <c r="U686" t="s">
        <v>12969</v>
      </c>
      <c r="V686" t="s">
        <v>12970</v>
      </c>
      <c r="W686" t="s">
        <v>12971</v>
      </c>
      <c r="X686" t="s">
        <v>12972</v>
      </c>
      <c r="Y686" t="s">
        <v>12973</v>
      </c>
      <c r="Z686" t="s">
        <v>12974</v>
      </c>
      <c r="AA686" t="s">
        <v>74</v>
      </c>
      <c r="AB686" t="s">
        <v>74</v>
      </c>
      <c r="AC686" t="s">
        <v>74</v>
      </c>
      <c r="AD686" t="s">
        <v>74</v>
      </c>
      <c r="AE686" t="s">
        <v>74</v>
      </c>
      <c r="AF686" t="s">
        <v>74</v>
      </c>
      <c r="AG686">
        <v>17</v>
      </c>
      <c r="AH686">
        <v>0</v>
      </c>
      <c r="AI686">
        <v>0</v>
      </c>
      <c r="AJ686">
        <v>3</v>
      </c>
      <c r="AK686">
        <v>3</v>
      </c>
      <c r="AL686" t="s">
        <v>321</v>
      </c>
      <c r="AM686" t="s">
        <v>348</v>
      </c>
      <c r="AN686" t="s">
        <v>1454</v>
      </c>
      <c r="AO686" t="s">
        <v>7816</v>
      </c>
      <c r="AP686" t="s">
        <v>7817</v>
      </c>
      <c r="AQ686" t="s">
        <v>74</v>
      </c>
      <c r="AR686" t="s">
        <v>7818</v>
      </c>
      <c r="AS686" t="s">
        <v>7819</v>
      </c>
      <c r="AT686" t="s">
        <v>12975</v>
      </c>
      <c r="AU686">
        <v>2023</v>
      </c>
      <c r="AV686" t="s">
        <v>74</v>
      </c>
      <c r="AW686" t="s">
        <v>74</v>
      </c>
      <c r="AX686" t="s">
        <v>74</v>
      </c>
      <c r="AY686" t="s">
        <v>74</v>
      </c>
      <c r="AZ686" t="s">
        <v>74</v>
      </c>
      <c r="BA686" t="s">
        <v>74</v>
      </c>
      <c r="BB686" t="s">
        <v>74</v>
      </c>
      <c r="BC686" t="s">
        <v>74</v>
      </c>
      <c r="BD686" t="s">
        <v>74</v>
      </c>
      <c r="BE686" t="s">
        <v>12976</v>
      </c>
      <c r="BF686" t="str">
        <f>HYPERLINK("http://dx.doi.org/10.1007/s00500-023-08791-9","http://dx.doi.org/10.1007/s00500-023-08791-9")</f>
        <v>http://dx.doi.org/10.1007/s00500-023-08791-9</v>
      </c>
      <c r="BG686" t="s">
        <v>74</v>
      </c>
      <c r="BH686" t="s">
        <v>396</v>
      </c>
      <c r="BI686">
        <v>11</v>
      </c>
      <c r="BJ686" t="s">
        <v>4166</v>
      </c>
      <c r="BK686" t="s">
        <v>98</v>
      </c>
      <c r="BL686" t="s">
        <v>99</v>
      </c>
      <c r="BM686" t="s">
        <v>12977</v>
      </c>
      <c r="BN686" t="s">
        <v>74</v>
      </c>
      <c r="BO686" t="s">
        <v>74</v>
      </c>
      <c r="BP686" t="s">
        <v>74</v>
      </c>
      <c r="BQ686" t="s">
        <v>74</v>
      </c>
      <c r="BR686" t="s">
        <v>102</v>
      </c>
      <c r="BS686" t="s">
        <v>12978</v>
      </c>
      <c r="BT686" t="str">
        <f>HYPERLINK("https%3A%2F%2Fwww.webofscience.com%2Fwos%2Fwoscc%2Ffull-record%2FWOS:001016427800014","View Full Record in Web of Science")</f>
        <v>View Full Record in Web of Science</v>
      </c>
    </row>
    <row r="687" spans="1:72" x14ac:dyDescent="0.2">
      <c r="A687" t="s">
        <v>72</v>
      </c>
      <c r="B687" t="s">
        <v>12979</v>
      </c>
      <c r="C687" t="s">
        <v>74</v>
      </c>
      <c r="D687" t="s">
        <v>74</v>
      </c>
      <c r="E687" t="s">
        <v>74</v>
      </c>
      <c r="F687" t="s">
        <v>12980</v>
      </c>
      <c r="G687" t="s">
        <v>74</v>
      </c>
      <c r="H687" t="s">
        <v>74</v>
      </c>
      <c r="I687" t="s">
        <v>12981</v>
      </c>
      <c r="J687" t="s">
        <v>4384</v>
      </c>
      <c r="K687" t="s">
        <v>74</v>
      </c>
      <c r="L687" t="s">
        <v>74</v>
      </c>
      <c r="M687" t="s">
        <v>78</v>
      </c>
      <c r="N687" t="s">
        <v>79</v>
      </c>
      <c r="O687" t="s">
        <v>74</v>
      </c>
      <c r="P687" t="s">
        <v>74</v>
      </c>
      <c r="Q687" t="s">
        <v>74</v>
      </c>
      <c r="R687" t="s">
        <v>74</v>
      </c>
      <c r="S687" t="s">
        <v>74</v>
      </c>
      <c r="T687" t="s">
        <v>12982</v>
      </c>
      <c r="U687" t="s">
        <v>12983</v>
      </c>
      <c r="V687" t="s">
        <v>12984</v>
      </c>
      <c r="W687" t="s">
        <v>12985</v>
      </c>
      <c r="X687" t="s">
        <v>12986</v>
      </c>
      <c r="Y687" t="s">
        <v>12987</v>
      </c>
      <c r="Z687" t="s">
        <v>12988</v>
      </c>
      <c r="AA687" t="s">
        <v>12989</v>
      </c>
      <c r="AB687" t="s">
        <v>12990</v>
      </c>
      <c r="AC687" t="s">
        <v>12991</v>
      </c>
      <c r="AD687" t="s">
        <v>12992</v>
      </c>
      <c r="AE687" t="s">
        <v>12993</v>
      </c>
      <c r="AF687" t="s">
        <v>74</v>
      </c>
      <c r="AG687">
        <v>47</v>
      </c>
      <c r="AH687">
        <v>0</v>
      </c>
      <c r="AI687">
        <v>0</v>
      </c>
      <c r="AJ687">
        <v>6</v>
      </c>
      <c r="AK687">
        <v>6</v>
      </c>
      <c r="AL687" t="s">
        <v>167</v>
      </c>
      <c r="AM687" t="s">
        <v>168</v>
      </c>
      <c r="AN687" t="s">
        <v>169</v>
      </c>
      <c r="AO687" t="s">
        <v>4393</v>
      </c>
      <c r="AP687" t="s">
        <v>74</v>
      </c>
      <c r="AQ687" t="s">
        <v>74</v>
      </c>
      <c r="AR687" t="s">
        <v>4384</v>
      </c>
      <c r="AS687" t="s">
        <v>4394</v>
      </c>
      <c r="AT687" t="s">
        <v>74</v>
      </c>
      <c r="AU687">
        <v>2023</v>
      </c>
      <c r="AV687">
        <v>11</v>
      </c>
      <c r="AW687" t="s">
        <v>74</v>
      </c>
      <c r="AX687" t="s">
        <v>74</v>
      </c>
      <c r="AY687" t="s">
        <v>74</v>
      </c>
      <c r="AZ687" t="s">
        <v>74</v>
      </c>
      <c r="BA687" t="s">
        <v>74</v>
      </c>
      <c r="BB687">
        <v>33697</v>
      </c>
      <c r="BC687">
        <v>33714</v>
      </c>
      <c r="BD687" t="s">
        <v>74</v>
      </c>
      <c r="BE687" t="s">
        <v>12994</v>
      </c>
      <c r="BF687" t="str">
        <f>HYPERLINK("http://dx.doi.org/10.1109/ACCESS.2023.3263673","http://dx.doi.org/10.1109/ACCESS.2023.3263673")</f>
        <v>http://dx.doi.org/10.1109/ACCESS.2023.3263673</v>
      </c>
      <c r="BG687" t="s">
        <v>74</v>
      </c>
      <c r="BH687" t="s">
        <v>74</v>
      </c>
      <c r="BI687">
        <v>18</v>
      </c>
      <c r="BJ687" t="s">
        <v>2959</v>
      </c>
      <c r="BK687" t="s">
        <v>98</v>
      </c>
      <c r="BL687" t="s">
        <v>2960</v>
      </c>
      <c r="BM687" t="s">
        <v>12995</v>
      </c>
      <c r="BN687" t="s">
        <v>74</v>
      </c>
      <c r="BO687" t="s">
        <v>126</v>
      </c>
      <c r="BP687" t="s">
        <v>74</v>
      </c>
      <c r="BQ687" t="s">
        <v>74</v>
      </c>
      <c r="BR687" t="s">
        <v>102</v>
      </c>
      <c r="BS687" t="s">
        <v>12996</v>
      </c>
      <c r="BT687" t="str">
        <f>HYPERLINK("https%3A%2F%2Fwww.webofscience.com%2Fwos%2Fwoscc%2Ffull-record%2FWOS:000970534800001","View Full Record in Web of Science")</f>
        <v>View Full Record in Web of Science</v>
      </c>
    </row>
    <row r="688" spans="1:72" x14ac:dyDescent="0.2">
      <c r="A688" t="s">
        <v>72</v>
      </c>
      <c r="B688" t="s">
        <v>12997</v>
      </c>
      <c r="C688" t="s">
        <v>74</v>
      </c>
      <c r="D688" t="s">
        <v>74</v>
      </c>
      <c r="E688" t="s">
        <v>74</v>
      </c>
      <c r="F688" t="s">
        <v>12998</v>
      </c>
      <c r="G688" t="s">
        <v>74</v>
      </c>
      <c r="H688" t="s">
        <v>74</v>
      </c>
      <c r="I688" t="s">
        <v>12999</v>
      </c>
      <c r="J688" t="s">
        <v>4021</v>
      </c>
      <c r="K688" t="s">
        <v>74</v>
      </c>
      <c r="L688" t="s">
        <v>74</v>
      </c>
      <c r="M688" t="s">
        <v>78</v>
      </c>
      <c r="N688" t="s">
        <v>79</v>
      </c>
      <c r="O688" t="s">
        <v>74</v>
      </c>
      <c r="P688" t="s">
        <v>74</v>
      </c>
      <c r="Q688" t="s">
        <v>74</v>
      </c>
      <c r="R688" t="s">
        <v>74</v>
      </c>
      <c r="S688" t="s">
        <v>74</v>
      </c>
      <c r="T688" t="s">
        <v>13000</v>
      </c>
      <c r="U688" t="s">
        <v>13001</v>
      </c>
      <c r="V688" t="s">
        <v>13002</v>
      </c>
      <c r="W688" t="s">
        <v>13003</v>
      </c>
      <c r="X688" t="s">
        <v>13004</v>
      </c>
      <c r="Y688" t="s">
        <v>13005</v>
      </c>
      <c r="Z688" t="s">
        <v>13006</v>
      </c>
      <c r="AA688" t="s">
        <v>13007</v>
      </c>
      <c r="AB688" t="s">
        <v>13008</v>
      </c>
      <c r="AC688" t="s">
        <v>13009</v>
      </c>
      <c r="AD688" t="s">
        <v>13010</v>
      </c>
      <c r="AE688" t="s">
        <v>13011</v>
      </c>
      <c r="AF688" t="s">
        <v>74</v>
      </c>
      <c r="AG688">
        <v>85</v>
      </c>
      <c r="AH688">
        <v>7</v>
      </c>
      <c r="AI688">
        <v>7</v>
      </c>
      <c r="AJ688">
        <v>10</v>
      </c>
      <c r="AK688">
        <v>86</v>
      </c>
      <c r="AL688" t="s">
        <v>3128</v>
      </c>
      <c r="AM688" t="s">
        <v>3129</v>
      </c>
      <c r="AN688" t="s">
        <v>3130</v>
      </c>
      <c r="AO688" t="s">
        <v>4036</v>
      </c>
      <c r="AP688" t="s">
        <v>74</v>
      </c>
      <c r="AQ688" t="s">
        <v>74</v>
      </c>
      <c r="AR688" t="s">
        <v>4037</v>
      </c>
      <c r="AS688" t="s">
        <v>4038</v>
      </c>
      <c r="AT688" t="s">
        <v>74</v>
      </c>
      <c r="AU688">
        <v>2022</v>
      </c>
      <c r="AV688">
        <v>40</v>
      </c>
      <c r="AW688">
        <v>1</v>
      </c>
      <c r="AX688" t="s">
        <v>74</v>
      </c>
      <c r="AY688" t="s">
        <v>74</v>
      </c>
      <c r="AZ688" t="s">
        <v>74</v>
      </c>
      <c r="BA688" t="s">
        <v>74</v>
      </c>
      <c r="BB688">
        <v>87</v>
      </c>
      <c r="BC688">
        <v>112</v>
      </c>
      <c r="BD688" t="s">
        <v>74</v>
      </c>
      <c r="BE688" t="s">
        <v>13012</v>
      </c>
      <c r="BF688" t="str">
        <f>HYPERLINK("http://dx.doi.org/10.32604/csse.2022.017941","http://dx.doi.org/10.32604/csse.2022.017941")</f>
        <v>http://dx.doi.org/10.32604/csse.2022.017941</v>
      </c>
      <c r="BG688" t="s">
        <v>74</v>
      </c>
      <c r="BH688" t="s">
        <v>74</v>
      </c>
      <c r="BI688">
        <v>26</v>
      </c>
      <c r="BJ688" t="s">
        <v>4039</v>
      </c>
      <c r="BK688" t="s">
        <v>98</v>
      </c>
      <c r="BL688" t="s">
        <v>99</v>
      </c>
      <c r="BM688" t="s">
        <v>13013</v>
      </c>
      <c r="BN688" t="s">
        <v>74</v>
      </c>
      <c r="BO688" t="s">
        <v>702</v>
      </c>
      <c r="BP688" t="s">
        <v>74</v>
      </c>
      <c r="BQ688" t="s">
        <v>74</v>
      </c>
      <c r="BR688" t="s">
        <v>102</v>
      </c>
      <c r="BS688" t="s">
        <v>13014</v>
      </c>
      <c r="BT688" t="str">
        <f>HYPERLINK("https%3A%2F%2Fwww.webofscience.com%2Fwos%2Fwoscc%2Ffull-record%2FWOS:000689668800007","View Full Record in Web of Science")</f>
        <v>View Full Record in Web of Science</v>
      </c>
    </row>
    <row r="689" spans="1:72" x14ac:dyDescent="0.2">
      <c r="A689" t="s">
        <v>72</v>
      </c>
      <c r="B689" t="s">
        <v>13015</v>
      </c>
      <c r="C689" t="s">
        <v>74</v>
      </c>
      <c r="D689" t="s">
        <v>74</v>
      </c>
      <c r="E689" t="s">
        <v>74</v>
      </c>
      <c r="F689" t="s">
        <v>13016</v>
      </c>
      <c r="G689" t="s">
        <v>74</v>
      </c>
      <c r="H689" t="s">
        <v>74</v>
      </c>
      <c r="I689" t="s">
        <v>13017</v>
      </c>
      <c r="J689" t="s">
        <v>2621</v>
      </c>
      <c r="K689" t="s">
        <v>74</v>
      </c>
      <c r="L689" t="s">
        <v>74</v>
      </c>
      <c r="M689" t="s">
        <v>78</v>
      </c>
      <c r="N689" t="s">
        <v>108</v>
      </c>
      <c r="O689" t="s">
        <v>74</v>
      </c>
      <c r="P689" t="s">
        <v>74</v>
      </c>
      <c r="Q689" t="s">
        <v>74</v>
      </c>
      <c r="R689" t="s">
        <v>74</v>
      </c>
      <c r="S689" t="s">
        <v>74</v>
      </c>
      <c r="T689" t="s">
        <v>13018</v>
      </c>
      <c r="U689" t="s">
        <v>13019</v>
      </c>
      <c r="V689" t="s">
        <v>13020</v>
      </c>
      <c r="W689" t="s">
        <v>13021</v>
      </c>
      <c r="X689" t="s">
        <v>6519</v>
      </c>
      <c r="Y689" t="s">
        <v>13022</v>
      </c>
      <c r="Z689" t="s">
        <v>13023</v>
      </c>
      <c r="AA689" t="s">
        <v>13024</v>
      </c>
      <c r="AB689" t="s">
        <v>13025</v>
      </c>
      <c r="AC689" t="s">
        <v>74</v>
      </c>
      <c r="AD689" t="s">
        <v>74</v>
      </c>
      <c r="AE689" t="s">
        <v>74</v>
      </c>
      <c r="AF689" t="s">
        <v>74</v>
      </c>
      <c r="AG689">
        <v>62</v>
      </c>
      <c r="AH689">
        <v>2</v>
      </c>
      <c r="AI689">
        <v>2</v>
      </c>
      <c r="AJ689">
        <v>0</v>
      </c>
      <c r="AK689">
        <v>14</v>
      </c>
      <c r="AL689" t="s">
        <v>2634</v>
      </c>
      <c r="AM689" t="s">
        <v>2635</v>
      </c>
      <c r="AN689" t="s">
        <v>2636</v>
      </c>
      <c r="AO689" t="s">
        <v>2637</v>
      </c>
      <c r="AP689" t="s">
        <v>2638</v>
      </c>
      <c r="AQ689" t="s">
        <v>74</v>
      </c>
      <c r="AR689" t="s">
        <v>2639</v>
      </c>
      <c r="AS689" t="s">
        <v>2640</v>
      </c>
      <c r="AT689" t="s">
        <v>74</v>
      </c>
      <c r="AU689">
        <v>2011</v>
      </c>
      <c r="AV689">
        <v>5</v>
      </c>
      <c r="AW689">
        <v>1</v>
      </c>
      <c r="AX689" t="s">
        <v>74</v>
      </c>
      <c r="AY689" t="s">
        <v>74</v>
      </c>
      <c r="AZ689" t="s">
        <v>74</v>
      </c>
      <c r="BA689" t="s">
        <v>74</v>
      </c>
      <c r="BB689">
        <v>43</v>
      </c>
      <c r="BC689">
        <v>63</v>
      </c>
      <c r="BD689" t="s">
        <v>74</v>
      </c>
      <c r="BE689" t="s">
        <v>13026</v>
      </c>
      <c r="BF689" t="str">
        <f>HYPERLINK("http://dx.doi.org/10.1504/EJIE.2011.037225","http://dx.doi.org/10.1504/EJIE.2011.037225")</f>
        <v>http://dx.doi.org/10.1504/EJIE.2011.037225</v>
      </c>
      <c r="BG689" t="s">
        <v>74</v>
      </c>
      <c r="BH689" t="s">
        <v>74</v>
      </c>
      <c r="BI689">
        <v>21</v>
      </c>
      <c r="BJ689" t="s">
        <v>2642</v>
      </c>
      <c r="BK689" t="s">
        <v>147</v>
      </c>
      <c r="BL689" t="s">
        <v>781</v>
      </c>
      <c r="BM689" t="s">
        <v>13027</v>
      </c>
      <c r="BN689" t="s">
        <v>74</v>
      </c>
      <c r="BO689" t="s">
        <v>74</v>
      </c>
      <c r="BP689" t="s">
        <v>74</v>
      </c>
      <c r="BQ689" t="s">
        <v>74</v>
      </c>
      <c r="BR689" t="s">
        <v>102</v>
      </c>
      <c r="BS689" t="s">
        <v>13028</v>
      </c>
      <c r="BT689" t="str">
        <f>HYPERLINK("https%3A%2F%2Fwww.webofscience.com%2Fwos%2Fwoscc%2Ffull-record%2FWOS:000285091200003","View Full Record in Web of Science")</f>
        <v>View Full Record in Web of Science</v>
      </c>
    </row>
    <row r="690" spans="1:72" x14ac:dyDescent="0.2">
      <c r="A690" t="s">
        <v>72</v>
      </c>
      <c r="B690" t="s">
        <v>13029</v>
      </c>
      <c r="C690" t="s">
        <v>74</v>
      </c>
      <c r="D690" t="s">
        <v>74</v>
      </c>
      <c r="E690" t="s">
        <v>74</v>
      </c>
      <c r="F690" t="s">
        <v>13029</v>
      </c>
      <c r="G690" t="s">
        <v>74</v>
      </c>
      <c r="H690" t="s">
        <v>74</v>
      </c>
      <c r="I690" t="s">
        <v>13030</v>
      </c>
      <c r="J690" t="s">
        <v>11702</v>
      </c>
      <c r="K690" t="s">
        <v>74</v>
      </c>
      <c r="L690" t="s">
        <v>74</v>
      </c>
      <c r="M690" t="s">
        <v>78</v>
      </c>
      <c r="N690" t="s">
        <v>108</v>
      </c>
      <c r="O690" t="s">
        <v>74</v>
      </c>
      <c r="P690" t="s">
        <v>74</v>
      </c>
      <c r="Q690" t="s">
        <v>74</v>
      </c>
      <c r="R690" t="s">
        <v>74</v>
      </c>
      <c r="S690" t="s">
        <v>74</v>
      </c>
      <c r="T690" t="s">
        <v>13031</v>
      </c>
      <c r="U690" t="s">
        <v>13032</v>
      </c>
      <c r="V690" t="s">
        <v>13033</v>
      </c>
      <c r="W690" t="s">
        <v>13034</v>
      </c>
      <c r="X690" t="s">
        <v>13035</v>
      </c>
      <c r="Y690" t="s">
        <v>13036</v>
      </c>
      <c r="Z690" t="s">
        <v>74</v>
      </c>
      <c r="AA690" t="s">
        <v>74</v>
      </c>
      <c r="AB690" t="s">
        <v>74</v>
      </c>
      <c r="AC690" t="s">
        <v>74</v>
      </c>
      <c r="AD690" t="s">
        <v>74</v>
      </c>
      <c r="AE690" t="s">
        <v>74</v>
      </c>
      <c r="AF690" t="s">
        <v>74</v>
      </c>
      <c r="AG690">
        <v>32</v>
      </c>
      <c r="AH690">
        <v>39</v>
      </c>
      <c r="AI690">
        <v>42</v>
      </c>
      <c r="AJ690">
        <v>0</v>
      </c>
      <c r="AK690">
        <v>18</v>
      </c>
      <c r="AL690" t="s">
        <v>543</v>
      </c>
      <c r="AM690" t="s">
        <v>260</v>
      </c>
      <c r="AN690" t="s">
        <v>544</v>
      </c>
      <c r="AO690" t="s">
        <v>11714</v>
      </c>
      <c r="AP690" t="s">
        <v>74</v>
      </c>
      <c r="AQ690" t="s">
        <v>74</v>
      </c>
      <c r="AR690" t="s">
        <v>11715</v>
      </c>
      <c r="AS690" t="s">
        <v>11716</v>
      </c>
      <c r="AT690" t="s">
        <v>121</v>
      </c>
      <c r="AU690">
        <v>2001</v>
      </c>
      <c r="AV690">
        <v>29</v>
      </c>
      <c r="AW690">
        <v>7</v>
      </c>
      <c r="AX690" t="s">
        <v>74</v>
      </c>
      <c r="AY690" t="s">
        <v>74</v>
      </c>
      <c r="AZ690" t="s">
        <v>74</v>
      </c>
      <c r="BA690" t="s">
        <v>74</v>
      </c>
      <c r="BB690">
        <v>1157</v>
      </c>
      <c r="BC690">
        <v>1177</v>
      </c>
      <c r="BD690" t="s">
        <v>74</v>
      </c>
      <c r="BE690" t="s">
        <v>13037</v>
      </c>
      <c r="BF690" t="str">
        <f>HYPERLINK("http://dx.doi.org/10.1016/S0305-750X(01)00028-6","http://dx.doi.org/10.1016/S0305-750X(01)00028-6")</f>
        <v>http://dx.doi.org/10.1016/S0305-750X(01)00028-6</v>
      </c>
      <c r="BG690" t="s">
        <v>74</v>
      </c>
      <c r="BH690" t="s">
        <v>74</v>
      </c>
      <c r="BI690">
        <v>21</v>
      </c>
      <c r="BJ690" t="s">
        <v>11718</v>
      </c>
      <c r="BK690" t="s">
        <v>242</v>
      </c>
      <c r="BL690" t="s">
        <v>11719</v>
      </c>
      <c r="BM690" t="s">
        <v>13038</v>
      </c>
      <c r="BN690" t="s">
        <v>74</v>
      </c>
      <c r="BO690" t="s">
        <v>74</v>
      </c>
      <c r="BP690" t="s">
        <v>74</v>
      </c>
      <c r="BQ690" t="s">
        <v>74</v>
      </c>
      <c r="BR690" t="s">
        <v>102</v>
      </c>
      <c r="BS690" t="s">
        <v>13039</v>
      </c>
      <c r="BT690" t="str">
        <f>HYPERLINK("https%3A%2F%2Fwww.webofscience.com%2Fwos%2Fwoscc%2Ffull-record%2FWOS:000169902800004","View Full Record in Web of Science")</f>
        <v>View Full Record in Web of Science</v>
      </c>
    </row>
    <row r="691" spans="1:72" x14ac:dyDescent="0.2">
      <c r="A691" t="s">
        <v>72</v>
      </c>
      <c r="B691" t="s">
        <v>13040</v>
      </c>
      <c r="C691" t="s">
        <v>74</v>
      </c>
      <c r="D691" t="s">
        <v>74</v>
      </c>
      <c r="E691" t="s">
        <v>74</v>
      </c>
      <c r="F691" t="s">
        <v>13041</v>
      </c>
      <c r="G691" t="s">
        <v>74</v>
      </c>
      <c r="H691" t="s">
        <v>74</v>
      </c>
      <c r="I691" t="s">
        <v>13042</v>
      </c>
      <c r="J691" t="s">
        <v>3542</v>
      </c>
      <c r="K691" t="s">
        <v>74</v>
      </c>
      <c r="L691" t="s">
        <v>74</v>
      </c>
      <c r="M691" t="s">
        <v>78</v>
      </c>
      <c r="N691" t="s">
        <v>108</v>
      </c>
      <c r="O691" t="s">
        <v>74</v>
      </c>
      <c r="P691" t="s">
        <v>74</v>
      </c>
      <c r="Q691" t="s">
        <v>74</v>
      </c>
      <c r="R691" t="s">
        <v>74</v>
      </c>
      <c r="S691" t="s">
        <v>74</v>
      </c>
      <c r="T691" t="s">
        <v>13043</v>
      </c>
      <c r="U691" t="s">
        <v>74</v>
      </c>
      <c r="V691" t="s">
        <v>13044</v>
      </c>
      <c r="W691" t="s">
        <v>13045</v>
      </c>
      <c r="X691" t="s">
        <v>13046</v>
      </c>
      <c r="Y691" t="s">
        <v>13047</v>
      </c>
      <c r="Z691" t="s">
        <v>13048</v>
      </c>
      <c r="AA691" t="s">
        <v>13049</v>
      </c>
      <c r="AB691" t="s">
        <v>13050</v>
      </c>
      <c r="AC691" t="s">
        <v>74</v>
      </c>
      <c r="AD691" t="s">
        <v>74</v>
      </c>
      <c r="AE691" t="s">
        <v>74</v>
      </c>
      <c r="AF691" t="s">
        <v>74</v>
      </c>
      <c r="AG691">
        <v>14</v>
      </c>
      <c r="AH691">
        <v>4</v>
      </c>
      <c r="AI691">
        <v>4</v>
      </c>
      <c r="AJ691">
        <v>3</v>
      </c>
      <c r="AK691">
        <v>85</v>
      </c>
      <c r="AL691" t="s">
        <v>3552</v>
      </c>
      <c r="AM691" t="s">
        <v>210</v>
      </c>
      <c r="AN691" t="s">
        <v>3553</v>
      </c>
      <c r="AO691" t="s">
        <v>3554</v>
      </c>
      <c r="AP691" t="s">
        <v>3555</v>
      </c>
      <c r="AQ691" t="s">
        <v>74</v>
      </c>
      <c r="AR691" t="s">
        <v>3556</v>
      </c>
      <c r="AS691" t="s">
        <v>3557</v>
      </c>
      <c r="AT691" t="s">
        <v>74</v>
      </c>
      <c r="AU691">
        <v>2018</v>
      </c>
      <c r="AV691">
        <v>35</v>
      </c>
      <c r="AW691">
        <v>3</v>
      </c>
      <c r="AX691" t="s">
        <v>74</v>
      </c>
      <c r="AY691" t="s">
        <v>74</v>
      </c>
      <c r="AZ691" t="s">
        <v>74</v>
      </c>
      <c r="BA691" t="s">
        <v>74</v>
      </c>
      <c r="BB691">
        <v>2837</v>
      </c>
      <c r="BC691">
        <v>2845</v>
      </c>
      <c r="BD691" t="s">
        <v>74</v>
      </c>
      <c r="BE691" t="s">
        <v>13051</v>
      </c>
      <c r="BF691" t="str">
        <f>HYPERLINK("http://dx.doi.org/10.3233/JIFS-169637","http://dx.doi.org/10.3233/JIFS-169637")</f>
        <v>http://dx.doi.org/10.3233/JIFS-169637</v>
      </c>
      <c r="BG691" t="s">
        <v>74</v>
      </c>
      <c r="BH691" t="s">
        <v>74</v>
      </c>
      <c r="BI691">
        <v>9</v>
      </c>
      <c r="BJ691" t="s">
        <v>2017</v>
      </c>
      <c r="BK691" t="s">
        <v>98</v>
      </c>
      <c r="BL691" t="s">
        <v>99</v>
      </c>
      <c r="BM691" t="s">
        <v>13052</v>
      </c>
      <c r="BN691" t="s">
        <v>74</v>
      </c>
      <c r="BO691" t="s">
        <v>74</v>
      </c>
      <c r="BP691" t="s">
        <v>74</v>
      </c>
      <c r="BQ691" t="s">
        <v>74</v>
      </c>
      <c r="BR691" t="s">
        <v>102</v>
      </c>
      <c r="BS691" t="s">
        <v>13053</v>
      </c>
      <c r="BT691" t="str">
        <f>HYPERLINK("https%3A%2F%2Fwww.webofscience.com%2Fwos%2Fwoscc%2Ffull-record%2FWOS:000446239400024","View Full Record in Web of Science")</f>
        <v>View Full Record in Web of Science</v>
      </c>
    </row>
    <row r="692" spans="1:72" x14ac:dyDescent="0.2">
      <c r="A692" t="s">
        <v>72</v>
      </c>
      <c r="B692" t="s">
        <v>13054</v>
      </c>
      <c r="C692" t="s">
        <v>74</v>
      </c>
      <c r="D692" t="s">
        <v>74</v>
      </c>
      <c r="E692" t="s">
        <v>74</v>
      </c>
      <c r="F692" t="s">
        <v>13055</v>
      </c>
      <c r="G692" t="s">
        <v>74</v>
      </c>
      <c r="H692" t="s">
        <v>74</v>
      </c>
      <c r="I692" t="s">
        <v>13056</v>
      </c>
      <c r="J692" t="s">
        <v>873</v>
      </c>
      <c r="K692" t="s">
        <v>74</v>
      </c>
      <c r="L692" t="s">
        <v>74</v>
      </c>
      <c r="M692" t="s">
        <v>78</v>
      </c>
      <c r="N692" t="s">
        <v>108</v>
      </c>
      <c r="O692" t="s">
        <v>74</v>
      </c>
      <c r="P692" t="s">
        <v>74</v>
      </c>
      <c r="Q692" t="s">
        <v>74</v>
      </c>
      <c r="R692" t="s">
        <v>74</v>
      </c>
      <c r="S692" t="s">
        <v>74</v>
      </c>
      <c r="T692" t="s">
        <v>13057</v>
      </c>
      <c r="U692" t="s">
        <v>13058</v>
      </c>
      <c r="V692" t="s">
        <v>13059</v>
      </c>
      <c r="W692" t="s">
        <v>13060</v>
      </c>
      <c r="X692" t="s">
        <v>13061</v>
      </c>
      <c r="Y692" t="s">
        <v>13062</v>
      </c>
      <c r="Z692" t="s">
        <v>13063</v>
      </c>
      <c r="AA692" t="s">
        <v>13064</v>
      </c>
      <c r="AB692" t="s">
        <v>13065</v>
      </c>
      <c r="AC692" t="s">
        <v>13066</v>
      </c>
      <c r="AD692" t="s">
        <v>987</v>
      </c>
      <c r="AE692" t="s">
        <v>13067</v>
      </c>
      <c r="AF692" t="s">
        <v>74</v>
      </c>
      <c r="AG692">
        <v>60</v>
      </c>
      <c r="AH692">
        <v>4</v>
      </c>
      <c r="AI692">
        <v>4</v>
      </c>
      <c r="AJ692">
        <v>2</v>
      </c>
      <c r="AK692">
        <v>20</v>
      </c>
      <c r="AL692" t="s">
        <v>209</v>
      </c>
      <c r="AM692" t="s">
        <v>210</v>
      </c>
      <c r="AN692" t="s">
        <v>211</v>
      </c>
      <c r="AO692" t="s">
        <v>883</v>
      </c>
      <c r="AP692" t="s">
        <v>884</v>
      </c>
      <c r="AQ692" t="s">
        <v>74</v>
      </c>
      <c r="AR692" t="s">
        <v>885</v>
      </c>
      <c r="AS692" t="s">
        <v>886</v>
      </c>
      <c r="AT692" t="s">
        <v>738</v>
      </c>
      <c r="AU692">
        <v>2021</v>
      </c>
      <c r="AV692">
        <v>232</v>
      </c>
      <c r="AW692" t="s">
        <v>74</v>
      </c>
      <c r="AX692" t="s">
        <v>74</v>
      </c>
      <c r="AY692" t="s">
        <v>74</v>
      </c>
      <c r="AZ692" t="s">
        <v>74</v>
      </c>
      <c r="BA692" t="s">
        <v>74</v>
      </c>
      <c r="BB692" t="s">
        <v>74</v>
      </c>
      <c r="BC692" t="s">
        <v>74</v>
      </c>
      <c r="BD692">
        <v>107963</v>
      </c>
      <c r="BE692" t="s">
        <v>13068</v>
      </c>
      <c r="BF692" t="str">
        <f>HYPERLINK("http://dx.doi.org/10.1016/j.ijpe.2020.107963","http://dx.doi.org/10.1016/j.ijpe.2020.107963")</f>
        <v>http://dx.doi.org/10.1016/j.ijpe.2020.107963</v>
      </c>
      <c r="BG692" t="s">
        <v>74</v>
      </c>
      <c r="BH692" t="s">
        <v>2780</v>
      </c>
      <c r="BI692">
        <v>16</v>
      </c>
      <c r="BJ692" t="s">
        <v>780</v>
      </c>
      <c r="BK692" t="s">
        <v>147</v>
      </c>
      <c r="BL692" t="s">
        <v>781</v>
      </c>
      <c r="BM692" t="s">
        <v>13069</v>
      </c>
      <c r="BN692" t="s">
        <v>74</v>
      </c>
      <c r="BO692" t="s">
        <v>74</v>
      </c>
      <c r="BP692" t="s">
        <v>74</v>
      </c>
      <c r="BQ692" t="s">
        <v>74</v>
      </c>
      <c r="BR692" t="s">
        <v>102</v>
      </c>
      <c r="BS692" t="s">
        <v>13070</v>
      </c>
      <c r="BT692" t="str">
        <f>HYPERLINK("https%3A%2F%2Fwww.webofscience.com%2Fwos%2Fwoscc%2Ffull-record%2FWOS:000615918400004","View Full Record in Web of Science")</f>
        <v>View Full Record in Web of Science</v>
      </c>
    </row>
    <row r="693" spans="1:72" x14ac:dyDescent="0.2">
      <c r="A693" t="s">
        <v>72</v>
      </c>
      <c r="B693" t="s">
        <v>13071</v>
      </c>
      <c r="C693" t="s">
        <v>74</v>
      </c>
      <c r="D693" t="s">
        <v>74</v>
      </c>
      <c r="E693" t="s">
        <v>74</v>
      </c>
      <c r="F693" t="s">
        <v>13072</v>
      </c>
      <c r="G693" t="s">
        <v>74</v>
      </c>
      <c r="H693" t="s">
        <v>74</v>
      </c>
      <c r="I693" t="s">
        <v>13073</v>
      </c>
      <c r="J693" t="s">
        <v>1782</v>
      </c>
      <c r="K693" t="s">
        <v>74</v>
      </c>
      <c r="L693" t="s">
        <v>74</v>
      </c>
      <c r="M693" t="s">
        <v>78</v>
      </c>
      <c r="N693" t="s">
        <v>108</v>
      </c>
      <c r="O693" t="s">
        <v>74</v>
      </c>
      <c r="P693" t="s">
        <v>74</v>
      </c>
      <c r="Q693" t="s">
        <v>74</v>
      </c>
      <c r="R693" t="s">
        <v>74</v>
      </c>
      <c r="S693" t="s">
        <v>74</v>
      </c>
      <c r="T693" t="s">
        <v>13074</v>
      </c>
      <c r="U693" t="s">
        <v>13075</v>
      </c>
      <c r="V693" t="s">
        <v>13076</v>
      </c>
      <c r="W693" t="s">
        <v>13077</v>
      </c>
      <c r="X693" t="s">
        <v>13078</v>
      </c>
      <c r="Y693" t="s">
        <v>13079</v>
      </c>
      <c r="Z693" t="s">
        <v>13080</v>
      </c>
      <c r="AA693" t="s">
        <v>13081</v>
      </c>
      <c r="AB693" t="s">
        <v>13082</v>
      </c>
      <c r="AC693" t="s">
        <v>74</v>
      </c>
      <c r="AD693" t="s">
        <v>74</v>
      </c>
      <c r="AE693" t="s">
        <v>74</v>
      </c>
      <c r="AF693" t="s">
        <v>74</v>
      </c>
      <c r="AG693">
        <v>56</v>
      </c>
      <c r="AH693">
        <v>241</v>
      </c>
      <c r="AI693">
        <v>242</v>
      </c>
      <c r="AJ693">
        <v>33</v>
      </c>
      <c r="AK693">
        <v>408</v>
      </c>
      <c r="AL693" t="s">
        <v>209</v>
      </c>
      <c r="AM693" t="s">
        <v>210</v>
      </c>
      <c r="AN693" t="s">
        <v>211</v>
      </c>
      <c r="AO693" t="s">
        <v>1792</v>
      </c>
      <c r="AP693" t="s">
        <v>1793</v>
      </c>
      <c r="AQ693" t="s">
        <v>74</v>
      </c>
      <c r="AR693" t="s">
        <v>1794</v>
      </c>
      <c r="AS693" t="s">
        <v>1795</v>
      </c>
      <c r="AT693" t="s">
        <v>2778</v>
      </c>
      <c r="AU693">
        <v>2021</v>
      </c>
      <c r="AV693">
        <v>290</v>
      </c>
      <c r="AW693">
        <v>1</v>
      </c>
      <c r="AX693" t="s">
        <v>74</v>
      </c>
      <c r="AY693" t="s">
        <v>74</v>
      </c>
      <c r="AZ693" t="s">
        <v>74</v>
      </c>
      <c r="BA693" t="s">
        <v>74</v>
      </c>
      <c r="BB693">
        <v>99</v>
      </c>
      <c r="BC693">
        <v>115</v>
      </c>
      <c r="BD693" t="s">
        <v>74</v>
      </c>
      <c r="BE693" t="s">
        <v>13083</v>
      </c>
      <c r="BF693" t="str">
        <f>HYPERLINK("http://dx.doi.org/10.1016/j.ejor.2020.08.001","http://dx.doi.org/10.1016/j.ejor.2020.08.001")</f>
        <v>http://dx.doi.org/10.1016/j.ejor.2020.08.001</v>
      </c>
      <c r="BG693" t="s">
        <v>74</v>
      </c>
      <c r="BH693" t="s">
        <v>74</v>
      </c>
      <c r="BI693">
        <v>17</v>
      </c>
      <c r="BJ693" t="s">
        <v>524</v>
      </c>
      <c r="BK693" t="s">
        <v>147</v>
      </c>
      <c r="BL693" t="s">
        <v>525</v>
      </c>
      <c r="BM693" t="s">
        <v>13084</v>
      </c>
      <c r="BN693">
        <v>32836717</v>
      </c>
      <c r="BO693" t="s">
        <v>13085</v>
      </c>
      <c r="BP693" t="s">
        <v>2105</v>
      </c>
      <c r="BQ693" t="s">
        <v>2106</v>
      </c>
      <c r="BR693" t="s">
        <v>102</v>
      </c>
      <c r="BS693" t="s">
        <v>13086</v>
      </c>
      <c r="BT693" t="str">
        <f>HYPERLINK("https%3A%2F%2Fwww.webofscience.com%2Fwos%2Fwoscc%2Ffull-record%2FWOS:000600670300007","View Full Record in Web of Science")</f>
        <v>View Full Record in Web of Science</v>
      </c>
    </row>
    <row r="694" spans="1:72" x14ac:dyDescent="0.2">
      <c r="A694" t="s">
        <v>72</v>
      </c>
      <c r="B694" t="s">
        <v>13087</v>
      </c>
      <c r="C694" t="s">
        <v>74</v>
      </c>
      <c r="D694" t="s">
        <v>74</v>
      </c>
      <c r="E694" t="s">
        <v>74</v>
      </c>
      <c r="F694" t="s">
        <v>13088</v>
      </c>
      <c r="G694" t="s">
        <v>74</v>
      </c>
      <c r="H694" t="s">
        <v>74</v>
      </c>
      <c r="I694" t="s">
        <v>13089</v>
      </c>
      <c r="J694" t="s">
        <v>8369</v>
      </c>
      <c r="K694" t="s">
        <v>74</v>
      </c>
      <c r="L694" t="s">
        <v>74</v>
      </c>
      <c r="M694" t="s">
        <v>78</v>
      </c>
      <c r="N694" t="s">
        <v>108</v>
      </c>
      <c r="O694" t="s">
        <v>74</v>
      </c>
      <c r="P694" t="s">
        <v>74</v>
      </c>
      <c r="Q694" t="s">
        <v>74</v>
      </c>
      <c r="R694" t="s">
        <v>74</v>
      </c>
      <c r="S694" t="s">
        <v>74</v>
      </c>
      <c r="T694" t="s">
        <v>13090</v>
      </c>
      <c r="U694" t="s">
        <v>13091</v>
      </c>
      <c r="V694" t="s">
        <v>13092</v>
      </c>
      <c r="W694" t="s">
        <v>13093</v>
      </c>
      <c r="X694" t="s">
        <v>13094</v>
      </c>
      <c r="Y694" t="s">
        <v>13095</v>
      </c>
      <c r="Z694" t="s">
        <v>13096</v>
      </c>
      <c r="AA694" t="s">
        <v>13097</v>
      </c>
      <c r="AB694" t="s">
        <v>13098</v>
      </c>
      <c r="AC694" t="s">
        <v>13099</v>
      </c>
      <c r="AD694" t="s">
        <v>13100</v>
      </c>
      <c r="AE694" t="s">
        <v>13101</v>
      </c>
      <c r="AF694" t="s">
        <v>74</v>
      </c>
      <c r="AG694">
        <v>104</v>
      </c>
      <c r="AH694">
        <v>1</v>
      </c>
      <c r="AI694">
        <v>1</v>
      </c>
      <c r="AJ694">
        <v>6</v>
      </c>
      <c r="AK694">
        <v>8</v>
      </c>
      <c r="AL694" t="s">
        <v>116</v>
      </c>
      <c r="AM694" t="s">
        <v>117</v>
      </c>
      <c r="AN694" t="s">
        <v>118</v>
      </c>
      <c r="AO694" t="s">
        <v>74</v>
      </c>
      <c r="AP694" t="s">
        <v>8380</v>
      </c>
      <c r="AQ694" t="s">
        <v>74</v>
      </c>
      <c r="AR694" t="s">
        <v>8381</v>
      </c>
      <c r="AS694" t="s">
        <v>8382</v>
      </c>
      <c r="AT694" t="s">
        <v>194</v>
      </c>
      <c r="AU694">
        <v>2022</v>
      </c>
      <c r="AV694">
        <v>14</v>
      </c>
      <c r="AW694">
        <v>21</v>
      </c>
      <c r="AX694" t="s">
        <v>74</v>
      </c>
      <c r="AY694" t="s">
        <v>74</v>
      </c>
      <c r="AZ694" t="s">
        <v>74</v>
      </c>
      <c r="BA694" t="s">
        <v>74</v>
      </c>
      <c r="BB694" t="s">
        <v>74</v>
      </c>
      <c r="BC694" t="s">
        <v>74</v>
      </c>
      <c r="BD694">
        <v>3493</v>
      </c>
      <c r="BE694" t="s">
        <v>13102</v>
      </c>
      <c r="BF694" t="str">
        <f>HYPERLINK("http://dx.doi.org/10.3390/w14213493","http://dx.doi.org/10.3390/w14213493")</f>
        <v>http://dx.doi.org/10.3390/w14213493</v>
      </c>
      <c r="BG694" t="s">
        <v>74</v>
      </c>
      <c r="BH694" t="s">
        <v>74</v>
      </c>
      <c r="BI694">
        <v>18</v>
      </c>
      <c r="BJ694" t="s">
        <v>8384</v>
      </c>
      <c r="BK694" t="s">
        <v>98</v>
      </c>
      <c r="BL694" t="s">
        <v>8385</v>
      </c>
      <c r="BM694" t="s">
        <v>13103</v>
      </c>
      <c r="BN694" t="s">
        <v>74</v>
      </c>
      <c r="BO694" t="s">
        <v>101</v>
      </c>
      <c r="BP694" t="s">
        <v>74</v>
      </c>
      <c r="BQ694" t="s">
        <v>74</v>
      </c>
      <c r="BR694" t="s">
        <v>102</v>
      </c>
      <c r="BS694" t="s">
        <v>13104</v>
      </c>
      <c r="BT694" t="str">
        <f>HYPERLINK("https%3A%2F%2Fwww.webofscience.com%2Fwos%2Fwoscc%2Ffull-record%2FWOS:000884026200001","View Full Record in Web of Science")</f>
        <v>View Full Record in Web of Science</v>
      </c>
    </row>
    <row r="695" spans="1:72" x14ac:dyDescent="0.2">
      <c r="A695" t="s">
        <v>72</v>
      </c>
      <c r="B695" t="s">
        <v>13105</v>
      </c>
      <c r="C695" t="s">
        <v>74</v>
      </c>
      <c r="D695" t="s">
        <v>74</v>
      </c>
      <c r="E695" t="s">
        <v>74</v>
      </c>
      <c r="F695" t="s">
        <v>13106</v>
      </c>
      <c r="G695" t="s">
        <v>74</v>
      </c>
      <c r="H695" t="s">
        <v>74</v>
      </c>
      <c r="I695" t="s">
        <v>13107</v>
      </c>
      <c r="J695" t="s">
        <v>2422</v>
      </c>
      <c r="K695" t="s">
        <v>74</v>
      </c>
      <c r="L695" t="s">
        <v>74</v>
      </c>
      <c r="M695" t="s">
        <v>78</v>
      </c>
      <c r="N695" t="s">
        <v>108</v>
      </c>
      <c r="O695" t="s">
        <v>74</v>
      </c>
      <c r="P695" t="s">
        <v>74</v>
      </c>
      <c r="Q695" t="s">
        <v>74</v>
      </c>
      <c r="R695" t="s">
        <v>74</v>
      </c>
      <c r="S695" t="s">
        <v>74</v>
      </c>
      <c r="T695" t="s">
        <v>13108</v>
      </c>
      <c r="U695" t="s">
        <v>13109</v>
      </c>
      <c r="V695" t="s">
        <v>13110</v>
      </c>
      <c r="W695" t="s">
        <v>13111</v>
      </c>
      <c r="X695" t="s">
        <v>13112</v>
      </c>
      <c r="Y695" t="s">
        <v>13113</v>
      </c>
      <c r="Z695" t="s">
        <v>13114</v>
      </c>
      <c r="AA695" t="s">
        <v>13115</v>
      </c>
      <c r="AB695" t="s">
        <v>13116</v>
      </c>
      <c r="AC695" t="s">
        <v>13117</v>
      </c>
      <c r="AD695" t="s">
        <v>13118</v>
      </c>
      <c r="AE695" t="s">
        <v>13119</v>
      </c>
      <c r="AF695" t="s">
        <v>74</v>
      </c>
      <c r="AG695">
        <v>57</v>
      </c>
      <c r="AH695">
        <v>21</v>
      </c>
      <c r="AI695">
        <v>22</v>
      </c>
      <c r="AJ695">
        <v>6</v>
      </c>
      <c r="AK695">
        <v>56</v>
      </c>
      <c r="AL695" t="s">
        <v>259</v>
      </c>
      <c r="AM695" t="s">
        <v>260</v>
      </c>
      <c r="AN695" t="s">
        <v>261</v>
      </c>
      <c r="AO695" t="s">
        <v>2435</v>
      </c>
      <c r="AP695" t="s">
        <v>2436</v>
      </c>
      <c r="AQ695" t="s">
        <v>74</v>
      </c>
      <c r="AR695" t="s">
        <v>2422</v>
      </c>
      <c r="AS695" t="s">
        <v>2437</v>
      </c>
      <c r="AT695" t="s">
        <v>121</v>
      </c>
      <c r="AU695">
        <v>2020</v>
      </c>
      <c r="AV695">
        <v>113</v>
      </c>
      <c r="AW695" t="s">
        <v>74</v>
      </c>
      <c r="AX695" t="s">
        <v>74</v>
      </c>
      <c r="AY695" t="s">
        <v>74</v>
      </c>
      <c r="AZ695" t="s">
        <v>74</v>
      </c>
      <c r="BA695" t="s">
        <v>74</v>
      </c>
      <c r="BB695" t="s">
        <v>74</v>
      </c>
      <c r="BC695" t="s">
        <v>74</v>
      </c>
      <c r="BD695">
        <v>107170</v>
      </c>
      <c r="BE695" t="s">
        <v>13120</v>
      </c>
      <c r="BF695" t="str">
        <f>HYPERLINK("http://dx.doi.org/10.1016/j.foodcont.2020.107170","http://dx.doi.org/10.1016/j.foodcont.2020.107170")</f>
        <v>http://dx.doi.org/10.1016/j.foodcont.2020.107170</v>
      </c>
      <c r="BG695" t="s">
        <v>74</v>
      </c>
      <c r="BH695" t="s">
        <v>74</v>
      </c>
      <c r="BI695">
        <v>13</v>
      </c>
      <c r="BJ695" t="s">
        <v>1121</v>
      </c>
      <c r="BK695" t="s">
        <v>98</v>
      </c>
      <c r="BL695" t="s">
        <v>1121</v>
      </c>
      <c r="BM695" t="s">
        <v>13121</v>
      </c>
      <c r="BN695" t="s">
        <v>74</v>
      </c>
      <c r="BO695" t="s">
        <v>2309</v>
      </c>
      <c r="BP695" t="s">
        <v>74</v>
      </c>
      <c r="BQ695" t="s">
        <v>74</v>
      </c>
      <c r="BR695" t="s">
        <v>102</v>
      </c>
      <c r="BS695" t="s">
        <v>13122</v>
      </c>
      <c r="BT695" t="str">
        <f>HYPERLINK("https%3A%2F%2Fwww.webofscience.com%2Fwos%2Fwoscc%2Ffull-record%2FWOS:000525322400030","View Full Record in Web of Science")</f>
        <v>View Full Record in Web of Science</v>
      </c>
    </row>
    <row r="696" spans="1:72" x14ac:dyDescent="0.2">
      <c r="A696" t="s">
        <v>72</v>
      </c>
      <c r="B696" t="s">
        <v>13123</v>
      </c>
      <c r="C696" t="s">
        <v>74</v>
      </c>
      <c r="D696" t="s">
        <v>74</v>
      </c>
      <c r="E696" t="s">
        <v>74</v>
      </c>
      <c r="F696" t="s">
        <v>13124</v>
      </c>
      <c r="G696" t="s">
        <v>74</v>
      </c>
      <c r="H696" t="s">
        <v>74</v>
      </c>
      <c r="I696" t="s">
        <v>13125</v>
      </c>
      <c r="J696" t="s">
        <v>13126</v>
      </c>
      <c r="K696" t="s">
        <v>74</v>
      </c>
      <c r="L696" t="s">
        <v>74</v>
      </c>
      <c r="M696" t="s">
        <v>78</v>
      </c>
      <c r="N696" t="s">
        <v>108</v>
      </c>
      <c r="O696" t="s">
        <v>74</v>
      </c>
      <c r="P696" t="s">
        <v>74</v>
      </c>
      <c r="Q696" t="s">
        <v>74</v>
      </c>
      <c r="R696" t="s">
        <v>74</v>
      </c>
      <c r="S696" t="s">
        <v>74</v>
      </c>
      <c r="T696" t="s">
        <v>13127</v>
      </c>
      <c r="U696" t="s">
        <v>13128</v>
      </c>
      <c r="V696" t="s">
        <v>13129</v>
      </c>
      <c r="W696" t="s">
        <v>13130</v>
      </c>
      <c r="X696" t="s">
        <v>13131</v>
      </c>
      <c r="Y696" t="s">
        <v>13132</v>
      </c>
      <c r="Z696" t="s">
        <v>13133</v>
      </c>
      <c r="AA696" t="s">
        <v>74</v>
      </c>
      <c r="AB696" t="s">
        <v>13134</v>
      </c>
      <c r="AC696" t="s">
        <v>13135</v>
      </c>
      <c r="AD696" t="s">
        <v>13136</v>
      </c>
      <c r="AE696" t="s">
        <v>13137</v>
      </c>
      <c r="AF696" t="s">
        <v>74</v>
      </c>
      <c r="AG696">
        <v>29</v>
      </c>
      <c r="AH696">
        <v>1</v>
      </c>
      <c r="AI696">
        <v>1</v>
      </c>
      <c r="AJ696">
        <v>17</v>
      </c>
      <c r="AK696">
        <v>43</v>
      </c>
      <c r="AL696" t="s">
        <v>116</v>
      </c>
      <c r="AM696" t="s">
        <v>117</v>
      </c>
      <c r="AN696" t="s">
        <v>118</v>
      </c>
      <c r="AO696" t="s">
        <v>74</v>
      </c>
      <c r="AP696" t="s">
        <v>13138</v>
      </c>
      <c r="AQ696" t="s">
        <v>74</v>
      </c>
      <c r="AR696" t="s">
        <v>13139</v>
      </c>
      <c r="AS696" t="s">
        <v>13140</v>
      </c>
      <c r="AT696" t="s">
        <v>616</v>
      </c>
      <c r="AU696">
        <v>2022</v>
      </c>
      <c r="AV696">
        <v>10</v>
      </c>
      <c r="AW696">
        <v>3</v>
      </c>
      <c r="AX696" t="s">
        <v>74</v>
      </c>
      <c r="AY696" t="s">
        <v>74</v>
      </c>
      <c r="AZ696" t="s">
        <v>74</v>
      </c>
      <c r="BA696" t="s">
        <v>74</v>
      </c>
      <c r="BB696" t="s">
        <v>74</v>
      </c>
      <c r="BC696" t="s">
        <v>74</v>
      </c>
      <c r="BD696">
        <v>556</v>
      </c>
      <c r="BE696" t="s">
        <v>13141</v>
      </c>
      <c r="BF696" t="str">
        <f>HYPERLINK("http://dx.doi.org/10.3390/healthcare10030556","http://dx.doi.org/10.3390/healthcare10030556")</f>
        <v>http://dx.doi.org/10.3390/healthcare10030556</v>
      </c>
      <c r="BG696" t="s">
        <v>74</v>
      </c>
      <c r="BH696" t="s">
        <v>74</v>
      </c>
      <c r="BI696">
        <v>28</v>
      </c>
      <c r="BJ696" t="s">
        <v>13142</v>
      </c>
      <c r="BK696" t="s">
        <v>147</v>
      </c>
      <c r="BL696" t="s">
        <v>8886</v>
      </c>
      <c r="BM696" t="s">
        <v>13143</v>
      </c>
      <c r="BN696">
        <v>35327033</v>
      </c>
      <c r="BO696" t="s">
        <v>101</v>
      </c>
      <c r="BP696" t="s">
        <v>74</v>
      </c>
      <c r="BQ696" t="s">
        <v>74</v>
      </c>
      <c r="BR696" t="s">
        <v>102</v>
      </c>
      <c r="BS696" t="s">
        <v>13144</v>
      </c>
      <c r="BT696" t="str">
        <f>HYPERLINK("https%3A%2F%2Fwww.webofscience.com%2Fwos%2Fwoscc%2Ffull-record%2FWOS:000775622500001","View Full Record in Web of Science")</f>
        <v>View Full Record in Web of Science</v>
      </c>
    </row>
    <row r="697" spans="1:72" x14ac:dyDescent="0.2">
      <c r="A697" t="s">
        <v>72</v>
      </c>
      <c r="B697" t="s">
        <v>13145</v>
      </c>
      <c r="C697" t="s">
        <v>74</v>
      </c>
      <c r="D697" t="s">
        <v>74</v>
      </c>
      <c r="E697" t="s">
        <v>74</v>
      </c>
      <c r="F697" t="s">
        <v>13145</v>
      </c>
      <c r="G697" t="s">
        <v>74</v>
      </c>
      <c r="H697" t="s">
        <v>74</v>
      </c>
      <c r="I697" t="s">
        <v>13146</v>
      </c>
      <c r="J697" t="s">
        <v>13147</v>
      </c>
      <c r="K697" t="s">
        <v>74</v>
      </c>
      <c r="L697" t="s">
        <v>74</v>
      </c>
      <c r="M697" t="s">
        <v>78</v>
      </c>
      <c r="N697" t="s">
        <v>108</v>
      </c>
      <c r="O697" t="s">
        <v>74</v>
      </c>
      <c r="P697" t="s">
        <v>74</v>
      </c>
      <c r="Q697" t="s">
        <v>74</v>
      </c>
      <c r="R697" t="s">
        <v>74</v>
      </c>
      <c r="S697" t="s">
        <v>74</v>
      </c>
      <c r="T697" t="s">
        <v>13148</v>
      </c>
      <c r="U697" t="s">
        <v>13149</v>
      </c>
      <c r="V697" t="s">
        <v>13150</v>
      </c>
      <c r="W697" t="s">
        <v>74</v>
      </c>
      <c r="X697" t="s">
        <v>74</v>
      </c>
      <c r="Y697" t="s">
        <v>13151</v>
      </c>
      <c r="Z697" t="s">
        <v>74</v>
      </c>
      <c r="AA697" t="s">
        <v>74</v>
      </c>
      <c r="AB697" t="s">
        <v>74</v>
      </c>
      <c r="AC697" t="s">
        <v>74</v>
      </c>
      <c r="AD697" t="s">
        <v>74</v>
      </c>
      <c r="AE697" t="s">
        <v>74</v>
      </c>
      <c r="AF697" t="s">
        <v>74</v>
      </c>
      <c r="AG697">
        <v>50</v>
      </c>
      <c r="AH697">
        <v>44</v>
      </c>
      <c r="AI697">
        <v>44</v>
      </c>
      <c r="AJ697">
        <v>0</v>
      </c>
      <c r="AK697">
        <v>16</v>
      </c>
      <c r="AL697" t="s">
        <v>13147</v>
      </c>
      <c r="AM697" t="s">
        <v>13152</v>
      </c>
      <c r="AN697" t="s">
        <v>13153</v>
      </c>
      <c r="AO697" t="s">
        <v>13154</v>
      </c>
      <c r="AP697" t="s">
        <v>74</v>
      </c>
      <c r="AQ697" t="s">
        <v>74</v>
      </c>
      <c r="AR697" t="s">
        <v>13155</v>
      </c>
      <c r="AS697" t="s">
        <v>13156</v>
      </c>
      <c r="AT697" t="s">
        <v>372</v>
      </c>
      <c r="AU697">
        <v>1994</v>
      </c>
      <c r="AV697">
        <v>70</v>
      </c>
      <c r="AW697">
        <v>1</v>
      </c>
      <c r="AX697" t="s">
        <v>74</v>
      </c>
      <c r="AY697" t="s">
        <v>74</v>
      </c>
      <c r="AZ697" t="s">
        <v>74</v>
      </c>
      <c r="BA697" t="s">
        <v>74</v>
      </c>
      <c r="BB697">
        <v>41</v>
      </c>
      <c r="BC697">
        <v>59</v>
      </c>
      <c r="BD697" t="s">
        <v>74</v>
      </c>
      <c r="BE697" t="s">
        <v>13157</v>
      </c>
      <c r="BF697" t="str">
        <f>HYPERLINK("http://dx.doi.org/10.2307/143577","http://dx.doi.org/10.2307/143577")</f>
        <v>http://dx.doi.org/10.2307/143577</v>
      </c>
      <c r="BG697" t="s">
        <v>74</v>
      </c>
      <c r="BH697" t="s">
        <v>74</v>
      </c>
      <c r="BI697">
        <v>19</v>
      </c>
      <c r="BJ697" t="s">
        <v>9961</v>
      </c>
      <c r="BK697" t="s">
        <v>242</v>
      </c>
      <c r="BL697" t="s">
        <v>9962</v>
      </c>
      <c r="BM697" t="s">
        <v>13158</v>
      </c>
      <c r="BN697" t="s">
        <v>74</v>
      </c>
      <c r="BO697" t="s">
        <v>74</v>
      </c>
      <c r="BP697" t="s">
        <v>74</v>
      </c>
      <c r="BQ697" t="s">
        <v>74</v>
      </c>
      <c r="BR697" t="s">
        <v>102</v>
      </c>
      <c r="BS697" t="s">
        <v>13159</v>
      </c>
      <c r="BT697" t="str">
        <f>HYPERLINK("https%3A%2F%2Fwww.webofscience.com%2Fwos%2Fwoscc%2Ffull-record%2FWOS:A1994MX02100003","View Full Record in Web of Science")</f>
        <v>View Full Record in Web of Science</v>
      </c>
    </row>
    <row r="698" spans="1:72" x14ac:dyDescent="0.2">
      <c r="A698" t="s">
        <v>72</v>
      </c>
      <c r="B698" t="s">
        <v>13160</v>
      </c>
      <c r="C698" t="s">
        <v>74</v>
      </c>
      <c r="D698" t="s">
        <v>74</v>
      </c>
      <c r="E698" t="s">
        <v>74</v>
      </c>
      <c r="F698" t="s">
        <v>13161</v>
      </c>
      <c r="G698" t="s">
        <v>74</v>
      </c>
      <c r="H698" t="s">
        <v>74</v>
      </c>
      <c r="I698" t="s">
        <v>13162</v>
      </c>
      <c r="J698" t="s">
        <v>531</v>
      </c>
      <c r="K698" t="s">
        <v>74</v>
      </c>
      <c r="L698" t="s">
        <v>74</v>
      </c>
      <c r="M698" t="s">
        <v>78</v>
      </c>
      <c r="N698" t="s">
        <v>108</v>
      </c>
      <c r="O698" t="s">
        <v>74</v>
      </c>
      <c r="P698" t="s">
        <v>74</v>
      </c>
      <c r="Q698" t="s">
        <v>74</v>
      </c>
      <c r="R698" t="s">
        <v>74</v>
      </c>
      <c r="S698" t="s">
        <v>74</v>
      </c>
      <c r="T698" t="s">
        <v>13163</v>
      </c>
      <c r="U698" t="s">
        <v>13164</v>
      </c>
      <c r="V698" t="s">
        <v>13165</v>
      </c>
      <c r="W698" t="s">
        <v>13166</v>
      </c>
      <c r="X698" t="s">
        <v>13167</v>
      </c>
      <c r="Y698" t="s">
        <v>13168</v>
      </c>
      <c r="Z698" t="s">
        <v>13169</v>
      </c>
      <c r="AA698" t="s">
        <v>74</v>
      </c>
      <c r="AB698" t="s">
        <v>13170</v>
      </c>
      <c r="AC698" t="s">
        <v>13171</v>
      </c>
      <c r="AD698" t="s">
        <v>13171</v>
      </c>
      <c r="AE698" t="s">
        <v>13172</v>
      </c>
      <c r="AF698" t="s">
        <v>74</v>
      </c>
      <c r="AG698">
        <v>62</v>
      </c>
      <c r="AH698">
        <v>24</v>
      </c>
      <c r="AI698">
        <v>24</v>
      </c>
      <c r="AJ698">
        <v>8</v>
      </c>
      <c r="AK698">
        <v>55</v>
      </c>
      <c r="AL698" t="s">
        <v>543</v>
      </c>
      <c r="AM698" t="s">
        <v>260</v>
      </c>
      <c r="AN698" t="s">
        <v>544</v>
      </c>
      <c r="AO698" t="s">
        <v>545</v>
      </c>
      <c r="AP698" t="s">
        <v>546</v>
      </c>
      <c r="AQ698" t="s">
        <v>74</v>
      </c>
      <c r="AR698" t="s">
        <v>547</v>
      </c>
      <c r="AS698" t="s">
        <v>548</v>
      </c>
      <c r="AT698" t="s">
        <v>372</v>
      </c>
      <c r="AU698">
        <v>2020</v>
      </c>
      <c r="AV698">
        <v>139</v>
      </c>
      <c r="AW698" t="s">
        <v>74</v>
      </c>
      <c r="AX698" t="s">
        <v>74</v>
      </c>
      <c r="AY698" t="s">
        <v>74</v>
      </c>
      <c r="AZ698" t="s">
        <v>74</v>
      </c>
      <c r="BA698" t="s">
        <v>74</v>
      </c>
      <c r="BB698" t="s">
        <v>74</v>
      </c>
      <c r="BC698" t="s">
        <v>74</v>
      </c>
      <c r="BD698">
        <v>106129</v>
      </c>
      <c r="BE698" t="s">
        <v>13173</v>
      </c>
      <c r="BF698" t="str">
        <f>HYPERLINK("http://dx.doi.org/10.1016/j.cie.2019.106129","http://dx.doi.org/10.1016/j.cie.2019.106129")</f>
        <v>http://dx.doi.org/10.1016/j.cie.2019.106129</v>
      </c>
      <c r="BG698" t="s">
        <v>74</v>
      </c>
      <c r="BH698" t="s">
        <v>74</v>
      </c>
      <c r="BI698">
        <v>13</v>
      </c>
      <c r="BJ698" t="s">
        <v>550</v>
      </c>
      <c r="BK698" t="s">
        <v>147</v>
      </c>
      <c r="BL698" t="s">
        <v>269</v>
      </c>
      <c r="BM698" t="s">
        <v>2979</v>
      </c>
      <c r="BN698" t="s">
        <v>74</v>
      </c>
      <c r="BO698" t="s">
        <v>74</v>
      </c>
      <c r="BP698" t="s">
        <v>74</v>
      </c>
      <c r="BQ698" t="s">
        <v>74</v>
      </c>
      <c r="BR698" t="s">
        <v>102</v>
      </c>
      <c r="BS698" t="s">
        <v>13174</v>
      </c>
      <c r="BT698" t="str">
        <f>HYPERLINK("https%3A%2F%2Fwww.webofscience.com%2Fwos%2Fwoscc%2Ffull-record%2FWOS:000509784000004","View Full Record in Web of Science")</f>
        <v>View Full Record in Web of Science</v>
      </c>
    </row>
    <row r="699" spans="1:72" x14ac:dyDescent="0.2">
      <c r="A699" t="s">
        <v>72</v>
      </c>
      <c r="B699" t="s">
        <v>13175</v>
      </c>
      <c r="C699" t="s">
        <v>74</v>
      </c>
      <c r="D699" t="s">
        <v>74</v>
      </c>
      <c r="E699" t="s">
        <v>74</v>
      </c>
      <c r="F699" t="s">
        <v>13176</v>
      </c>
      <c r="G699" t="s">
        <v>74</v>
      </c>
      <c r="H699" t="s">
        <v>74</v>
      </c>
      <c r="I699" t="s">
        <v>13177</v>
      </c>
      <c r="J699" t="s">
        <v>337</v>
      </c>
      <c r="K699" t="s">
        <v>74</v>
      </c>
      <c r="L699" t="s">
        <v>74</v>
      </c>
      <c r="M699" t="s">
        <v>78</v>
      </c>
      <c r="N699" t="s">
        <v>108</v>
      </c>
      <c r="O699" t="s">
        <v>74</v>
      </c>
      <c r="P699" t="s">
        <v>74</v>
      </c>
      <c r="Q699" t="s">
        <v>74</v>
      </c>
      <c r="R699" t="s">
        <v>74</v>
      </c>
      <c r="S699" t="s">
        <v>74</v>
      </c>
      <c r="T699" t="s">
        <v>13178</v>
      </c>
      <c r="U699" t="s">
        <v>13179</v>
      </c>
      <c r="V699" t="s">
        <v>13180</v>
      </c>
      <c r="W699" t="s">
        <v>13181</v>
      </c>
      <c r="X699" t="s">
        <v>13182</v>
      </c>
      <c r="Y699" t="s">
        <v>13183</v>
      </c>
      <c r="Z699" t="s">
        <v>13184</v>
      </c>
      <c r="AA699" t="s">
        <v>74</v>
      </c>
      <c r="AB699" t="s">
        <v>74</v>
      </c>
      <c r="AC699" t="s">
        <v>74</v>
      </c>
      <c r="AD699" t="s">
        <v>74</v>
      </c>
      <c r="AE699" t="s">
        <v>74</v>
      </c>
      <c r="AF699" t="s">
        <v>74</v>
      </c>
      <c r="AG699">
        <v>155</v>
      </c>
      <c r="AH699">
        <v>12</v>
      </c>
      <c r="AI699">
        <v>12</v>
      </c>
      <c r="AJ699">
        <v>7</v>
      </c>
      <c r="AK699">
        <v>27</v>
      </c>
      <c r="AL699" t="s">
        <v>347</v>
      </c>
      <c r="AM699" t="s">
        <v>348</v>
      </c>
      <c r="AN699" t="s">
        <v>349</v>
      </c>
      <c r="AO699" t="s">
        <v>350</v>
      </c>
      <c r="AP699" t="s">
        <v>351</v>
      </c>
      <c r="AQ699" t="s">
        <v>74</v>
      </c>
      <c r="AR699" t="s">
        <v>352</v>
      </c>
      <c r="AS699" t="s">
        <v>353</v>
      </c>
      <c r="AT699" t="s">
        <v>800</v>
      </c>
      <c r="AU699">
        <v>2022</v>
      </c>
      <c r="AV699">
        <v>177</v>
      </c>
      <c r="AW699" t="s">
        <v>74</v>
      </c>
      <c r="AX699" t="s">
        <v>74</v>
      </c>
      <c r="AY699" t="s">
        <v>74</v>
      </c>
      <c r="AZ699" t="s">
        <v>74</v>
      </c>
      <c r="BA699" t="s">
        <v>74</v>
      </c>
      <c r="BB699" t="s">
        <v>74</v>
      </c>
      <c r="BC699" t="s">
        <v>74</v>
      </c>
      <c r="BD699">
        <v>121493</v>
      </c>
      <c r="BE699" t="s">
        <v>13185</v>
      </c>
      <c r="BF699" t="str">
        <f>HYPERLINK("http://dx.doi.org/10.1016/j.techfore.2022.121493","http://dx.doi.org/10.1016/j.techfore.2022.121493")</f>
        <v>http://dx.doi.org/10.1016/j.techfore.2022.121493</v>
      </c>
      <c r="BG699" t="s">
        <v>74</v>
      </c>
      <c r="BH699" t="s">
        <v>3823</v>
      </c>
      <c r="BI699">
        <v>20</v>
      </c>
      <c r="BJ699" t="s">
        <v>356</v>
      </c>
      <c r="BK699" t="s">
        <v>242</v>
      </c>
      <c r="BL699" t="s">
        <v>357</v>
      </c>
      <c r="BM699" t="s">
        <v>13186</v>
      </c>
      <c r="BN699" t="s">
        <v>74</v>
      </c>
      <c r="BO699" t="s">
        <v>74</v>
      </c>
      <c r="BP699" t="s">
        <v>74</v>
      </c>
      <c r="BQ699" t="s">
        <v>74</v>
      </c>
      <c r="BR699" t="s">
        <v>102</v>
      </c>
      <c r="BS699" t="s">
        <v>13187</v>
      </c>
      <c r="BT699" t="str">
        <f>HYPERLINK("https%3A%2F%2Fwww.webofscience.com%2Fwos%2Fwoscc%2Ffull-record%2FWOS:000783040300015","View Full Record in Web of Science")</f>
        <v>View Full Record in Web of Science</v>
      </c>
    </row>
    <row r="700" spans="1:72" x14ac:dyDescent="0.2">
      <c r="A700" t="s">
        <v>72</v>
      </c>
      <c r="B700" t="s">
        <v>13188</v>
      </c>
      <c r="C700" t="s">
        <v>74</v>
      </c>
      <c r="D700" t="s">
        <v>74</v>
      </c>
      <c r="E700" t="s">
        <v>74</v>
      </c>
      <c r="F700" t="s">
        <v>13189</v>
      </c>
      <c r="G700" t="s">
        <v>74</v>
      </c>
      <c r="H700" t="s">
        <v>74</v>
      </c>
      <c r="I700" t="s">
        <v>13190</v>
      </c>
      <c r="J700" t="s">
        <v>762</v>
      </c>
      <c r="K700" t="s">
        <v>74</v>
      </c>
      <c r="L700" t="s">
        <v>74</v>
      </c>
      <c r="M700" t="s">
        <v>78</v>
      </c>
      <c r="N700" t="s">
        <v>108</v>
      </c>
      <c r="O700" t="s">
        <v>74</v>
      </c>
      <c r="P700" t="s">
        <v>74</v>
      </c>
      <c r="Q700" t="s">
        <v>74</v>
      </c>
      <c r="R700" t="s">
        <v>74</v>
      </c>
      <c r="S700" t="s">
        <v>74</v>
      </c>
      <c r="T700" t="s">
        <v>13191</v>
      </c>
      <c r="U700" t="s">
        <v>13192</v>
      </c>
      <c r="V700" t="s">
        <v>13193</v>
      </c>
      <c r="W700" t="s">
        <v>13194</v>
      </c>
      <c r="X700" t="s">
        <v>13195</v>
      </c>
      <c r="Y700" t="s">
        <v>13196</v>
      </c>
      <c r="Z700" t="s">
        <v>13197</v>
      </c>
      <c r="AA700" t="s">
        <v>13198</v>
      </c>
      <c r="AB700" t="s">
        <v>13199</v>
      </c>
      <c r="AC700" t="s">
        <v>74</v>
      </c>
      <c r="AD700" t="s">
        <v>74</v>
      </c>
      <c r="AE700" t="s">
        <v>74</v>
      </c>
      <c r="AF700" t="s">
        <v>74</v>
      </c>
      <c r="AG700">
        <v>32</v>
      </c>
      <c r="AH700">
        <v>12</v>
      </c>
      <c r="AI700">
        <v>13</v>
      </c>
      <c r="AJ700">
        <v>1</v>
      </c>
      <c r="AK700">
        <v>39</v>
      </c>
      <c r="AL700" t="s">
        <v>279</v>
      </c>
      <c r="AM700" t="s">
        <v>280</v>
      </c>
      <c r="AN700" t="s">
        <v>281</v>
      </c>
      <c r="AO700" t="s">
        <v>773</v>
      </c>
      <c r="AP700" t="s">
        <v>774</v>
      </c>
      <c r="AQ700" t="s">
        <v>74</v>
      </c>
      <c r="AR700" t="s">
        <v>775</v>
      </c>
      <c r="AS700" t="s">
        <v>776</v>
      </c>
      <c r="AT700" t="s">
        <v>74</v>
      </c>
      <c r="AU700">
        <v>2016</v>
      </c>
      <c r="AV700">
        <v>54</v>
      </c>
      <c r="AW700">
        <v>23</v>
      </c>
      <c r="AX700" t="s">
        <v>74</v>
      </c>
      <c r="AY700" t="s">
        <v>74</v>
      </c>
      <c r="AZ700" t="s">
        <v>570</v>
      </c>
      <c r="BA700" t="s">
        <v>74</v>
      </c>
      <c r="BB700">
        <v>7091</v>
      </c>
      <c r="BC700">
        <v>7099</v>
      </c>
      <c r="BD700" t="s">
        <v>74</v>
      </c>
      <c r="BE700" t="s">
        <v>13200</v>
      </c>
      <c r="BF700" t="str">
        <f>HYPERLINK("http://dx.doi.org/10.1080/00207543.2016.1143133","http://dx.doi.org/10.1080/00207543.2016.1143133")</f>
        <v>http://dx.doi.org/10.1080/00207543.2016.1143133</v>
      </c>
      <c r="BG700" t="s">
        <v>74</v>
      </c>
      <c r="BH700" t="s">
        <v>74</v>
      </c>
      <c r="BI700">
        <v>9</v>
      </c>
      <c r="BJ700" t="s">
        <v>780</v>
      </c>
      <c r="BK700" t="s">
        <v>98</v>
      </c>
      <c r="BL700" t="s">
        <v>781</v>
      </c>
      <c r="BM700" t="s">
        <v>2674</v>
      </c>
      <c r="BN700" t="s">
        <v>74</v>
      </c>
      <c r="BO700" t="s">
        <v>74</v>
      </c>
      <c r="BP700" t="s">
        <v>74</v>
      </c>
      <c r="BQ700" t="s">
        <v>74</v>
      </c>
      <c r="BR700" t="s">
        <v>102</v>
      </c>
      <c r="BS700" t="s">
        <v>13201</v>
      </c>
      <c r="BT700" t="str">
        <f>HYPERLINK("https%3A%2F%2Fwww.webofscience.com%2Fwos%2Fwoscc%2Ffull-record%2FWOS:000386800900013","View Full Record in Web of Science")</f>
        <v>View Full Record in Web of Science</v>
      </c>
    </row>
    <row r="701" spans="1:72" x14ac:dyDescent="0.2">
      <c r="A701" t="s">
        <v>72</v>
      </c>
      <c r="B701" t="s">
        <v>13202</v>
      </c>
      <c r="C701" t="s">
        <v>74</v>
      </c>
      <c r="D701" t="s">
        <v>74</v>
      </c>
      <c r="E701" t="s">
        <v>74</v>
      </c>
      <c r="F701" t="s">
        <v>13203</v>
      </c>
      <c r="G701" t="s">
        <v>74</v>
      </c>
      <c r="H701" t="s">
        <v>74</v>
      </c>
      <c r="I701" t="s">
        <v>13204</v>
      </c>
      <c r="J701" t="s">
        <v>13205</v>
      </c>
      <c r="K701" t="s">
        <v>74</v>
      </c>
      <c r="L701" t="s">
        <v>74</v>
      </c>
      <c r="M701" t="s">
        <v>78</v>
      </c>
      <c r="N701" t="s">
        <v>108</v>
      </c>
      <c r="O701" t="s">
        <v>74</v>
      </c>
      <c r="P701" t="s">
        <v>74</v>
      </c>
      <c r="Q701" t="s">
        <v>74</v>
      </c>
      <c r="R701" t="s">
        <v>74</v>
      </c>
      <c r="S701" t="s">
        <v>74</v>
      </c>
      <c r="T701" t="s">
        <v>13206</v>
      </c>
      <c r="U701" t="s">
        <v>13207</v>
      </c>
      <c r="V701" t="s">
        <v>13208</v>
      </c>
      <c r="W701" t="s">
        <v>13209</v>
      </c>
      <c r="X701" t="s">
        <v>13210</v>
      </c>
      <c r="Y701" t="s">
        <v>13211</v>
      </c>
      <c r="Z701" t="s">
        <v>13212</v>
      </c>
      <c r="AA701" t="s">
        <v>13213</v>
      </c>
      <c r="AB701" t="s">
        <v>13214</v>
      </c>
      <c r="AC701" t="s">
        <v>13215</v>
      </c>
      <c r="AD701" t="s">
        <v>13215</v>
      </c>
      <c r="AE701" t="s">
        <v>13216</v>
      </c>
      <c r="AF701" t="s">
        <v>74</v>
      </c>
      <c r="AG701">
        <v>102</v>
      </c>
      <c r="AH701">
        <v>1</v>
      </c>
      <c r="AI701">
        <v>1</v>
      </c>
      <c r="AJ701">
        <v>10</v>
      </c>
      <c r="AK701">
        <v>10</v>
      </c>
      <c r="AL701" t="s">
        <v>409</v>
      </c>
      <c r="AM701" t="s">
        <v>410</v>
      </c>
      <c r="AN701" t="s">
        <v>411</v>
      </c>
      <c r="AO701" t="s">
        <v>13217</v>
      </c>
      <c r="AP701" t="s">
        <v>13218</v>
      </c>
      <c r="AQ701" t="s">
        <v>74</v>
      </c>
      <c r="AR701" t="s">
        <v>13219</v>
      </c>
      <c r="AS701" t="s">
        <v>13220</v>
      </c>
      <c r="AT701" t="s">
        <v>416</v>
      </c>
      <c r="AU701">
        <v>2023</v>
      </c>
      <c r="AV701">
        <v>102</v>
      </c>
      <c r="AW701">
        <v>3</v>
      </c>
      <c r="AX701" t="s">
        <v>74</v>
      </c>
      <c r="AY701" t="s">
        <v>74</v>
      </c>
      <c r="AZ701" t="s">
        <v>74</v>
      </c>
      <c r="BA701" t="s">
        <v>74</v>
      </c>
      <c r="BB701">
        <v>533</v>
      </c>
      <c r="BC701" t="s">
        <v>13221</v>
      </c>
      <c r="BD701" t="s">
        <v>74</v>
      </c>
      <c r="BE701" t="s">
        <v>13222</v>
      </c>
      <c r="BF701" t="str">
        <f>HYPERLINK("http://dx.doi.org/10.1111/pirs.12733","http://dx.doi.org/10.1111/pirs.12733")</f>
        <v>http://dx.doi.org/10.1111/pirs.12733</v>
      </c>
      <c r="BG701" t="s">
        <v>74</v>
      </c>
      <c r="BH701" t="s">
        <v>930</v>
      </c>
      <c r="BI701">
        <v>33</v>
      </c>
      <c r="BJ701" t="s">
        <v>7113</v>
      </c>
      <c r="BK701" t="s">
        <v>242</v>
      </c>
      <c r="BL701" t="s">
        <v>7114</v>
      </c>
      <c r="BM701" t="s">
        <v>13223</v>
      </c>
      <c r="BN701" t="s">
        <v>74</v>
      </c>
      <c r="BO701" t="s">
        <v>702</v>
      </c>
      <c r="BP701" t="s">
        <v>74</v>
      </c>
      <c r="BQ701" t="s">
        <v>74</v>
      </c>
      <c r="BR701" t="s">
        <v>102</v>
      </c>
      <c r="BS701" t="s">
        <v>13224</v>
      </c>
      <c r="BT701" t="str">
        <f>HYPERLINK("https%3A%2F%2Fwww.webofscience.com%2Fwos%2Fwoscc%2Ffull-record%2FWOS:000980879300001","View Full Record in Web of Science")</f>
        <v>View Full Record in Web of Science</v>
      </c>
    </row>
    <row r="702" spans="1:72" x14ac:dyDescent="0.2">
      <c r="A702" t="s">
        <v>72</v>
      </c>
      <c r="B702" t="s">
        <v>13225</v>
      </c>
      <c r="C702" t="s">
        <v>74</v>
      </c>
      <c r="D702" t="s">
        <v>74</v>
      </c>
      <c r="E702" t="s">
        <v>74</v>
      </c>
      <c r="F702" t="s">
        <v>13226</v>
      </c>
      <c r="G702" t="s">
        <v>74</v>
      </c>
      <c r="H702" t="s">
        <v>74</v>
      </c>
      <c r="I702" t="s">
        <v>13227</v>
      </c>
      <c r="J702" t="s">
        <v>937</v>
      </c>
      <c r="K702" t="s">
        <v>74</v>
      </c>
      <c r="L702" t="s">
        <v>74</v>
      </c>
      <c r="M702" t="s">
        <v>78</v>
      </c>
      <c r="N702" t="s">
        <v>108</v>
      </c>
      <c r="O702" t="s">
        <v>74</v>
      </c>
      <c r="P702" t="s">
        <v>74</v>
      </c>
      <c r="Q702" t="s">
        <v>74</v>
      </c>
      <c r="R702" t="s">
        <v>74</v>
      </c>
      <c r="S702" t="s">
        <v>74</v>
      </c>
      <c r="T702" t="s">
        <v>74</v>
      </c>
      <c r="U702" t="s">
        <v>13228</v>
      </c>
      <c r="V702" t="s">
        <v>13229</v>
      </c>
      <c r="W702" t="s">
        <v>13230</v>
      </c>
      <c r="X702" t="s">
        <v>13231</v>
      </c>
      <c r="Y702" t="s">
        <v>13232</v>
      </c>
      <c r="Z702" t="s">
        <v>13233</v>
      </c>
      <c r="AA702" t="s">
        <v>13234</v>
      </c>
      <c r="AB702" t="s">
        <v>13235</v>
      </c>
      <c r="AC702" t="s">
        <v>13236</v>
      </c>
      <c r="AD702" t="s">
        <v>13236</v>
      </c>
      <c r="AE702" t="s">
        <v>13237</v>
      </c>
      <c r="AF702" t="s">
        <v>74</v>
      </c>
      <c r="AG702">
        <v>64</v>
      </c>
      <c r="AH702">
        <v>10</v>
      </c>
      <c r="AI702">
        <v>10</v>
      </c>
      <c r="AJ702">
        <v>3</v>
      </c>
      <c r="AK702">
        <v>58</v>
      </c>
      <c r="AL702" t="s">
        <v>948</v>
      </c>
      <c r="AM702" t="s">
        <v>949</v>
      </c>
      <c r="AN702" t="s">
        <v>950</v>
      </c>
      <c r="AO702" t="s">
        <v>951</v>
      </c>
      <c r="AP702" t="s">
        <v>74</v>
      </c>
      <c r="AQ702" t="s">
        <v>74</v>
      </c>
      <c r="AR702" t="s">
        <v>937</v>
      </c>
      <c r="AS702" t="s">
        <v>952</v>
      </c>
      <c r="AT702" t="s">
        <v>13238</v>
      </c>
      <c r="AU702">
        <v>2017</v>
      </c>
      <c r="AV702">
        <v>12</v>
      </c>
      <c r="AW702">
        <v>9</v>
      </c>
      <c r="AX702" t="s">
        <v>74</v>
      </c>
      <c r="AY702" t="s">
        <v>74</v>
      </c>
      <c r="AZ702" t="s">
        <v>74</v>
      </c>
      <c r="BA702" t="s">
        <v>74</v>
      </c>
      <c r="BB702" t="s">
        <v>74</v>
      </c>
      <c r="BC702" t="s">
        <v>74</v>
      </c>
      <c r="BD702" t="s">
        <v>13239</v>
      </c>
      <c r="BE702" t="s">
        <v>13240</v>
      </c>
      <c r="BF702" t="str">
        <f>HYPERLINK("http://dx.doi.org/10.1371/journal.pone.0184055","http://dx.doi.org/10.1371/journal.pone.0184055")</f>
        <v>http://dx.doi.org/10.1371/journal.pone.0184055</v>
      </c>
      <c r="BG702" t="s">
        <v>74</v>
      </c>
      <c r="BH702" t="s">
        <v>74</v>
      </c>
      <c r="BI702">
        <v>29</v>
      </c>
      <c r="BJ702" t="s">
        <v>620</v>
      </c>
      <c r="BK702" t="s">
        <v>147</v>
      </c>
      <c r="BL702" t="s">
        <v>621</v>
      </c>
      <c r="BM702" t="s">
        <v>13241</v>
      </c>
      <c r="BN702">
        <v>28873432</v>
      </c>
      <c r="BO702" t="s">
        <v>13242</v>
      </c>
      <c r="BP702" t="s">
        <v>74</v>
      </c>
      <c r="BQ702" t="s">
        <v>74</v>
      </c>
      <c r="BR702" t="s">
        <v>102</v>
      </c>
      <c r="BS702" t="s">
        <v>13243</v>
      </c>
      <c r="BT702" t="str">
        <f>HYPERLINK("https%3A%2F%2Fwww.webofscience.com%2Fwos%2Fwoscc%2Ffull-record%2FWOS:000409282800045","View Full Record in Web of Science")</f>
        <v>View Full Record in Web of Science</v>
      </c>
    </row>
    <row r="703" spans="1:72" x14ac:dyDescent="0.2">
      <c r="A703" t="s">
        <v>72</v>
      </c>
      <c r="B703" t="s">
        <v>13244</v>
      </c>
      <c r="C703" t="s">
        <v>74</v>
      </c>
      <c r="D703" t="s">
        <v>74</v>
      </c>
      <c r="E703" t="s">
        <v>74</v>
      </c>
      <c r="F703" t="s">
        <v>13245</v>
      </c>
      <c r="G703" t="s">
        <v>74</v>
      </c>
      <c r="H703" t="s">
        <v>74</v>
      </c>
      <c r="I703" t="s">
        <v>13246</v>
      </c>
      <c r="J703" t="s">
        <v>6146</v>
      </c>
      <c r="K703" t="s">
        <v>74</v>
      </c>
      <c r="L703" t="s">
        <v>74</v>
      </c>
      <c r="M703" t="s">
        <v>78</v>
      </c>
      <c r="N703" t="s">
        <v>79</v>
      </c>
      <c r="O703" t="s">
        <v>74</v>
      </c>
      <c r="P703" t="s">
        <v>74</v>
      </c>
      <c r="Q703" t="s">
        <v>74</v>
      </c>
      <c r="R703" t="s">
        <v>74</v>
      </c>
      <c r="S703" t="s">
        <v>74</v>
      </c>
      <c r="T703" t="s">
        <v>13247</v>
      </c>
      <c r="U703" t="s">
        <v>13248</v>
      </c>
      <c r="V703" t="s">
        <v>13249</v>
      </c>
      <c r="W703" t="s">
        <v>13250</v>
      </c>
      <c r="X703" t="s">
        <v>13251</v>
      </c>
      <c r="Y703" t="s">
        <v>13252</v>
      </c>
      <c r="Z703" t="s">
        <v>13253</v>
      </c>
      <c r="AA703" t="s">
        <v>13254</v>
      </c>
      <c r="AB703" t="s">
        <v>13255</v>
      </c>
      <c r="AC703" t="s">
        <v>74</v>
      </c>
      <c r="AD703" t="s">
        <v>74</v>
      </c>
      <c r="AE703" t="s">
        <v>74</v>
      </c>
      <c r="AF703" t="s">
        <v>74</v>
      </c>
      <c r="AG703">
        <v>88</v>
      </c>
      <c r="AH703">
        <v>13</v>
      </c>
      <c r="AI703">
        <v>13</v>
      </c>
      <c r="AJ703">
        <v>6</v>
      </c>
      <c r="AK703">
        <v>58</v>
      </c>
      <c r="AL703" t="s">
        <v>116</v>
      </c>
      <c r="AM703" t="s">
        <v>117</v>
      </c>
      <c r="AN703" t="s">
        <v>118</v>
      </c>
      <c r="AO703" t="s">
        <v>74</v>
      </c>
      <c r="AP703" t="s">
        <v>6158</v>
      </c>
      <c r="AQ703" t="s">
        <v>74</v>
      </c>
      <c r="AR703" t="s">
        <v>6159</v>
      </c>
      <c r="AS703" t="s">
        <v>6160</v>
      </c>
      <c r="AT703" t="s">
        <v>416</v>
      </c>
      <c r="AU703">
        <v>2021</v>
      </c>
      <c r="AV703">
        <v>10</v>
      </c>
      <c r="AW703">
        <v>11</v>
      </c>
      <c r="AX703" t="s">
        <v>74</v>
      </c>
      <c r="AY703" t="s">
        <v>74</v>
      </c>
      <c r="AZ703" t="s">
        <v>74</v>
      </c>
      <c r="BA703" t="s">
        <v>74</v>
      </c>
      <c r="BB703" t="s">
        <v>74</v>
      </c>
      <c r="BC703" t="s">
        <v>74</v>
      </c>
      <c r="BD703">
        <v>1223</v>
      </c>
      <c r="BE703" t="s">
        <v>13256</v>
      </c>
      <c r="BF703" t="str">
        <f>HYPERLINK("http://dx.doi.org/10.3390/electronics10111223","http://dx.doi.org/10.3390/electronics10111223")</f>
        <v>http://dx.doi.org/10.3390/electronics10111223</v>
      </c>
      <c r="BG703" t="s">
        <v>74</v>
      </c>
      <c r="BH703" t="s">
        <v>74</v>
      </c>
      <c r="BI703">
        <v>21</v>
      </c>
      <c r="BJ703" t="s">
        <v>6162</v>
      </c>
      <c r="BK703" t="s">
        <v>98</v>
      </c>
      <c r="BL703" t="s">
        <v>6163</v>
      </c>
      <c r="BM703" t="s">
        <v>13257</v>
      </c>
      <c r="BN703" t="s">
        <v>74</v>
      </c>
      <c r="BO703" t="s">
        <v>150</v>
      </c>
      <c r="BP703" t="s">
        <v>74</v>
      </c>
      <c r="BQ703" t="s">
        <v>74</v>
      </c>
      <c r="BR703" t="s">
        <v>102</v>
      </c>
      <c r="BS703" t="s">
        <v>13258</v>
      </c>
      <c r="BT703" t="str">
        <f>HYPERLINK("https%3A%2F%2Fwww.webofscience.com%2Fwos%2Fwoscc%2Ffull-record%2FWOS:000659654400001","View Full Record in Web of Science")</f>
        <v>View Full Record in Web of Science</v>
      </c>
    </row>
    <row r="704" spans="1:72" x14ac:dyDescent="0.2">
      <c r="A704" t="s">
        <v>72</v>
      </c>
      <c r="B704" t="s">
        <v>13259</v>
      </c>
      <c r="C704" t="s">
        <v>74</v>
      </c>
      <c r="D704" t="s">
        <v>74</v>
      </c>
      <c r="E704" t="s">
        <v>74</v>
      </c>
      <c r="F704" t="s">
        <v>13260</v>
      </c>
      <c r="G704" t="s">
        <v>74</v>
      </c>
      <c r="H704" t="s">
        <v>74</v>
      </c>
      <c r="I704" t="s">
        <v>13261</v>
      </c>
      <c r="J704" t="s">
        <v>1467</v>
      </c>
      <c r="K704" t="s">
        <v>74</v>
      </c>
      <c r="L704" t="s">
        <v>74</v>
      </c>
      <c r="M704" t="s">
        <v>78</v>
      </c>
      <c r="N704" t="s">
        <v>108</v>
      </c>
      <c r="O704" t="s">
        <v>74</v>
      </c>
      <c r="P704" t="s">
        <v>74</v>
      </c>
      <c r="Q704" t="s">
        <v>74</v>
      </c>
      <c r="R704" t="s">
        <v>74</v>
      </c>
      <c r="S704" t="s">
        <v>74</v>
      </c>
      <c r="T704" t="s">
        <v>13262</v>
      </c>
      <c r="U704" t="s">
        <v>13263</v>
      </c>
      <c r="V704" t="s">
        <v>13264</v>
      </c>
      <c r="W704" t="s">
        <v>13265</v>
      </c>
      <c r="X704" t="s">
        <v>12179</v>
      </c>
      <c r="Y704" t="s">
        <v>13266</v>
      </c>
      <c r="Z704" t="s">
        <v>13267</v>
      </c>
      <c r="AA704" t="s">
        <v>74</v>
      </c>
      <c r="AB704" t="s">
        <v>13268</v>
      </c>
      <c r="AC704" t="s">
        <v>13269</v>
      </c>
      <c r="AD704" t="s">
        <v>13270</v>
      </c>
      <c r="AE704" t="s">
        <v>13271</v>
      </c>
      <c r="AF704" t="s">
        <v>74</v>
      </c>
      <c r="AG704">
        <v>33</v>
      </c>
      <c r="AH704">
        <v>3</v>
      </c>
      <c r="AI704">
        <v>3</v>
      </c>
      <c r="AJ704">
        <v>2</v>
      </c>
      <c r="AK704">
        <v>12</v>
      </c>
      <c r="AL704" t="s">
        <v>209</v>
      </c>
      <c r="AM704" t="s">
        <v>210</v>
      </c>
      <c r="AN704" t="s">
        <v>211</v>
      </c>
      <c r="AO704" t="s">
        <v>1478</v>
      </c>
      <c r="AP704" t="s">
        <v>1479</v>
      </c>
      <c r="AQ704" t="s">
        <v>74</v>
      </c>
      <c r="AR704" t="s">
        <v>1480</v>
      </c>
      <c r="AS704" t="s">
        <v>1481</v>
      </c>
      <c r="AT704" t="s">
        <v>216</v>
      </c>
      <c r="AU704">
        <v>2020</v>
      </c>
      <c r="AV704">
        <v>123</v>
      </c>
      <c r="AW704" t="s">
        <v>74</v>
      </c>
      <c r="AX704" t="s">
        <v>74</v>
      </c>
      <c r="AY704" t="s">
        <v>74</v>
      </c>
      <c r="AZ704" t="s">
        <v>74</v>
      </c>
      <c r="BA704" t="s">
        <v>74</v>
      </c>
      <c r="BB704" t="s">
        <v>74</v>
      </c>
      <c r="BC704" t="s">
        <v>74</v>
      </c>
      <c r="BD704">
        <v>103340</v>
      </c>
      <c r="BE704" t="s">
        <v>13272</v>
      </c>
      <c r="BF704" t="str">
        <f>HYPERLINK("http://dx.doi.org/10.1016/j.compind.2020.103340","http://dx.doi.org/10.1016/j.compind.2020.103340")</f>
        <v>http://dx.doi.org/10.1016/j.compind.2020.103340</v>
      </c>
      <c r="BG704" t="s">
        <v>74</v>
      </c>
      <c r="BH704" t="s">
        <v>74</v>
      </c>
      <c r="BI704">
        <v>11</v>
      </c>
      <c r="BJ704" t="s">
        <v>1483</v>
      </c>
      <c r="BK704" t="s">
        <v>98</v>
      </c>
      <c r="BL704" t="s">
        <v>99</v>
      </c>
      <c r="BM704" t="s">
        <v>13273</v>
      </c>
      <c r="BN704" t="s">
        <v>74</v>
      </c>
      <c r="BO704" t="s">
        <v>702</v>
      </c>
      <c r="BP704" t="s">
        <v>74</v>
      </c>
      <c r="BQ704" t="s">
        <v>74</v>
      </c>
      <c r="BR704" t="s">
        <v>102</v>
      </c>
      <c r="BS704" t="s">
        <v>13274</v>
      </c>
      <c r="BT704" t="str">
        <f>HYPERLINK("https%3A%2F%2Fwww.webofscience.com%2Fwos%2Fwoscc%2Ffull-record%2FWOS:000667615300027","View Full Record in Web of Science")</f>
        <v>View Full Record in Web of Science</v>
      </c>
    </row>
    <row r="705" spans="1:72" x14ac:dyDescent="0.2">
      <c r="A705" t="s">
        <v>72</v>
      </c>
      <c r="B705" t="s">
        <v>13275</v>
      </c>
      <c r="C705" t="s">
        <v>74</v>
      </c>
      <c r="D705" t="s">
        <v>74</v>
      </c>
      <c r="E705" t="s">
        <v>74</v>
      </c>
      <c r="F705" t="s">
        <v>13276</v>
      </c>
      <c r="G705" t="s">
        <v>74</v>
      </c>
      <c r="H705" t="s">
        <v>74</v>
      </c>
      <c r="I705" t="s">
        <v>13277</v>
      </c>
      <c r="J705" t="s">
        <v>13278</v>
      </c>
      <c r="K705" t="s">
        <v>74</v>
      </c>
      <c r="L705" t="s">
        <v>74</v>
      </c>
      <c r="M705" t="s">
        <v>78</v>
      </c>
      <c r="N705" t="s">
        <v>108</v>
      </c>
      <c r="O705" t="s">
        <v>74</v>
      </c>
      <c r="P705" t="s">
        <v>74</v>
      </c>
      <c r="Q705" t="s">
        <v>74</v>
      </c>
      <c r="R705" t="s">
        <v>74</v>
      </c>
      <c r="S705" t="s">
        <v>74</v>
      </c>
      <c r="T705" t="s">
        <v>13279</v>
      </c>
      <c r="U705" t="s">
        <v>74</v>
      </c>
      <c r="V705" t="s">
        <v>13280</v>
      </c>
      <c r="W705" t="s">
        <v>13281</v>
      </c>
      <c r="X705" t="s">
        <v>74</v>
      </c>
      <c r="Y705" t="s">
        <v>13282</v>
      </c>
      <c r="Z705" t="s">
        <v>13283</v>
      </c>
      <c r="AA705" t="s">
        <v>74</v>
      </c>
      <c r="AB705" t="s">
        <v>74</v>
      </c>
      <c r="AC705" t="s">
        <v>74</v>
      </c>
      <c r="AD705" t="s">
        <v>74</v>
      </c>
      <c r="AE705" t="s">
        <v>74</v>
      </c>
      <c r="AF705" t="s">
        <v>74</v>
      </c>
      <c r="AG705">
        <v>14</v>
      </c>
      <c r="AH705">
        <v>1</v>
      </c>
      <c r="AI705">
        <v>1</v>
      </c>
      <c r="AJ705">
        <v>0</v>
      </c>
      <c r="AK705">
        <v>40</v>
      </c>
      <c r="AL705" t="s">
        <v>13284</v>
      </c>
      <c r="AM705" t="s">
        <v>13285</v>
      </c>
      <c r="AN705" t="s">
        <v>13286</v>
      </c>
      <c r="AO705" t="s">
        <v>13287</v>
      </c>
      <c r="AP705" t="s">
        <v>13288</v>
      </c>
      <c r="AQ705" t="s">
        <v>74</v>
      </c>
      <c r="AR705" t="s">
        <v>13278</v>
      </c>
      <c r="AS705" t="s">
        <v>13289</v>
      </c>
      <c r="AT705" t="s">
        <v>3419</v>
      </c>
      <c r="AU705">
        <v>2014</v>
      </c>
      <c r="AV705">
        <v>44</v>
      </c>
      <c r="AW705">
        <v>1</v>
      </c>
      <c r="AX705" t="s">
        <v>74</v>
      </c>
      <c r="AY705" t="s">
        <v>74</v>
      </c>
      <c r="AZ705" t="s">
        <v>570</v>
      </c>
      <c r="BA705" t="s">
        <v>74</v>
      </c>
      <c r="BB705">
        <v>55</v>
      </c>
      <c r="BC705">
        <v>69</v>
      </c>
      <c r="BD705" t="s">
        <v>74</v>
      </c>
      <c r="BE705" t="s">
        <v>13290</v>
      </c>
      <c r="BF705" t="str">
        <f>HYPERLINK("http://dx.doi.org/10.1287/inte.2013.0729","http://dx.doi.org/10.1287/inte.2013.0729")</f>
        <v>http://dx.doi.org/10.1287/inte.2013.0729</v>
      </c>
      <c r="BG705" t="s">
        <v>74</v>
      </c>
      <c r="BH705" t="s">
        <v>74</v>
      </c>
      <c r="BI705">
        <v>15</v>
      </c>
      <c r="BJ705" t="s">
        <v>524</v>
      </c>
      <c r="BK705" t="s">
        <v>147</v>
      </c>
      <c r="BL705" t="s">
        <v>525</v>
      </c>
      <c r="BM705" t="s">
        <v>13291</v>
      </c>
      <c r="BN705" t="s">
        <v>74</v>
      </c>
      <c r="BO705" t="s">
        <v>74</v>
      </c>
      <c r="BP705" t="s">
        <v>74</v>
      </c>
      <c r="BQ705" t="s">
        <v>74</v>
      </c>
      <c r="BR705" t="s">
        <v>102</v>
      </c>
      <c r="BS705" t="s">
        <v>13292</v>
      </c>
      <c r="BT705" t="str">
        <f>HYPERLINK("https%3A%2F%2Fwww.webofscience.com%2Fwos%2Fwoscc%2Ffull-record%2FWOS:000331071300006","View Full Record in Web of Science")</f>
        <v>View Full Record in Web of Science</v>
      </c>
    </row>
    <row r="706" spans="1:72" x14ac:dyDescent="0.2">
      <c r="A706" t="s">
        <v>72</v>
      </c>
      <c r="B706" t="s">
        <v>13293</v>
      </c>
      <c r="C706" t="s">
        <v>74</v>
      </c>
      <c r="D706" t="s">
        <v>74</v>
      </c>
      <c r="E706" t="s">
        <v>74</v>
      </c>
      <c r="F706" t="s">
        <v>13294</v>
      </c>
      <c r="G706" t="s">
        <v>74</v>
      </c>
      <c r="H706" t="s">
        <v>74</v>
      </c>
      <c r="I706" t="s">
        <v>13295</v>
      </c>
      <c r="J706" t="s">
        <v>7630</v>
      </c>
      <c r="K706" t="s">
        <v>74</v>
      </c>
      <c r="L706" t="s">
        <v>74</v>
      </c>
      <c r="M706" t="s">
        <v>78</v>
      </c>
      <c r="N706" t="s">
        <v>108</v>
      </c>
      <c r="O706" t="s">
        <v>74</v>
      </c>
      <c r="P706" t="s">
        <v>74</v>
      </c>
      <c r="Q706" t="s">
        <v>74</v>
      </c>
      <c r="R706" t="s">
        <v>74</v>
      </c>
      <c r="S706" t="s">
        <v>74</v>
      </c>
      <c r="T706" t="s">
        <v>13296</v>
      </c>
      <c r="U706" t="s">
        <v>13297</v>
      </c>
      <c r="V706" t="s">
        <v>13298</v>
      </c>
      <c r="W706" t="s">
        <v>13299</v>
      </c>
      <c r="X706" t="s">
        <v>13300</v>
      </c>
      <c r="Y706" t="s">
        <v>13301</v>
      </c>
      <c r="Z706" t="s">
        <v>13302</v>
      </c>
      <c r="AA706" t="s">
        <v>13303</v>
      </c>
      <c r="AB706" t="s">
        <v>13304</v>
      </c>
      <c r="AC706" t="s">
        <v>13305</v>
      </c>
      <c r="AD706" t="s">
        <v>13306</v>
      </c>
      <c r="AE706" t="s">
        <v>13307</v>
      </c>
      <c r="AF706" t="s">
        <v>74</v>
      </c>
      <c r="AG706">
        <v>40</v>
      </c>
      <c r="AH706">
        <v>0</v>
      </c>
      <c r="AI706">
        <v>0</v>
      </c>
      <c r="AJ706">
        <v>7</v>
      </c>
      <c r="AK706">
        <v>7</v>
      </c>
      <c r="AL706" t="s">
        <v>116</v>
      </c>
      <c r="AM706" t="s">
        <v>117</v>
      </c>
      <c r="AN706" t="s">
        <v>118</v>
      </c>
      <c r="AO706" t="s">
        <v>74</v>
      </c>
      <c r="AP706" t="s">
        <v>7640</v>
      </c>
      <c r="AQ706" t="s">
        <v>74</v>
      </c>
      <c r="AR706" t="s">
        <v>7630</v>
      </c>
      <c r="AS706" t="s">
        <v>7641</v>
      </c>
      <c r="AT706" t="s">
        <v>616</v>
      </c>
      <c r="AU706">
        <v>2023</v>
      </c>
      <c r="AV706">
        <v>16</v>
      </c>
      <c r="AW706">
        <v>5</v>
      </c>
      <c r="AX706" t="s">
        <v>74</v>
      </c>
      <c r="AY706" t="s">
        <v>74</v>
      </c>
      <c r="AZ706" t="s">
        <v>74</v>
      </c>
      <c r="BA706" t="s">
        <v>74</v>
      </c>
      <c r="BB706" t="s">
        <v>74</v>
      </c>
      <c r="BC706" t="s">
        <v>74</v>
      </c>
      <c r="BD706">
        <v>2389</v>
      </c>
      <c r="BE706" t="s">
        <v>13308</v>
      </c>
      <c r="BF706" t="str">
        <f>HYPERLINK("http://dx.doi.org/10.3390/en16052389","http://dx.doi.org/10.3390/en16052389")</f>
        <v>http://dx.doi.org/10.3390/en16052389</v>
      </c>
      <c r="BG706" t="s">
        <v>74</v>
      </c>
      <c r="BH706" t="s">
        <v>74</v>
      </c>
      <c r="BI706">
        <v>26</v>
      </c>
      <c r="BJ706" t="s">
        <v>7643</v>
      </c>
      <c r="BK706" t="s">
        <v>98</v>
      </c>
      <c r="BL706" t="s">
        <v>7643</v>
      </c>
      <c r="BM706" t="s">
        <v>13309</v>
      </c>
      <c r="BN706" t="s">
        <v>74</v>
      </c>
      <c r="BO706" t="s">
        <v>126</v>
      </c>
      <c r="BP706" t="s">
        <v>74</v>
      </c>
      <c r="BQ706" t="s">
        <v>74</v>
      </c>
      <c r="BR706" t="s">
        <v>102</v>
      </c>
      <c r="BS706" t="s">
        <v>13310</v>
      </c>
      <c r="BT706" t="str">
        <f>HYPERLINK("https%3A%2F%2Fwww.webofscience.com%2Fwos%2Fwoscc%2Ffull-record%2FWOS:000948008300001","View Full Record in Web of Science")</f>
        <v>View Full Record in Web of Science</v>
      </c>
    </row>
    <row r="707" spans="1:72" x14ac:dyDescent="0.2">
      <c r="A707" t="s">
        <v>72</v>
      </c>
      <c r="B707" t="s">
        <v>13311</v>
      </c>
      <c r="C707" t="s">
        <v>74</v>
      </c>
      <c r="D707" t="s">
        <v>74</v>
      </c>
      <c r="E707" t="s">
        <v>74</v>
      </c>
      <c r="F707" t="s">
        <v>13312</v>
      </c>
      <c r="G707" t="s">
        <v>74</v>
      </c>
      <c r="H707" t="s">
        <v>74</v>
      </c>
      <c r="I707" t="s">
        <v>13313</v>
      </c>
      <c r="J707" t="s">
        <v>5612</v>
      </c>
      <c r="K707" t="s">
        <v>74</v>
      </c>
      <c r="L707" t="s">
        <v>74</v>
      </c>
      <c r="M707" t="s">
        <v>78</v>
      </c>
      <c r="N707" t="s">
        <v>108</v>
      </c>
      <c r="O707" t="s">
        <v>74</v>
      </c>
      <c r="P707" t="s">
        <v>74</v>
      </c>
      <c r="Q707" t="s">
        <v>74</v>
      </c>
      <c r="R707" t="s">
        <v>74</v>
      </c>
      <c r="S707" t="s">
        <v>74</v>
      </c>
      <c r="T707" t="s">
        <v>13314</v>
      </c>
      <c r="U707" t="s">
        <v>13315</v>
      </c>
      <c r="V707" t="s">
        <v>13316</v>
      </c>
      <c r="W707" t="s">
        <v>13317</v>
      </c>
      <c r="X707" t="s">
        <v>13318</v>
      </c>
      <c r="Y707" t="s">
        <v>13319</v>
      </c>
      <c r="Z707" t="s">
        <v>13320</v>
      </c>
      <c r="AA707" t="s">
        <v>74</v>
      </c>
      <c r="AB707" t="s">
        <v>13321</v>
      </c>
      <c r="AC707" t="s">
        <v>13322</v>
      </c>
      <c r="AD707" t="s">
        <v>13323</v>
      </c>
      <c r="AE707" t="s">
        <v>13324</v>
      </c>
      <c r="AF707" t="s">
        <v>74</v>
      </c>
      <c r="AG707">
        <v>90</v>
      </c>
      <c r="AH707">
        <v>1</v>
      </c>
      <c r="AI707">
        <v>1</v>
      </c>
      <c r="AJ707">
        <v>5</v>
      </c>
      <c r="AK707">
        <v>18</v>
      </c>
      <c r="AL707" t="s">
        <v>437</v>
      </c>
      <c r="AM707" t="s">
        <v>438</v>
      </c>
      <c r="AN707" t="s">
        <v>439</v>
      </c>
      <c r="AO707" t="s">
        <v>5621</v>
      </c>
      <c r="AP707" t="s">
        <v>5622</v>
      </c>
      <c r="AQ707" t="s">
        <v>74</v>
      </c>
      <c r="AR707" t="s">
        <v>5623</v>
      </c>
      <c r="AS707" t="s">
        <v>5624</v>
      </c>
      <c r="AT707" t="s">
        <v>6024</v>
      </c>
      <c r="AU707">
        <v>2022</v>
      </c>
      <c r="AV707">
        <v>122</v>
      </c>
      <c r="AW707">
        <v>7</v>
      </c>
      <c r="AX707" t="s">
        <v>74</v>
      </c>
      <c r="AY707" t="s">
        <v>74</v>
      </c>
      <c r="AZ707" t="s">
        <v>74</v>
      </c>
      <c r="BA707" t="s">
        <v>74</v>
      </c>
      <c r="BB707">
        <v>1707</v>
      </c>
      <c r="BC707">
        <v>1737</v>
      </c>
      <c r="BD707" t="s">
        <v>74</v>
      </c>
      <c r="BE707" t="s">
        <v>13325</v>
      </c>
      <c r="BF707" t="str">
        <f>HYPERLINK("http://dx.doi.org/10.1108/IMDS-02-2022-0076","http://dx.doi.org/10.1108/IMDS-02-2022-0076")</f>
        <v>http://dx.doi.org/10.1108/IMDS-02-2022-0076</v>
      </c>
      <c r="BG707" t="s">
        <v>74</v>
      </c>
      <c r="BH707" t="s">
        <v>867</v>
      </c>
      <c r="BI707">
        <v>31</v>
      </c>
      <c r="BJ707" t="s">
        <v>550</v>
      </c>
      <c r="BK707" t="s">
        <v>98</v>
      </c>
      <c r="BL707" t="s">
        <v>269</v>
      </c>
      <c r="BM707" t="s">
        <v>13326</v>
      </c>
      <c r="BN707" t="s">
        <v>74</v>
      </c>
      <c r="BO707" t="s">
        <v>74</v>
      </c>
      <c r="BP707" t="s">
        <v>74</v>
      </c>
      <c r="BQ707" t="s">
        <v>74</v>
      </c>
      <c r="BR707" t="s">
        <v>102</v>
      </c>
      <c r="BS707" t="s">
        <v>13327</v>
      </c>
      <c r="BT707" t="str">
        <f>HYPERLINK("https%3A%2F%2Fwww.webofscience.com%2Fwos%2Fwoscc%2Ffull-record%2FWOS:000804714400001","View Full Record in Web of Science")</f>
        <v>View Full Record in Web of Science</v>
      </c>
    </row>
    <row r="708" spans="1:72" x14ac:dyDescent="0.2">
      <c r="A708" t="s">
        <v>72</v>
      </c>
      <c r="B708" t="s">
        <v>13328</v>
      </c>
      <c r="C708" t="s">
        <v>74</v>
      </c>
      <c r="D708" t="s">
        <v>74</v>
      </c>
      <c r="E708" t="s">
        <v>74</v>
      </c>
      <c r="F708" t="s">
        <v>13329</v>
      </c>
      <c r="G708" t="s">
        <v>74</v>
      </c>
      <c r="H708" t="s">
        <v>74</v>
      </c>
      <c r="I708" t="s">
        <v>13330</v>
      </c>
      <c r="J708" t="s">
        <v>6741</v>
      </c>
      <c r="K708" t="s">
        <v>74</v>
      </c>
      <c r="L708" t="s">
        <v>74</v>
      </c>
      <c r="M708" t="s">
        <v>78</v>
      </c>
      <c r="N708" t="s">
        <v>108</v>
      </c>
      <c r="O708" t="s">
        <v>74</v>
      </c>
      <c r="P708" t="s">
        <v>74</v>
      </c>
      <c r="Q708" t="s">
        <v>74</v>
      </c>
      <c r="R708" t="s">
        <v>74</v>
      </c>
      <c r="S708" t="s">
        <v>74</v>
      </c>
      <c r="T708" t="s">
        <v>13331</v>
      </c>
      <c r="U708" t="s">
        <v>13332</v>
      </c>
      <c r="V708" t="s">
        <v>13333</v>
      </c>
      <c r="W708" t="s">
        <v>13334</v>
      </c>
      <c r="X708" t="s">
        <v>74</v>
      </c>
      <c r="Y708" t="s">
        <v>13335</v>
      </c>
      <c r="Z708" t="s">
        <v>13336</v>
      </c>
      <c r="AA708" t="s">
        <v>13337</v>
      </c>
      <c r="AB708" t="s">
        <v>74</v>
      </c>
      <c r="AC708" t="s">
        <v>74</v>
      </c>
      <c r="AD708" t="s">
        <v>74</v>
      </c>
      <c r="AE708" t="s">
        <v>74</v>
      </c>
      <c r="AF708" t="s">
        <v>74</v>
      </c>
      <c r="AG708">
        <v>59</v>
      </c>
      <c r="AH708">
        <v>20</v>
      </c>
      <c r="AI708">
        <v>20</v>
      </c>
      <c r="AJ708">
        <v>2</v>
      </c>
      <c r="AK708">
        <v>114</v>
      </c>
      <c r="AL708" t="s">
        <v>209</v>
      </c>
      <c r="AM708" t="s">
        <v>210</v>
      </c>
      <c r="AN708" t="s">
        <v>211</v>
      </c>
      <c r="AO708" t="s">
        <v>6752</v>
      </c>
      <c r="AP708" t="s">
        <v>6753</v>
      </c>
      <c r="AQ708" t="s">
        <v>74</v>
      </c>
      <c r="AR708" t="s">
        <v>6754</v>
      </c>
      <c r="AS708" t="s">
        <v>6755</v>
      </c>
      <c r="AT708" t="s">
        <v>5968</v>
      </c>
      <c r="AU708">
        <v>2017</v>
      </c>
      <c r="AV708">
        <v>488</v>
      </c>
      <c r="AW708" t="s">
        <v>74</v>
      </c>
      <c r="AX708" t="s">
        <v>74</v>
      </c>
      <c r="AY708" t="s">
        <v>74</v>
      </c>
      <c r="AZ708" t="s">
        <v>74</v>
      </c>
      <c r="BA708" t="s">
        <v>74</v>
      </c>
      <c r="BB708">
        <v>187</v>
      </c>
      <c r="BC708">
        <v>204</v>
      </c>
      <c r="BD708" t="s">
        <v>74</v>
      </c>
      <c r="BE708" t="s">
        <v>13338</v>
      </c>
      <c r="BF708" t="str">
        <f>HYPERLINK("http://dx.doi.org/10.1016/j.physa.2017.06.019","http://dx.doi.org/10.1016/j.physa.2017.06.019")</f>
        <v>http://dx.doi.org/10.1016/j.physa.2017.06.019</v>
      </c>
      <c r="BG708" t="s">
        <v>74</v>
      </c>
      <c r="BH708" t="s">
        <v>74</v>
      </c>
      <c r="BI708">
        <v>18</v>
      </c>
      <c r="BJ708" t="s">
        <v>6758</v>
      </c>
      <c r="BK708" t="s">
        <v>147</v>
      </c>
      <c r="BL708" t="s">
        <v>6759</v>
      </c>
      <c r="BM708" t="s">
        <v>13339</v>
      </c>
      <c r="BN708" t="s">
        <v>74</v>
      </c>
      <c r="BO708" t="s">
        <v>74</v>
      </c>
      <c r="BP708" t="s">
        <v>74</v>
      </c>
      <c r="BQ708" t="s">
        <v>74</v>
      </c>
      <c r="BR708" t="s">
        <v>102</v>
      </c>
      <c r="BS708" t="s">
        <v>13340</v>
      </c>
      <c r="BT708" t="str">
        <f>HYPERLINK("https%3A%2F%2Fwww.webofscience.com%2Fwos%2Fwoscc%2Ffull-record%2FWOS:000409284000018","View Full Record in Web of Science")</f>
        <v>View Full Record in Web of Science</v>
      </c>
    </row>
    <row r="709" spans="1:72" x14ac:dyDescent="0.2">
      <c r="A709" t="s">
        <v>72</v>
      </c>
      <c r="B709" t="s">
        <v>13341</v>
      </c>
      <c r="C709" t="s">
        <v>74</v>
      </c>
      <c r="D709" t="s">
        <v>74</v>
      </c>
      <c r="E709" t="s">
        <v>74</v>
      </c>
      <c r="F709" t="s">
        <v>13342</v>
      </c>
      <c r="G709" t="s">
        <v>74</v>
      </c>
      <c r="H709" t="s">
        <v>74</v>
      </c>
      <c r="I709" t="s">
        <v>13343</v>
      </c>
      <c r="J709" t="s">
        <v>13344</v>
      </c>
      <c r="K709" t="s">
        <v>74</v>
      </c>
      <c r="L709" t="s">
        <v>74</v>
      </c>
      <c r="M709" t="s">
        <v>78</v>
      </c>
      <c r="N709" t="s">
        <v>108</v>
      </c>
      <c r="O709" t="s">
        <v>74</v>
      </c>
      <c r="P709" t="s">
        <v>74</v>
      </c>
      <c r="Q709" t="s">
        <v>74</v>
      </c>
      <c r="R709" t="s">
        <v>74</v>
      </c>
      <c r="S709" t="s">
        <v>74</v>
      </c>
      <c r="T709" t="s">
        <v>13345</v>
      </c>
      <c r="U709" t="s">
        <v>13346</v>
      </c>
      <c r="V709" t="s">
        <v>13347</v>
      </c>
      <c r="W709" t="s">
        <v>13348</v>
      </c>
      <c r="X709" t="s">
        <v>13349</v>
      </c>
      <c r="Y709" t="s">
        <v>13350</v>
      </c>
      <c r="Z709" t="s">
        <v>13351</v>
      </c>
      <c r="AA709" t="s">
        <v>13352</v>
      </c>
      <c r="AB709" t="s">
        <v>13353</v>
      </c>
      <c r="AC709" t="s">
        <v>74</v>
      </c>
      <c r="AD709" t="s">
        <v>74</v>
      </c>
      <c r="AE709" t="s">
        <v>74</v>
      </c>
      <c r="AF709" t="s">
        <v>74</v>
      </c>
      <c r="AG709">
        <v>46</v>
      </c>
      <c r="AH709">
        <v>10</v>
      </c>
      <c r="AI709">
        <v>10</v>
      </c>
      <c r="AJ709">
        <v>0</v>
      </c>
      <c r="AK709">
        <v>19</v>
      </c>
      <c r="AL709" t="s">
        <v>167</v>
      </c>
      <c r="AM709" t="s">
        <v>168</v>
      </c>
      <c r="AN709" t="s">
        <v>169</v>
      </c>
      <c r="AO709" t="s">
        <v>13354</v>
      </c>
      <c r="AP709" t="s">
        <v>13355</v>
      </c>
      <c r="AQ709" t="s">
        <v>74</v>
      </c>
      <c r="AR709" t="s">
        <v>13356</v>
      </c>
      <c r="AS709" t="s">
        <v>13357</v>
      </c>
      <c r="AT709" t="s">
        <v>738</v>
      </c>
      <c r="AU709">
        <v>2017</v>
      </c>
      <c r="AV709">
        <v>47</v>
      </c>
      <c r="AW709">
        <v>2</v>
      </c>
      <c r="AX709" t="s">
        <v>74</v>
      </c>
      <c r="AY709" t="s">
        <v>74</v>
      </c>
      <c r="AZ709" t="s">
        <v>74</v>
      </c>
      <c r="BA709" t="s">
        <v>74</v>
      </c>
      <c r="BB709">
        <v>229</v>
      </c>
      <c r="BC709">
        <v>237</v>
      </c>
      <c r="BD709" t="s">
        <v>74</v>
      </c>
      <c r="BE709" t="s">
        <v>13358</v>
      </c>
      <c r="BF709" t="str">
        <f>HYPERLINK("http://dx.doi.org/10.1109/TSMC.2016.2531643","http://dx.doi.org/10.1109/TSMC.2016.2531643")</f>
        <v>http://dx.doi.org/10.1109/TSMC.2016.2531643</v>
      </c>
      <c r="BG709" t="s">
        <v>74</v>
      </c>
      <c r="BH709" t="s">
        <v>74</v>
      </c>
      <c r="BI709">
        <v>9</v>
      </c>
      <c r="BJ709" t="s">
        <v>13359</v>
      </c>
      <c r="BK709" t="s">
        <v>98</v>
      </c>
      <c r="BL709" t="s">
        <v>1929</v>
      </c>
      <c r="BM709" t="s">
        <v>13360</v>
      </c>
      <c r="BN709" t="s">
        <v>74</v>
      </c>
      <c r="BO709" t="s">
        <v>74</v>
      </c>
      <c r="BP709" t="s">
        <v>74</v>
      </c>
      <c r="BQ709" t="s">
        <v>74</v>
      </c>
      <c r="BR709" t="s">
        <v>102</v>
      </c>
      <c r="BS709" t="s">
        <v>13361</v>
      </c>
      <c r="BT709" t="str">
        <f>HYPERLINK("https%3A%2F%2Fwww.webofscience.com%2Fwos%2Fwoscc%2Ffull-record%2FWOS:000396231100003","View Full Record in Web of Science")</f>
        <v>View Full Record in Web of Science</v>
      </c>
    </row>
    <row r="710" spans="1:72" x14ac:dyDescent="0.2">
      <c r="A710" t="s">
        <v>72</v>
      </c>
      <c r="B710" t="s">
        <v>13362</v>
      </c>
      <c r="C710" t="s">
        <v>74</v>
      </c>
      <c r="D710" t="s">
        <v>74</v>
      </c>
      <c r="E710" t="s">
        <v>74</v>
      </c>
      <c r="F710" t="s">
        <v>13363</v>
      </c>
      <c r="G710" t="s">
        <v>74</v>
      </c>
      <c r="H710" t="s">
        <v>74</v>
      </c>
      <c r="I710" t="s">
        <v>13364</v>
      </c>
      <c r="J710" t="s">
        <v>13365</v>
      </c>
      <c r="K710" t="s">
        <v>74</v>
      </c>
      <c r="L710" t="s">
        <v>74</v>
      </c>
      <c r="M710" t="s">
        <v>78</v>
      </c>
      <c r="N710" t="s">
        <v>79</v>
      </c>
      <c r="O710" t="s">
        <v>74</v>
      </c>
      <c r="P710" t="s">
        <v>74</v>
      </c>
      <c r="Q710" t="s">
        <v>74</v>
      </c>
      <c r="R710" t="s">
        <v>74</v>
      </c>
      <c r="S710" t="s">
        <v>74</v>
      </c>
      <c r="T710" t="s">
        <v>13366</v>
      </c>
      <c r="U710" t="s">
        <v>13367</v>
      </c>
      <c r="V710" t="s">
        <v>13368</v>
      </c>
      <c r="W710" t="s">
        <v>13369</v>
      </c>
      <c r="X710" t="s">
        <v>13370</v>
      </c>
      <c r="Y710" t="s">
        <v>13371</v>
      </c>
      <c r="Z710" t="s">
        <v>13372</v>
      </c>
      <c r="AA710" t="s">
        <v>74</v>
      </c>
      <c r="AB710" t="s">
        <v>13373</v>
      </c>
      <c r="AC710" t="s">
        <v>13374</v>
      </c>
      <c r="AD710" t="s">
        <v>13374</v>
      </c>
      <c r="AE710" t="s">
        <v>13375</v>
      </c>
      <c r="AF710" t="s">
        <v>74</v>
      </c>
      <c r="AG710">
        <v>113</v>
      </c>
      <c r="AH710">
        <v>0</v>
      </c>
      <c r="AI710">
        <v>0</v>
      </c>
      <c r="AJ710">
        <v>0</v>
      </c>
      <c r="AK710">
        <v>0</v>
      </c>
      <c r="AL710" t="s">
        <v>13376</v>
      </c>
      <c r="AM710" t="s">
        <v>8342</v>
      </c>
      <c r="AN710" t="s">
        <v>8343</v>
      </c>
      <c r="AO710" t="s">
        <v>74</v>
      </c>
      <c r="AP710" t="s">
        <v>13377</v>
      </c>
      <c r="AQ710" t="s">
        <v>74</v>
      </c>
      <c r="AR710" t="s">
        <v>13378</v>
      </c>
      <c r="AS710" t="s">
        <v>13379</v>
      </c>
      <c r="AT710" t="s">
        <v>993</v>
      </c>
      <c r="AU710">
        <v>2022</v>
      </c>
      <c r="AV710">
        <v>2</v>
      </c>
      <c r="AW710">
        <v>4</v>
      </c>
      <c r="AX710" t="s">
        <v>74</v>
      </c>
      <c r="AY710" t="s">
        <v>74</v>
      </c>
      <c r="AZ710" t="s">
        <v>74</v>
      </c>
      <c r="BA710" t="s">
        <v>74</v>
      </c>
      <c r="BB710" t="s">
        <v>74</v>
      </c>
      <c r="BC710" t="s">
        <v>74</v>
      </c>
      <c r="BD710">
        <v>42001</v>
      </c>
      <c r="BE710" t="s">
        <v>13380</v>
      </c>
      <c r="BF710" t="str">
        <f>HYPERLINK("http://dx.doi.org/10.1088/2634-4505/ac9c8c","http://dx.doi.org/10.1088/2634-4505/ac9c8c")</f>
        <v>http://dx.doi.org/10.1088/2634-4505/ac9c8c</v>
      </c>
      <c r="BG710" t="s">
        <v>74</v>
      </c>
      <c r="BH710" t="s">
        <v>74</v>
      </c>
      <c r="BI710">
        <v>17</v>
      </c>
      <c r="BJ710" t="s">
        <v>146</v>
      </c>
      <c r="BK710" t="s">
        <v>124</v>
      </c>
      <c r="BL710" t="s">
        <v>148</v>
      </c>
      <c r="BM710" t="s">
        <v>13381</v>
      </c>
      <c r="BN710" t="s">
        <v>74</v>
      </c>
      <c r="BO710" t="s">
        <v>126</v>
      </c>
      <c r="BP710" t="s">
        <v>74</v>
      </c>
      <c r="BQ710" t="s">
        <v>74</v>
      </c>
      <c r="BR710" t="s">
        <v>102</v>
      </c>
      <c r="BS710" t="s">
        <v>13382</v>
      </c>
      <c r="BT710" t="str">
        <f>HYPERLINK("https%3A%2F%2Fwww.webofscience.com%2Fwos%2Fwoscc%2Ffull-record%2FWOS:001060056000001","View Full Record in Web of Science")</f>
        <v>View Full Record in Web of Science</v>
      </c>
    </row>
    <row r="711" spans="1:72" x14ac:dyDescent="0.2">
      <c r="A711" t="s">
        <v>72</v>
      </c>
      <c r="B711" t="s">
        <v>13383</v>
      </c>
      <c r="C711" t="s">
        <v>74</v>
      </c>
      <c r="D711" t="s">
        <v>74</v>
      </c>
      <c r="E711" t="s">
        <v>74</v>
      </c>
      <c r="F711" t="s">
        <v>13384</v>
      </c>
      <c r="G711" t="s">
        <v>74</v>
      </c>
      <c r="H711" t="s">
        <v>74</v>
      </c>
      <c r="I711" t="s">
        <v>13385</v>
      </c>
      <c r="J711" t="s">
        <v>9054</v>
      </c>
      <c r="K711" t="s">
        <v>74</v>
      </c>
      <c r="L711" t="s">
        <v>74</v>
      </c>
      <c r="M711" t="s">
        <v>78</v>
      </c>
      <c r="N711" t="s">
        <v>108</v>
      </c>
      <c r="O711" t="s">
        <v>74</v>
      </c>
      <c r="P711" t="s">
        <v>74</v>
      </c>
      <c r="Q711" t="s">
        <v>74</v>
      </c>
      <c r="R711" t="s">
        <v>74</v>
      </c>
      <c r="S711" t="s">
        <v>74</v>
      </c>
      <c r="T711" t="s">
        <v>13386</v>
      </c>
      <c r="U711" t="s">
        <v>13387</v>
      </c>
      <c r="V711" t="s">
        <v>13388</v>
      </c>
      <c r="W711" t="s">
        <v>13389</v>
      </c>
      <c r="X711" t="s">
        <v>13390</v>
      </c>
      <c r="Y711" t="s">
        <v>13391</v>
      </c>
      <c r="Z711" t="s">
        <v>13392</v>
      </c>
      <c r="AA711" t="s">
        <v>2671</v>
      </c>
      <c r="AB711" t="s">
        <v>2672</v>
      </c>
      <c r="AC711" t="s">
        <v>74</v>
      </c>
      <c r="AD711" t="s">
        <v>74</v>
      </c>
      <c r="AE711" t="s">
        <v>74</v>
      </c>
      <c r="AF711" t="s">
        <v>74</v>
      </c>
      <c r="AG711">
        <v>60</v>
      </c>
      <c r="AH711">
        <v>11</v>
      </c>
      <c r="AI711">
        <v>11</v>
      </c>
      <c r="AJ711">
        <v>2</v>
      </c>
      <c r="AK711">
        <v>25</v>
      </c>
      <c r="AL711" t="s">
        <v>437</v>
      </c>
      <c r="AM711" t="s">
        <v>438</v>
      </c>
      <c r="AN711" t="s">
        <v>439</v>
      </c>
      <c r="AO711" t="s">
        <v>9064</v>
      </c>
      <c r="AP711" t="s">
        <v>9065</v>
      </c>
      <c r="AQ711" t="s">
        <v>74</v>
      </c>
      <c r="AR711" t="s">
        <v>9066</v>
      </c>
      <c r="AS711" t="s">
        <v>9067</v>
      </c>
      <c r="AT711" t="s">
        <v>12392</v>
      </c>
      <c r="AU711">
        <v>2019</v>
      </c>
      <c r="AV711">
        <v>16</v>
      </c>
      <c r="AW711">
        <v>4</v>
      </c>
      <c r="AX711" t="s">
        <v>74</v>
      </c>
      <c r="AY711" t="s">
        <v>74</v>
      </c>
      <c r="AZ711" t="s">
        <v>74</v>
      </c>
      <c r="BA711" t="s">
        <v>74</v>
      </c>
      <c r="BB711">
        <v>563</v>
      </c>
      <c r="BC711">
        <v>593</v>
      </c>
      <c r="BD711" t="s">
        <v>74</v>
      </c>
      <c r="BE711" t="s">
        <v>13393</v>
      </c>
      <c r="BF711" t="str">
        <f>HYPERLINK("http://dx.doi.org/10.1108/JAMR-10-2018-0093","http://dx.doi.org/10.1108/JAMR-10-2018-0093")</f>
        <v>http://dx.doi.org/10.1108/JAMR-10-2018-0093</v>
      </c>
      <c r="BG711" t="s">
        <v>74</v>
      </c>
      <c r="BH711" t="s">
        <v>74</v>
      </c>
      <c r="BI711">
        <v>31</v>
      </c>
      <c r="BJ711" t="s">
        <v>418</v>
      </c>
      <c r="BK711" t="s">
        <v>124</v>
      </c>
      <c r="BL711" t="s">
        <v>419</v>
      </c>
      <c r="BM711" t="s">
        <v>13394</v>
      </c>
      <c r="BN711" t="s">
        <v>74</v>
      </c>
      <c r="BO711" t="s">
        <v>74</v>
      </c>
      <c r="BP711" t="s">
        <v>74</v>
      </c>
      <c r="BQ711" t="s">
        <v>74</v>
      </c>
      <c r="BR711" t="s">
        <v>102</v>
      </c>
      <c r="BS711" t="s">
        <v>13395</v>
      </c>
      <c r="BT711" t="str">
        <f>HYPERLINK("https%3A%2F%2Fwww.webofscience.com%2Fwos%2Fwoscc%2Ffull-record%2FWOS:000489153500008","View Full Record in Web of Science")</f>
        <v>View Full Record in Web of Science</v>
      </c>
    </row>
    <row r="712" spans="1:72" x14ac:dyDescent="0.2">
      <c r="A712" t="s">
        <v>72</v>
      </c>
      <c r="B712" t="s">
        <v>13396</v>
      </c>
      <c r="C712" t="s">
        <v>74</v>
      </c>
      <c r="D712" t="s">
        <v>74</v>
      </c>
      <c r="E712" t="s">
        <v>74</v>
      </c>
      <c r="F712" t="s">
        <v>13397</v>
      </c>
      <c r="G712" t="s">
        <v>74</v>
      </c>
      <c r="H712" t="s">
        <v>74</v>
      </c>
      <c r="I712" t="s">
        <v>13398</v>
      </c>
      <c r="J712" t="s">
        <v>8407</v>
      </c>
      <c r="K712" t="s">
        <v>74</v>
      </c>
      <c r="L712" t="s">
        <v>74</v>
      </c>
      <c r="M712" t="s">
        <v>78</v>
      </c>
      <c r="N712" t="s">
        <v>108</v>
      </c>
      <c r="O712" t="s">
        <v>74</v>
      </c>
      <c r="P712" t="s">
        <v>74</v>
      </c>
      <c r="Q712" t="s">
        <v>74</v>
      </c>
      <c r="R712" t="s">
        <v>74</v>
      </c>
      <c r="S712" t="s">
        <v>74</v>
      </c>
      <c r="T712" t="s">
        <v>13399</v>
      </c>
      <c r="U712" t="s">
        <v>13400</v>
      </c>
      <c r="V712" t="s">
        <v>13401</v>
      </c>
      <c r="W712" t="s">
        <v>13402</v>
      </c>
      <c r="X712" t="s">
        <v>6342</v>
      </c>
      <c r="Y712" t="s">
        <v>13403</v>
      </c>
      <c r="Z712" t="s">
        <v>13404</v>
      </c>
      <c r="AA712" t="s">
        <v>13405</v>
      </c>
      <c r="AB712" t="s">
        <v>13406</v>
      </c>
      <c r="AC712" t="s">
        <v>74</v>
      </c>
      <c r="AD712" t="s">
        <v>74</v>
      </c>
      <c r="AE712" t="s">
        <v>74</v>
      </c>
      <c r="AF712" t="s">
        <v>74</v>
      </c>
      <c r="AG712">
        <v>30</v>
      </c>
      <c r="AH712">
        <v>38</v>
      </c>
      <c r="AI712">
        <v>42</v>
      </c>
      <c r="AJ712">
        <v>3</v>
      </c>
      <c r="AK712">
        <v>70</v>
      </c>
      <c r="AL712" t="s">
        <v>209</v>
      </c>
      <c r="AM712" t="s">
        <v>210</v>
      </c>
      <c r="AN712" t="s">
        <v>211</v>
      </c>
      <c r="AO712" t="s">
        <v>8417</v>
      </c>
      <c r="AP712" t="s">
        <v>8418</v>
      </c>
      <c r="AQ712" t="s">
        <v>74</v>
      </c>
      <c r="AR712" t="s">
        <v>8419</v>
      </c>
      <c r="AS712" t="s">
        <v>8420</v>
      </c>
      <c r="AT712" t="s">
        <v>394</v>
      </c>
      <c r="AU712">
        <v>2015</v>
      </c>
      <c r="AV712">
        <v>34</v>
      </c>
      <c r="AW712" t="s">
        <v>74</v>
      </c>
      <c r="AX712" t="s">
        <v>74</v>
      </c>
      <c r="AY712" t="s">
        <v>74</v>
      </c>
      <c r="AZ712" t="s">
        <v>74</v>
      </c>
      <c r="BA712" t="s">
        <v>74</v>
      </c>
      <c r="BB712">
        <v>274</v>
      </c>
      <c r="BC712">
        <v>285</v>
      </c>
      <c r="BD712" t="s">
        <v>74</v>
      </c>
      <c r="BE712" t="s">
        <v>13407</v>
      </c>
      <c r="BF712" t="str">
        <f>HYPERLINK("http://dx.doi.org/10.1016/j.asoc.2015.04.062","http://dx.doi.org/10.1016/j.asoc.2015.04.062")</f>
        <v>http://dx.doi.org/10.1016/j.asoc.2015.04.062</v>
      </c>
      <c r="BG712" t="s">
        <v>74</v>
      </c>
      <c r="BH712" t="s">
        <v>74</v>
      </c>
      <c r="BI712">
        <v>12</v>
      </c>
      <c r="BJ712" t="s">
        <v>4166</v>
      </c>
      <c r="BK712" t="s">
        <v>98</v>
      </c>
      <c r="BL712" t="s">
        <v>99</v>
      </c>
      <c r="BM712" t="s">
        <v>13408</v>
      </c>
      <c r="BN712" t="s">
        <v>74</v>
      </c>
      <c r="BO712" t="s">
        <v>74</v>
      </c>
      <c r="BP712" t="s">
        <v>74</v>
      </c>
      <c r="BQ712" t="s">
        <v>74</v>
      </c>
      <c r="BR712" t="s">
        <v>102</v>
      </c>
      <c r="BS712" t="s">
        <v>13409</v>
      </c>
      <c r="BT712" t="str">
        <f>HYPERLINK("https%3A%2F%2Fwww.webofscience.com%2Fwos%2Fwoscc%2Ffull-record%2FWOS:000357469500022","View Full Record in Web of Science")</f>
        <v>View Full Record in Web of Science</v>
      </c>
    </row>
    <row r="713" spans="1:72" x14ac:dyDescent="0.2">
      <c r="A713" t="s">
        <v>72</v>
      </c>
      <c r="B713" t="s">
        <v>13410</v>
      </c>
      <c r="C713" t="s">
        <v>74</v>
      </c>
      <c r="D713" t="s">
        <v>74</v>
      </c>
      <c r="E713" t="s">
        <v>74</v>
      </c>
      <c r="F713" t="s">
        <v>13411</v>
      </c>
      <c r="G713" t="s">
        <v>74</v>
      </c>
      <c r="H713" t="s">
        <v>74</v>
      </c>
      <c r="I713" t="s">
        <v>13412</v>
      </c>
      <c r="J713" t="s">
        <v>13413</v>
      </c>
      <c r="K713" t="s">
        <v>74</v>
      </c>
      <c r="L713" t="s">
        <v>74</v>
      </c>
      <c r="M713" t="s">
        <v>78</v>
      </c>
      <c r="N713" t="s">
        <v>917</v>
      </c>
      <c r="O713" t="s">
        <v>74</v>
      </c>
      <c r="P713" t="s">
        <v>74</v>
      </c>
      <c r="Q713" t="s">
        <v>74</v>
      </c>
      <c r="R713" t="s">
        <v>74</v>
      </c>
      <c r="S713" t="s">
        <v>74</v>
      </c>
      <c r="T713" t="s">
        <v>13414</v>
      </c>
      <c r="U713" t="s">
        <v>74</v>
      </c>
      <c r="V713" t="s">
        <v>13415</v>
      </c>
      <c r="W713" t="s">
        <v>13416</v>
      </c>
      <c r="X713" t="s">
        <v>13417</v>
      </c>
      <c r="Y713" t="s">
        <v>13418</v>
      </c>
      <c r="Z713" t="s">
        <v>13419</v>
      </c>
      <c r="AA713" t="s">
        <v>74</v>
      </c>
      <c r="AB713" t="s">
        <v>74</v>
      </c>
      <c r="AC713" t="s">
        <v>74</v>
      </c>
      <c r="AD713" t="s">
        <v>74</v>
      </c>
      <c r="AE713" t="s">
        <v>74</v>
      </c>
      <c r="AF713" t="s">
        <v>74</v>
      </c>
      <c r="AG713">
        <v>41</v>
      </c>
      <c r="AH713">
        <v>0</v>
      </c>
      <c r="AI713">
        <v>0</v>
      </c>
      <c r="AJ713">
        <v>0</v>
      </c>
      <c r="AK713">
        <v>0</v>
      </c>
      <c r="AL713" t="s">
        <v>279</v>
      </c>
      <c r="AM713" t="s">
        <v>280</v>
      </c>
      <c r="AN713" t="s">
        <v>281</v>
      </c>
      <c r="AO713" t="s">
        <v>13420</v>
      </c>
      <c r="AP713" t="s">
        <v>13421</v>
      </c>
      <c r="AQ713" t="s">
        <v>74</v>
      </c>
      <c r="AR713" t="s">
        <v>13422</v>
      </c>
      <c r="AS713" t="s">
        <v>13423</v>
      </c>
      <c r="AT713" t="s">
        <v>13424</v>
      </c>
      <c r="AU713">
        <v>2023</v>
      </c>
      <c r="AV713" t="s">
        <v>74</v>
      </c>
      <c r="AW713" t="s">
        <v>74</v>
      </c>
      <c r="AX713" t="s">
        <v>74</v>
      </c>
      <c r="AY713" t="s">
        <v>74</v>
      </c>
      <c r="AZ713" t="s">
        <v>74</v>
      </c>
      <c r="BA713" t="s">
        <v>74</v>
      </c>
      <c r="BB713" t="s">
        <v>74</v>
      </c>
      <c r="BC713" t="s">
        <v>74</v>
      </c>
      <c r="BD713" t="s">
        <v>74</v>
      </c>
      <c r="BE713" t="s">
        <v>13425</v>
      </c>
      <c r="BF713" t="str">
        <f>HYPERLINK("http://dx.doi.org/10.1080/21681015.2023.2257211","http://dx.doi.org/10.1080/21681015.2023.2257211")</f>
        <v>http://dx.doi.org/10.1080/21681015.2023.2257211</v>
      </c>
      <c r="BG713" t="s">
        <v>74</v>
      </c>
      <c r="BH713" t="s">
        <v>13426</v>
      </c>
      <c r="BI713">
        <v>16</v>
      </c>
      <c r="BJ713" t="s">
        <v>3847</v>
      </c>
      <c r="BK713" t="s">
        <v>124</v>
      </c>
      <c r="BL713" t="s">
        <v>1292</v>
      </c>
      <c r="BM713" t="s">
        <v>13427</v>
      </c>
      <c r="BN713" t="s">
        <v>74</v>
      </c>
      <c r="BO713" t="s">
        <v>74</v>
      </c>
      <c r="BP713" t="s">
        <v>74</v>
      </c>
      <c r="BQ713" t="s">
        <v>74</v>
      </c>
      <c r="BR713" t="s">
        <v>102</v>
      </c>
      <c r="BS713" t="s">
        <v>13428</v>
      </c>
      <c r="BT713" t="str">
        <f>HYPERLINK("https%3A%2F%2Fwww.webofscience.com%2Fwos%2Fwoscc%2Ffull-record%2FWOS:001070479400001","View Full Record in Web of Science")</f>
        <v>View Full Record in Web of Science</v>
      </c>
    </row>
    <row r="714" spans="1:72" x14ac:dyDescent="0.2">
      <c r="A714" t="s">
        <v>72</v>
      </c>
      <c r="B714" t="s">
        <v>13429</v>
      </c>
      <c r="C714" t="s">
        <v>74</v>
      </c>
      <c r="D714" t="s">
        <v>74</v>
      </c>
      <c r="E714" t="s">
        <v>74</v>
      </c>
      <c r="F714" t="s">
        <v>13430</v>
      </c>
      <c r="G714" t="s">
        <v>74</v>
      </c>
      <c r="H714" t="s">
        <v>74</v>
      </c>
      <c r="I714" t="s">
        <v>13431</v>
      </c>
      <c r="J714" t="s">
        <v>13432</v>
      </c>
      <c r="K714" t="s">
        <v>74</v>
      </c>
      <c r="L714" t="s">
        <v>74</v>
      </c>
      <c r="M714" t="s">
        <v>78</v>
      </c>
      <c r="N714" t="s">
        <v>108</v>
      </c>
      <c r="O714" t="s">
        <v>74</v>
      </c>
      <c r="P714" t="s">
        <v>74</v>
      </c>
      <c r="Q714" t="s">
        <v>74</v>
      </c>
      <c r="R714" t="s">
        <v>74</v>
      </c>
      <c r="S714" t="s">
        <v>74</v>
      </c>
      <c r="T714" t="s">
        <v>13433</v>
      </c>
      <c r="U714" t="s">
        <v>13434</v>
      </c>
      <c r="V714" t="s">
        <v>13435</v>
      </c>
      <c r="W714" t="s">
        <v>13436</v>
      </c>
      <c r="X714" t="s">
        <v>13437</v>
      </c>
      <c r="Y714" t="s">
        <v>13438</v>
      </c>
      <c r="Z714" t="s">
        <v>13439</v>
      </c>
      <c r="AA714" t="s">
        <v>13440</v>
      </c>
      <c r="AB714" t="s">
        <v>13441</v>
      </c>
      <c r="AC714" t="s">
        <v>74</v>
      </c>
      <c r="AD714" t="s">
        <v>74</v>
      </c>
      <c r="AE714" t="s">
        <v>74</v>
      </c>
      <c r="AF714" t="s">
        <v>74</v>
      </c>
      <c r="AG714">
        <v>35</v>
      </c>
      <c r="AH714">
        <v>9</v>
      </c>
      <c r="AI714">
        <v>9</v>
      </c>
      <c r="AJ714">
        <v>2</v>
      </c>
      <c r="AK714">
        <v>28</v>
      </c>
      <c r="AL714" t="s">
        <v>666</v>
      </c>
      <c r="AM714" t="s">
        <v>667</v>
      </c>
      <c r="AN714" t="s">
        <v>668</v>
      </c>
      <c r="AO714" t="s">
        <v>74</v>
      </c>
      <c r="AP714" t="s">
        <v>13442</v>
      </c>
      <c r="AQ714" t="s">
        <v>74</v>
      </c>
      <c r="AR714" t="s">
        <v>13443</v>
      </c>
      <c r="AS714" t="s">
        <v>13444</v>
      </c>
      <c r="AT714" t="s">
        <v>13445</v>
      </c>
      <c r="AU714">
        <v>2021</v>
      </c>
      <c r="AV714">
        <v>12</v>
      </c>
      <c r="AW714" t="s">
        <v>74</v>
      </c>
      <c r="AX714" t="s">
        <v>74</v>
      </c>
      <c r="AY714" t="s">
        <v>74</v>
      </c>
      <c r="AZ714" t="s">
        <v>74</v>
      </c>
      <c r="BA714" t="s">
        <v>74</v>
      </c>
      <c r="BB714" t="s">
        <v>74</v>
      </c>
      <c r="BC714" t="s">
        <v>74</v>
      </c>
      <c r="BD714">
        <v>782962</v>
      </c>
      <c r="BE714" t="s">
        <v>13446</v>
      </c>
      <c r="BF714" t="str">
        <f>HYPERLINK("http://dx.doi.org/10.3389/fphar.2021.782962","http://dx.doi.org/10.3389/fphar.2021.782962")</f>
        <v>http://dx.doi.org/10.3389/fphar.2021.782962</v>
      </c>
      <c r="BG714" t="s">
        <v>74</v>
      </c>
      <c r="BH714" t="s">
        <v>74</v>
      </c>
      <c r="BI714">
        <v>14</v>
      </c>
      <c r="BJ714" t="s">
        <v>12582</v>
      </c>
      <c r="BK714" t="s">
        <v>98</v>
      </c>
      <c r="BL714" t="s">
        <v>12582</v>
      </c>
      <c r="BM714" t="s">
        <v>13447</v>
      </c>
      <c r="BN714">
        <v>34803722</v>
      </c>
      <c r="BO714" t="s">
        <v>101</v>
      </c>
      <c r="BP714" t="s">
        <v>74</v>
      </c>
      <c r="BQ714" t="s">
        <v>74</v>
      </c>
      <c r="BR714" t="s">
        <v>102</v>
      </c>
      <c r="BS714" t="s">
        <v>13448</v>
      </c>
      <c r="BT714" t="str">
        <f>HYPERLINK("https%3A%2F%2Fwww.webofscience.com%2Fwos%2Fwoscc%2Ffull-record%2FWOS:000720181400001","View Full Record in Web of Science")</f>
        <v>View Full Record in Web of Science</v>
      </c>
    </row>
    <row r="715" spans="1:72" x14ac:dyDescent="0.2">
      <c r="A715" t="s">
        <v>72</v>
      </c>
      <c r="B715" t="s">
        <v>13449</v>
      </c>
      <c r="C715" t="s">
        <v>74</v>
      </c>
      <c r="D715" t="s">
        <v>74</v>
      </c>
      <c r="E715" t="s">
        <v>74</v>
      </c>
      <c r="F715" t="s">
        <v>13450</v>
      </c>
      <c r="G715" t="s">
        <v>74</v>
      </c>
      <c r="H715" t="s">
        <v>74</v>
      </c>
      <c r="I715" t="s">
        <v>13451</v>
      </c>
      <c r="J715" t="s">
        <v>311</v>
      </c>
      <c r="K715" t="s">
        <v>74</v>
      </c>
      <c r="L715" t="s">
        <v>74</v>
      </c>
      <c r="M715" t="s">
        <v>78</v>
      </c>
      <c r="N715" t="s">
        <v>108</v>
      </c>
      <c r="O715" t="s">
        <v>74</v>
      </c>
      <c r="P715" t="s">
        <v>74</v>
      </c>
      <c r="Q715" t="s">
        <v>74</v>
      </c>
      <c r="R715" t="s">
        <v>74</v>
      </c>
      <c r="S715" t="s">
        <v>74</v>
      </c>
      <c r="T715" t="s">
        <v>13452</v>
      </c>
      <c r="U715" t="s">
        <v>13453</v>
      </c>
      <c r="V715" t="s">
        <v>13454</v>
      </c>
      <c r="W715" t="s">
        <v>13455</v>
      </c>
      <c r="X715" t="s">
        <v>13456</v>
      </c>
      <c r="Y715" t="s">
        <v>13457</v>
      </c>
      <c r="Z715" t="s">
        <v>13458</v>
      </c>
      <c r="AA715" t="s">
        <v>13459</v>
      </c>
      <c r="AB715" t="s">
        <v>13460</v>
      </c>
      <c r="AC715" t="s">
        <v>74</v>
      </c>
      <c r="AD715" t="s">
        <v>74</v>
      </c>
      <c r="AE715" t="s">
        <v>74</v>
      </c>
      <c r="AF715" t="s">
        <v>74</v>
      </c>
      <c r="AG715">
        <v>30</v>
      </c>
      <c r="AH715">
        <v>7</v>
      </c>
      <c r="AI715">
        <v>7</v>
      </c>
      <c r="AJ715">
        <v>3</v>
      </c>
      <c r="AK715">
        <v>38</v>
      </c>
      <c r="AL715" t="s">
        <v>321</v>
      </c>
      <c r="AM715" t="s">
        <v>322</v>
      </c>
      <c r="AN715" t="s">
        <v>323</v>
      </c>
      <c r="AO715" t="s">
        <v>324</v>
      </c>
      <c r="AP715" t="s">
        <v>325</v>
      </c>
      <c r="AQ715" t="s">
        <v>74</v>
      </c>
      <c r="AR715" t="s">
        <v>326</v>
      </c>
      <c r="AS715" t="s">
        <v>327</v>
      </c>
      <c r="AT715" t="s">
        <v>239</v>
      </c>
      <c r="AU715">
        <v>2020</v>
      </c>
      <c r="AV715">
        <v>291</v>
      </c>
      <c r="AW715" t="s">
        <v>1459</v>
      </c>
      <c r="AX715" t="s">
        <v>74</v>
      </c>
      <c r="AY715" t="s">
        <v>74</v>
      </c>
      <c r="AZ715" t="s">
        <v>570</v>
      </c>
      <c r="BA715" t="s">
        <v>74</v>
      </c>
      <c r="BB715">
        <v>1077</v>
      </c>
      <c r="BC715">
        <v>1102</v>
      </c>
      <c r="BD715" t="s">
        <v>74</v>
      </c>
      <c r="BE715" t="s">
        <v>13461</v>
      </c>
      <c r="BF715" t="str">
        <f>HYPERLINK("http://dx.doi.org/10.1007/s10479-018-3058-x","http://dx.doi.org/10.1007/s10479-018-3058-x")</f>
        <v>http://dx.doi.org/10.1007/s10479-018-3058-x</v>
      </c>
      <c r="BG715" t="s">
        <v>74</v>
      </c>
      <c r="BH715" t="s">
        <v>74</v>
      </c>
      <c r="BI715">
        <v>26</v>
      </c>
      <c r="BJ715" t="s">
        <v>330</v>
      </c>
      <c r="BK715" t="s">
        <v>147</v>
      </c>
      <c r="BL715" t="s">
        <v>330</v>
      </c>
      <c r="BM715" t="s">
        <v>13462</v>
      </c>
      <c r="BN715" t="s">
        <v>74</v>
      </c>
      <c r="BO715" t="s">
        <v>74</v>
      </c>
      <c r="BP715" t="s">
        <v>74</v>
      </c>
      <c r="BQ715" t="s">
        <v>74</v>
      </c>
      <c r="BR715" t="s">
        <v>102</v>
      </c>
      <c r="BS715" t="s">
        <v>13463</v>
      </c>
      <c r="BT715" t="str">
        <f>HYPERLINK("https%3A%2F%2Fwww.webofscience.com%2Fwos%2Fwoscc%2Ffull-record%2FWOS:000550377300041","View Full Record in Web of Science")</f>
        <v>View Full Record in Web of Science</v>
      </c>
    </row>
    <row r="716" spans="1:72" x14ac:dyDescent="0.2">
      <c r="A716" t="s">
        <v>72</v>
      </c>
      <c r="B716" t="s">
        <v>13464</v>
      </c>
      <c r="C716" t="s">
        <v>74</v>
      </c>
      <c r="D716" t="s">
        <v>74</v>
      </c>
      <c r="E716" t="s">
        <v>74</v>
      </c>
      <c r="F716" t="s">
        <v>13465</v>
      </c>
      <c r="G716" t="s">
        <v>74</v>
      </c>
      <c r="H716" t="s">
        <v>74</v>
      </c>
      <c r="I716" t="s">
        <v>13466</v>
      </c>
      <c r="J716" t="s">
        <v>8806</v>
      </c>
      <c r="K716" t="s">
        <v>74</v>
      </c>
      <c r="L716" t="s">
        <v>74</v>
      </c>
      <c r="M716" t="s">
        <v>78</v>
      </c>
      <c r="N716" t="s">
        <v>108</v>
      </c>
      <c r="O716" t="s">
        <v>74</v>
      </c>
      <c r="P716" t="s">
        <v>74</v>
      </c>
      <c r="Q716" t="s">
        <v>74</v>
      </c>
      <c r="R716" t="s">
        <v>74</v>
      </c>
      <c r="S716" t="s">
        <v>74</v>
      </c>
      <c r="T716" t="s">
        <v>13467</v>
      </c>
      <c r="U716" t="s">
        <v>74</v>
      </c>
      <c r="V716" t="s">
        <v>13468</v>
      </c>
      <c r="W716" t="s">
        <v>13469</v>
      </c>
      <c r="X716" t="s">
        <v>74</v>
      </c>
      <c r="Y716" t="s">
        <v>13470</v>
      </c>
      <c r="Z716" t="s">
        <v>13471</v>
      </c>
      <c r="AA716" t="s">
        <v>74</v>
      </c>
      <c r="AB716" t="s">
        <v>74</v>
      </c>
      <c r="AC716" t="s">
        <v>74</v>
      </c>
      <c r="AD716" t="s">
        <v>74</v>
      </c>
      <c r="AE716" t="s">
        <v>74</v>
      </c>
      <c r="AF716" t="s">
        <v>74</v>
      </c>
      <c r="AG716">
        <v>36</v>
      </c>
      <c r="AH716">
        <v>1</v>
      </c>
      <c r="AI716">
        <v>1</v>
      </c>
      <c r="AJ716">
        <v>20</v>
      </c>
      <c r="AK716">
        <v>29</v>
      </c>
      <c r="AL716" t="s">
        <v>5729</v>
      </c>
      <c r="AM716" t="s">
        <v>5730</v>
      </c>
      <c r="AN716" t="s">
        <v>5731</v>
      </c>
      <c r="AO716" t="s">
        <v>8815</v>
      </c>
      <c r="AP716" t="s">
        <v>8816</v>
      </c>
      <c r="AQ716" t="s">
        <v>74</v>
      </c>
      <c r="AR716" t="s">
        <v>8817</v>
      </c>
      <c r="AS716" t="s">
        <v>8818</v>
      </c>
      <c r="AT716" t="s">
        <v>74</v>
      </c>
      <c r="AU716">
        <v>2023</v>
      </c>
      <c r="AV716">
        <v>20</v>
      </c>
      <c r="AW716">
        <v>1</v>
      </c>
      <c r="AX716" t="s">
        <v>74</v>
      </c>
      <c r="AY716" t="s">
        <v>74</v>
      </c>
      <c r="AZ716" t="s">
        <v>74</v>
      </c>
      <c r="BA716" t="s">
        <v>74</v>
      </c>
      <c r="BB716">
        <v>1538</v>
      </c>
      <c r="BC716">
        <v>1557</v>
      </c>
      <c r="BD716" t="s">
        <v>74</v>
      </c>
      <c r="BE716" t="s">
        <v>13472</v>
      </c>
      <c r="BF716" t="str">
        <f>HYPERLINK("http://dx.doi.org/10.3934/mbe.2023070","http://dx.doi.org/10.3934/mbe.2023070")</f>
        <v>http://dx.doi.org/10.3934/mbe.2023070</v>
      </c>
      <c r="BG716" t="s">
        <v>74</v>
      </c>
      <c r="BH716" t="s">
        <v>74</v>
      </c>
      <c r="BI716">
        <v>20</v>
      </c>
      <c r="BJ716" t="s">
        <v>3805</v>
      </c>
      <c r="BK716" t="s">
        <v>98</v>
      </c>
      <c r="BL716" t="s">
        <v>3805</v>
      </c>
      <c r="BM716" t="s">
        <v>13473</v>
      </c>
      <c r="BN716">
        <v>36650823</v>
      </c>
      <c r="BO716" t="s">
        <v>126</v>
      </c>
      <c r="BP716" t="s">
        <v>74</v>
      </c>
      <c r="BQ716" t="s">
        <v>74</v>
      </c>
      <c r="BR716" t="s">
        <v>102</v>
      </c>
      <c r="BS716" t="s">
        <v>13474</v>
      </c>
      <c r="BT716" t="str">
        <f>HYPERLINK("https%3A%2F%2Fwww.webofscience.com%2Fwos%2Fwoscc%2Ffull-record%2FWOS:000886663600011","View Full Record in Web of Science")</f>
        <v>View Full Record in Web of Science</v>
      </c>
    </row>
    <row r="717" spans="1:72" x14ac:dyDescent="0.2">
      <c r="A717" t="s">
        <v>72</v>
      </c>
      <c r="B717" t="s">
        <v>13475</v>
      </c>
      <c r="C717" t="s">
        <v>74</v>
      </c>
      <c r="D717" t="s">
        <v>74</v>
      </c>
      <c r="E717" t="s">
        <v>74</v>
      </c>
      <c r="F717" t="s">
        <v>13476</v>
      </c>
      <c r="G717" t="s">
        <v>74</v>
      </c>
      <c r="H717" t="s">
        <v>74</v>
      </c>
      <c r="I717" t="s">
        <v>13477</v>
      </c>
      <c r="J717" t="s">
        <v>13478</v>
      </c>
      <c r="K717" t="s">
        <v>74</v>
      </c>
      <c r="L717" t="s">
        <v>74</v>
      </c>
      <c r="M717" t="s">
        <v>78</v>
      </c>
      <c r="N717" t="s">
        <v>108</v>
      </c>
      <c r="O717" t="s">
        <v>74</v>
      </c>
      <c r="P717" t="s">
        <v>74</v>
      </c>
      <c r="Q717" t="s">
        <v>74</v>
      </c>
      <c r="R717" t="s">
        <v>74</v>
      </c>
      <c r="S717" t="s">
        <v>74</v>
      </c>
      <c r="T717" t="s">
        <v>13479</v>
      </c>
      <c r="U717" t="s">
        <v>13480</v>
      </c>
      <c r="V717" t="s">
        <v>13481</v>
      </c>
      <c r="W717" t="s">
        <v>13482</v>
      </c>
      <c r="X717" t="s">
        <v>13483</v>
      </c>
      <c r="Y717" t="s">
        <v>13484</v>
      </c>
      <c r="Z717" t="s">
        <v>13485</v>
      </c>
      <c r="AA717" t="s">
        <v>74</v>
      </c>
      <c r="AB717" t="s">
        <v>13486</v>
      </c>
      <c r="AC717" t="s">
        <v>74</v>
      </c>
      <c r="AD717" t="s">
        <v>74</v>
      </c>
      <c r="AE717" t="s">
        <v>74</v>
      </c>
      <c r="AF717" t="s">
        <v>74</v>
      </c>
      <c r="AG717">
        <v>48</v>
      </c>
      <c r="AH717">
        <v>6</v>
      </c>
      <c r="AI717">
        <v>6</v>
      </c>
      <c r="AJ717">
        <v>11</v>
      </c>
      <c r="AK717">
        <v>27</v>
      </c>
      <c r="AL717" t="s">
        <v>13487</v>
      </c>
      <c r="AM717" t="s">
        <v>90</v>
      </c>
      <c r="AN717" t="s">
        <v>13488</v>
      </c>
      <c r="AO717" t="s">
        <v>13489</v>
      </c>
      <c r="AP717" t="s">
        <v>13490</v>
      </c>
      <c r="AQ717" t="s">
        <v>74</v>
      </c>
      <c r="AR717" t="s">
        <v>13491</v>
      </c>
      <c r="AS717" t="s">
        <v>13492</v>
      </c>
      <c r="AT717" t="s">
        <v>12249</v>
      </c>
      <c r="AU717">
        <v>2021</v>
      </c>
      <c r="AV717">
        <v>294</v>
      </c>
      <c r="AW717" t="s">
        <v>74</v>
      </c>
      <c r="AX717" t="s">
        <v>74</v>
      </c>
      <c r="AY717" t="s">
        <v>74</v>
      </c>
      <c r="AZ717" t="s">
        <v>74</v>
      </c>
      <c r="BA717" t="s">
        <v>74</v>
      </c>
      <c r="BB717" t="s">
        <v>74</v>
      </c>
      <c r="BC717" t="s">
        <v>74</v>
      </c>
      <c r="BD717">
        <v>113015</v>
      </c>
      <c r="BE717" t="s">
        <v>13493</v>
      </c>
      <c r="BF717" t="str">
        <f>HYPERLINK("http://dx.doi.org/10.1016/j.jenvman.2021.113015","http://dx.doi.org/10.1016/j.jenvman.2021.113015")</f>
        <v>http://dx.doi.org/10.1016/j.jenvman.2021.113015</v>
      </c>
      <c r="BG717" t="s">
        <v>74</v>
      </c>
      <c r="BH717" t="s">
        <v>4013</v>
      </c>
      <c r="BI717">
        <v>9</v>
      </c>
      <c r="BJ717" t="s">
        <v>674</v>
      </c>
      <c r="BK717" t="s">
        <v>98</v>
      </c>
      <c r="BL717" t="s">
        <v>675</v>
      </c>
      <c r="BM717" t="s">
        <v>13494</v>
      </c>
      <c r="BN717">
        <v>34119987</v>
      </c>
      <c r="BO717" t="s">
        <v>594</v>
      </c>
      <c r="BP717" t="s">
        <v>74</v>
      </c>
      <c r="BQ717" t="s">
        <v>74</v>
      </c>
      <c r="BR717" t="s">
        <v>102</v>
      </c>
      <c r="BS717" t="s">
        <v>13495</v>
      </c>
      <c r="BT717" t="str">
        <f>HYPERLINK("https%3A%2F%2Fwww.webofscience.com%2Fwos%2Fwoscc%2Ffull-record%2FWOS:000677982700006","View Full Record in Web of Science")</f>
        <v>View Full Record in Web of Science</v>
      </c>
    </row>
    <row r="718" spans="1:72" x14ac:dyDescent="0.2">
      <c r="A718" t="s">
        <v>72</v>
      </c>
      <c r="B718" t="s">
        <v>13496</v>
      </c>
      <c r="C718" t="s">
        <v>74</v>
      </c>
      <c r="D718" t="s">
        <v>74</v>
      </c>
      <c r="E718" t="s">
        <v>74</v>
      </c>
      <c r="F718" t="s">
        <v>13496</v>
      </c>
      <c r="G718" t="s">
        <v>74</v>
      </c>
      <c r="H718" t="s">
        <v>74</v>
      </c>
      <c r="I718" t="s">
        <v>13497</v>
      </c>
      <c r="J718" t="s">
        <v>13498</v>
      </c>
      <c r="K718" t="s">
        <v>74</v>
      </c>
      <c r="L718" t="s">
        <v>74</v>
      </c>
      <c r="M718" t="s">
        <v>78</v>
      </c>
      <c r="N718" t="s">
        <v>482</v>
      </c>
      <c r="O718" t="s">
        <v>13499</v>
      </c>
      <c r="P718" t="s">
        <v>13500</v>
      </c>
      <c r="Q718" t="s">
        <v>13501</v>
      </c>
      <c r="R718" t="s">
        <v>13502</v>
      </c>
      <c r="S718" t="s">
        <v>13503</v>
      </c>
      <c r="T718" t="s">
        <v>74</v>
      </c>
      <c r="U718" t="s">
        <v>13504</v>
      </c>
      <c r="V718" t="s">
        <v>13505</v>
      </c>
      <c r="W718" t="s">
        <v>13506</v>
      </c>
      <c r="X718" t="s">
        <v>13507</v>
      </c>
      <c r="Y718" t="s">
        <v>13508</v>
      </c>
      <c r="Z718" t="s">
        <v>13509</v>
      </c>
      <c r="AA718" t="s">
        <v>74</v>
      </c>
      <c r="AB718" t="s">
        <v>74</v>
      </c>
      <c r="AC718" t="s">
        <v>74</v>
      </c>
      <c r="AD718" t="s">
        <v>74</v>
      </c>
      <c r="AE718" t="s">
        <v>74</v>
      </c>
      <c r="AF718" t="s">
        <v>74</v>
      </c>
      <c r="AG718">
        <v>51</v>
      </c>
      <c r="AH718">
        <v>9</v>
      </c>
      <c r="AI718">
        <v>9</v>
      </c>
      <c r="AJ718">
        <v>0</v>
      </c>
      <c r="AK718">
        <v>7</v>
      </c>
      <c r="AL718" t="s">
        <v>2147</v>
      </c>
      <c r="AM718" t="s">
        <v>90</v>
      </c>
      <c r="AN718" t="s">
        <v>2148</v>
      </c>
      <c r="AO718" t="s">
        <v>13510</v>
      </c>
      <c r="AP718" t="s">
        <v>13511</v>
      </c>
      <c r="AQ718" t="s">
        <v>74</v>
      </c>
      <c r="AR718" t="s">
        <v>13512</v>
      </c>
      <c r="AS718" t="s">
        <v>13513</v>
      </c>
      <c r="AT718" t="s">
        <v>216</v>
      </c>
      <c r="AU718">
        <v>2005</v>
      </c>
      <c r="AV718">
        <v>23</v>
      </c>
      <c r="AW718">
        <v>6</v>
      </c>
      <c r="AX718" t="s">
        <v>74</v>
      </c>
      <c r="AY718" t="s">
        <v>74</v>
      </c>
      <c r="AZ718" t="s">
        <v>74</v>
      </c>
      <c r="BA718" t="s">
        <v>74</v>
      </c>
      <c r="BB718">
        <v>833</v>
      </c>
      <c r="BC718">
        <v>850</v>
      </c>
      <c r="BD718" t="s">
        <v>74</v>
      </c>
      <c r="BE718" t="s">
        <v>13514</v>
      </c>
      <c r="BF718" t="str">
        <f>HYPERLINK("http://dx.doi.org/10.1068/c0504","http://dx.doi.org/10.1068/c0504")</f>
        <v>http://dx.doi.org/10.1068/c0504</v>
      </c>
      <c r="BG718" t="s">
        <v>74</v>
      </c>
      <c r="BH718" t="s">
        <v>74</v>
      </c>
      <c r="BI718">
        <v>18</v>
      </c>
      <c r="BJ718" t="s">
        <v>10432</v>
      </c>
      <c r="BK718" t="s">
        <v>11193</v>
      </c>
      <c r="BL718" t="s">
        <v>10433</v>
      </c>
      <c r="BM718" t="s">
        <v>13515</v>
      </c>
      <c r="BN718" t="s">
        <v>74</v>
      </c>
      <c r="BO718" t="s">
        <v>74</v>
      </c>
      <c r="BP718" t="s">
        <v>74</v>
      </c>
      <c r="BQ718" t="s">
        <v>74</v>
      </c>
      <c r="BR718" t="s">
        <v>102</v>
      </c>
      <c r="BS718" t="s">
        <v>13516</v>
      </c>
      <c r="BT718" t="str">
        <f>HYPERLINK("https%3A%2F%2Fwww.webofscience.com%2Fwos%2Fwoscc%2Ffull-record%2FWOS:000235348800004","View Full Record in Web of Science")</f>
        <v>View Full Record in Web of Science</v>
      </c>
    </row>
    <row r="719" spans="1:72" x14ac:dyDescent="0.2">
      <c r="A719" t="s">
        <v>72</v>
      </c>
      <c r="B719" t="s">
        <v>13517</v>
      </c>
      <c r="C719" t="s">
        <v>74</v>
      </c>
      <c r="D719" t="s">
        <v>74</v>
      </c>
      <c r="E719" t="s">
        <v>74</v>
      </c>
      <c r="F719" t="s">
        <v>13518</v>
      </c>
      <c r="G719" t="s">
        <v>74</v>
      </c>
      <c r="H719" t="s">
        <v>74</v>
      </c>
      <c r="I719" t="s">
        <v>13519</v>
      </c>
      <c r="J719" t="s">
        <v>6146</v>
      </c>
      <c r="K719" t="s">
        <v>74</v>
      </c>
      <c r="L719" t="s">
        <v>74</v>
      </c>
      <c r="M719" t="s">
        <v>78</v>
      </c>
      <c r="N719" t="s">
        <v>108</v>
      </c>
      <c r="O719" t="s">
        <v>74</v>
      </c>
      <c r="P719" t="s">
        <v>74</v>
      </c>
      <c r="Q719" t="s">
        <v>74</v>
      </c>
      <c r="R719" t="s">
        <v>74</v>
      </c>
      <c r="S719" t="s">
        <v>74</v>
      </c>
      <c r="T719" t="s">
        <v>13520</v>
      </c>
      <c r="U719" t="s">
        <v>13521</v>
      </c>
      <c r="V719" t="s">
        <v>13522</v>
      </c>
      <c r="W719" t="s">
        <v>13523</v>
      </c>
      <c r="X719" t="s">
        <v>13524</v>
      </c>
      <c r="Y719" t="s">
        <v>13525</v>
      </c>
      <c r="Z719" t="s">
        <v>13526</v>
      </c>
      <c r="AA719" t="s">
        <v>13527</v>
      </c>
      <c r="AB719" t="s">
        <v>13528</v>
      </c>
      <c r="AC719" t="s">
        <v>13529</v>
      </c>
      <c r="AD719" t="s">
        <v>13530</v>
      </c>
      <c r="AE719" t="s">
        <v>13531</v>
      </c>
      <c r="AF719" t="s">
        <v>74</v>
      </c>
      <c r="AG719">
        <v>49</v>
      </c>
      <c r="AH719">
        <v>11</v>
      </c>
      <c r="AI719">
        <v>11</v>
      </c>
      <c r="AJ719">
        <v>7</v>
      </c>
      <c r="AK719">
        <v>25</v>
      </c>
      <c r="AL719" t="s">
        <v>116</v>
      </c>
      <c r="AM719" t="s">
        <v>117</v>
      </c>
      <c r="AN719" t="s">
        <v>118</v>
      </c>
      <c r="AO719" t="s">
        <v>74</v>
      </c>
      <c r="AP719" t="s">
        <v>6158</v>
      </c>
      <c r="AQ719" t="s">
        <v>74</v>
      </c>
      <c r="AR719" t="s">
        <v>6159</v>
      </c>
      <c r="AS719" t="s">
        <v>6160</v>
      </c>
      <c r="AT719" t="s">
        <v>738</v>
      </c>
      <c r="AU719">
        <v>2022</v>
      </c>
      <c r="AV719">
        <v>11</v>
      </c>
      <c r="AW719">
        <v>4</v>
      </c>
      <c r="AX719" t="s">
        <v>74</v>
      </c>
      <c r="AY719" t="s">
        <v>74</v>
      </c>
      <c r="AZ719" t="s">
        <v>74</v>
      </c>
      <c r="BA719" t="s">
        <v>74</v>
      </c>
      <c r="BB719" t="s">
        <v>74</v>
      </c>
      <c r="BC719" t="s">
        <v>74</v>
      </c>
      <c r="BD719">
        <v>602</v>
      </c>
      <c r="BE719" t="s">
        <v>13532</v>
      </c>
      <c r="BF719" t="str">
        <f>HYPERLINK("http://dx.doi.org/10.3390/electronics11040602","http://dx.doi.org/10.3390/electronics11040602")</f>
        <v>http://dx.doi.org/10.3390/electronics11040602</v>
      </c>
      <c r="BG719" t="s">
        <v>74</v>
      </c>
      <c r="BH719" t="s">
        <v>74</v>
      </c>
      <c r="BI719">
        <v>14</v>
      </c>
      <c r="BJ719" t="s">
        <v>6162</v>
      </c>
      <c r="BK719" t="s">
        <v>98</v>
      </c>
      <c r="BL719" t="s">
        <v>6163</v>
      </c>
      <c r="BM719" t="s">
        <v>13533</v>
      </c>
      <c r="BN719" t="s">
        <v>74</v>
      </c>
      <c r="BO719" t="s">
        <v>5917</v>
      </c>
      <c r="BP719" t="s">
        <v>74</v>
      </c>
      <c r="BQ719" t="s">
        <v>74</v>
      </c>
      <c r="BR719" t="s">
        <v>102</v>
      </c>
      <c r="BS719" t="s">
        <v>13534</v>
      </c>
      <c r="BT719" t="str">
        <f>HYPERLINK("https%3A%2F%2Fwww.webofscience.com%2Fwos%2Fwoscc%2Ffull-record%2FWOS:000763654500001","View Full Record in Web of Science")</f>
        <v>View Full Record in Web of Science</v>
      </c>
    </row>
    <row r="720" spans="1:72" x14ac:dyDescent="0.2">
      <c r="A720" t="s">
        <v>72</v>
      </c>
      <c r="B720" t="s">
        <v>13535</v>
      </c>
      <c r="C720" t="s">
        <v>74</v>
      </c>
      <c r="D720" t="s">
        <v>74</v>
      </c>
      <c r="E720" t="s">
        <v>74</v>
      </c>
      <c r="F720" t="s">
        <v>13536</v>
      </c>
      <c r="G720" t="s">
        <v>74</v>
      </c>
      <c r="H720" t="s">
        <v>74</v>
      </c>
      <c r="I720" t="s">
        <v>13537</v>
      </c>
      <c r="J720" t="s">
        <v>4172</v>
      </c>
      <c r="K720" t="s">
        <v>74</v>
      </c>
      <c r="L720" t="s">
        <v>74</v>
      </c>
      <c r="M720" t="s">
        <v>78</v>
      </c>
      <c r="N720" t="s">
        <v>108</v>
      </c>
      <c r="O720" t="s">
        <v>74</v>
      </c>
      <c r="P720" t="s">
        <v>74</v>
      </c>
      <c r="Q720" t="s">
        <v>74</v>
      </c>
      <c r="R720" t="s">
        <v>74</v>
      </c>
      <c r="S720" t="s">
        <v>74</v>
      </c>
      <c r="T720" t="s">
        <v>13538</v>
      </c>
      <c r="U720" t="s">
        <v>13539</v>
      </c>
      <c r="V720" t="s">
        <v>13540</v>
      </c>
      <c r="W720" t="s">
        <v>13541</v>
      </c>
      <c r="X720" t="s">
        <v>13542</v>
      </c>
      <c r="Y720" t="s">
        <v>13543</v>
      </c>
      <c r="Z720" t="s">
        <v>13544</v>
      </c>
      <c r="AA720" t="s">
        <v>13545</v>
      </c>
      <c r="AB720" t="s">
        <v>74</v>
      </c>
      <c r="AC720" t="s">
        <v>13546</v>
      </c>
      <c r="AD720" t="s">
        <v>13547</v>
      </c>
      <c r="AE720" t="s">
        <v>13548</v>
      </c>
      <c r="AF720" t="s">
        <v>74</v>
      </c>
      <c r="AG720">
        <v>44</v>
      </c>
      <c r="AH720">
        <v>38</v>
      </c>
      <c r="AI720">
        <v>42</v>
      </c>
      <c r="AJ720">
        <v>0</v>
      </c>
      <c r="AK720">
        <v>18</v>
      </c>
      <c r="AL720" t="s">
        <v>543</v>
      </c>
      <c r="AM720" t="s">
        <v>260</v>
      </c>
      <c r="AN720" t="s">
        <v>544</v>
      </c>
      <c r="AO720" t="s">
        <v>4180</v>
      </c>
      <c r="AP720" t="s">
        <v>74</v>
      </c>
      <c r="AQ720" t="s">
        <v>74</v>
      </c>
      <c r="AR720" t="s">
        <v>4182</v>
      </c>
      <c r="AS720" t="s">
        <v>4183</v>
      </c>
      <c r="AT720" t="s">
        <v>372</v>
      </c>
      <c r="AU720">
        <v>2010</v>
      </c>
      <c r="AV720">
        <v>37</v>
      </c>
      <c r="AW720">
        <v>1</v>
      </c>
      <c r="AX720" t="s">
        <v>74</v>
      </c>
      <c r="AY720" t="s">
        <v>74</v>
      </c>
      <c r="AZ720" t="s">
        <v>74</v>
      </c>
      <c r="BA720" t="s">
        <v>74</v>
      </c>
      <c r="BB720">
        <v>123</v>
      </c>
      <c r="BC720">
        <v>136</v>
      </c>
      <c r="BD720" t="s">
        <v>74</v>
      </c>
      <c r="BE720" t="s">
        <v>13549</v>
      </c>
      <c r="BF720" t="str">
        <f>HYPERLINK("http://dx.doi.org/10.1016/j.cor.2009.04.001","http://dx.doi.org/10.1016/j.cor.2009.04.001")</f>
        <v>http://dx.doi.org/10.1016/j.cor.2009.04.001</v>
      </c>
      <c r="BG720" t="s">
        <v>74</v>
      </c>
      <c r="BH720" t="s">
        <v>74</v>
      </c>
      <c r="BI720">
        <v>14</v>
      </c>
      <c r="BJ720" t="s">
        <v>4185</v>
      </c>
      <c r="BK720" t="s">
        <v>147</v>
      </c>
      <c r="BL720" t="s">
        <v>2060</v>
      </c>
      <c r="BM720" t="s">
        <v>13550</v>
      </c>
      <c r="BN720" t="s">
        <v>74</v>
      </c>
      <c r="BO720" t="s">
        <v>74</v>
      </c>
      <c r="BP720" t="s">
        <v>74</v>
      </c>
      <c r="BQ720" t="s">
        <v>74</v>
      </c>
      <c r="BR720" t="s">
        <v>102</v>
      </c>
      <c r="BS720" t="s">
        <v>13551</v>
      </c>
      <c r="BT720" t="str">
        <f>HYPERLINK("https%3A%2F%2Fwww.webofscience.com%2Fwos%2Fwoscc%2Ffull-record%2FWOS:000270630100013","View Full Record in Web of Science")</f>
        <v>View Full Record in Web of Science</v>
      </c>
    </row>
    <row r="721" spans="1:72" x14ac:dyDescent="0.2">
      <c r="A721" t="s">
        <v>72</v>
      </c>
      <c r="B721" t="s">
        <v>13552</v>
      </c>
      <c r="C721" t="s">
        <v>74</v>
      </c>
      <c r="D721" t="s">
        <v>74</v>
      </c>
      <c r="E721" t="s">
        <v>74</v>
      </c>
      <c r="F721" t="s">
        <v>13553</v>
      </c>
      <c r="G721" t="s">
        <v>74</v>
      </c>
      <c r="H721" t="s">
        <v>74</v>
      </c>
      <c r="I721" t="s">
        <v>13554</v>
      </c>
      <c r="J721" t="s">
        <v>13555</v>
      </c>
      <c r="K721" t="s">
        <v>74</v>
      </c>
      <c r="L721" t="s">
        <v>74</v>
      </c>
      <c r="M721" t="s">
        <v>78</v>
      </c>
      <c r="N721" t="s">
        <v>108</v>
      </c>
      <c r="O721" t="s">
        <v>74</v>
      </c>
      <c r="P721" t="s">
        <v>74</v>
      </c>
      <c r="Q721" t="s">
        <v>74</v>
      </c>
      <c r="R721" t="s">
        <v>74</v>
      </c>
      <c r="S721" t="s">
        <v>74</v>
      </c>
      <c r="T721" t="s">
        <v>13556</v>
      </c>
      <c r="U721" t="s">
        <v>74</v>
      </c>
      <c r="V721" t="s">
        <v>13557</v>
      </c>
      <c r="W721" t="s">
        <v>13558</v>
      </c>
      <c r="X721" t="s">
        <v>13559</v>
      </c>
      <c r="Y721" t="s">
        <v>13560</v>
      </c>
      <c r="Z721" t="s">
        <v>74</v>
      </c>
      <c r="AA721" t="s">
        <v>74</v>
      </c>
      <c r="AB721" t="s">
        <v>74</v>
      </c>
      <c r="AC721" t="s">
        <v>74</v>
      </c>
      <c r="AD721" t="s">
        <v>74</v>
      </c>
      <c r="AE721" t="s">
        <v>74</v>
      </c>
      <c r="AF721" t="s">
        <v>74</v>
      </c>
      <c r="AG721">
        <v>87</v>
      </c>
      <c r="AH721">
        <v>2</v>
      </c>
      <c r="AI721">
        <v>2</v>
      </c>
      <c r="AJ721">
        <v>2</v>
      </c>
      <c r="AK721">
        <v>16</v>
      </c>
      <c r="AL721" t="s">
        <v>13561</v>
      </c>
      <c r="AM721" t="s">
        <v>348</v>
      </c>
      <c r="AN721" t="s">
        <v>13562</v>
      </c>
      <c r="AO721" t="s">
        <v>13563</v>
      </c>
      <c r="AP721" t="s">
        <v>13564</v>
      </c>
      <c r="AQ721" t="s">
        <v>74</v>
      </c>
      <c r="AR721" t="s">
        <v>13565</v>
      </c>
      <c r="AS721" t="s">
        <v>13566</v>
      </c>
      <c r="AT721" t="s">
        <v>74</v>
      </c>
      <c r="AU721">
        <v>2021</v>
      </c>
      <c r="AV721">
        <v>95</v>
      </c>
      <c r="AW721">
        <v>3</v>
      </c>
      <c r="AX721" t="s">
        <v>74</v>
      </c>
      <c r="AY721" t="s">
        <v>74</v>
      </c>
      <c r="AZ721" t="s">
        <v>570</v>
      </c>
      <c r="BA721" t="s">
        <v>74</v>
      </c>
      <c r="BB721">
        <v>543</v>
      </c>
      <c r="BC721">
        <v>567</v>
      </c>
      <c r="BD721" t="s">
        <v>13567</v>
      </c>
      <c r="BE721" t="s">
        <v>13568</v>
      </c>
      <c r="BF721" t="str">
        <f>HYPERLINK("http://dx.doi.org/10.1017/S0007680521000398","http://dx.doi.org/10.1017/S0007680521000398")</f>
        <v>http://dx.doi.org/10.1017/S0007680521000398</v>
      </c>
      <c r="BG721" t="s">
        <v>74</v>
      </c>
      <c r="BH721" t="s">
        <v>74</v>
      </c>
      <c r="BI721">
        <v>25</v>
      </c>
      <c r="BJ721" t="s">
        <v>13569</v>
      </c>
      <c r="BK721" t="s">
        <v>242</v>
      </c>
      <c r="BL721" t="s">
        <v>647</v>
      </c>
      <c r="BM721" t="s">
        <v>13570</v>
      </c>
      <c r="BN721" t="s">
        <v>74</v>
      </c>
      <c r="BO721" t="s">
        <v>74</v>
      </c>
      <c r="BP721" t="s">
        <v>74</v>
      </c>
      <c r="BQ721" t="s">
        <v>74</v>
      </c>
      <c r="BR721" t="s">
        <v>102</v>
      </c>
      <c r="BS721" t="s">
        <v>13571</v>
      </c>
      <c r="BT721" t="str">
        <f>HYPERLINK("https%3A%2F%2Fwww.webofscience.com%2Fwos%2Fwoscc%2Ffull-record%2FWOS:000719315800009","View Full Record in Web of Science")</f>
        <v>View Full Record in Web of Science</v>
      </c>
    </row>
    <row r="722" spans="1:72" x14ac:dyDescent="0.2">
      <c r="A722" t="s">
        <v>72</v>
      </c>
      <c r="B722" t="s">
        <v>13572</v>
      </c>
      <c r="C722" t="s">
        <v>74</v>
      </c>
      <c r="D722" t="s">
        <v>74</v>
      </c>
      <c r="E722" t="s">
        <v>74</v>
      </c>
      <c r="F722" t="s">
        <v>13573</v>
      </c>
      <c r="G722" t="s">
        <v>74</v>
      </c>
      <c r="H722" t="s">
        <v>74</v>
      </c>
      <c r="I722" t="s">
        <v>13574</v>
      </c>
      <c r="J722" t="s">
        <v>131</v>
      </c>
      <c r="K722" t="s">
        <v>74</v>
      </c>
      <c r="L722" t="s">
        <v>74</v>
      </c>
      <c r="M722" t="s">
        <v>78</v>
      </c>
      <c r="N722" t="s">
        <v>108</v>
      </c>
      <c r="O722" t="s">
        <v>74</v>
      </c>
      <c r="P722" t="s">
        <v>74</v>
      </c>
      <c r="Q722" t="s">
        <v>74</v>
      </c>
      <c r="R722" t="s">
        <v>74</v>
      </c>
      <c r="S722" t="s">
        <v>74</v>
      </c>
      <c r="T722" t="s">
        <v>13575</v>
      </c>
      <c r="U722" t="s">
        <v>13576</v>
      </c>
      <c r="V722" t="s">
        <v>13577</v>
      </c>
      <c r="W722" t="s">
        <v>13578</v>
      </c>
      <c r="X722" t="s">
        <v>13579</v>
      </c>
      <c r="Y722" t="s">
        <v>13580</v>
      </c>
      <c r="Z722" t="s">
        <v>13581</v>
      </c>
      <c r="AA722" t="s">
        <v>13582</v>
      </c>
      <c r="AB722" t="s">
        <v>13583</v>
      </c>
      <c r="AC722" t="s">
        <v>74</v>
      </c>
      <c r="AD722" t="s">
        <v>74</v>
      </c>
      <c r="AE722" t="s">
        <v>74</v>
      </c>
      <c r="AF722" t="s">
        <v>74</v>
      </c>
      <c r="AG722">
        <v>30</v>
      </c>
      <c r="AH722">
        <v>14</v>
      </c>
      <c r="AI722">
        <v>14</v>
      </c>
      <c r="AJ722">
        <v>2</v>
      </c>
      <c r="AK722">
        <v>13</v>
      </c>
      <c r="AL722" t="s">
        <v>116</v>
      </c>
      <c r="AM722" t="s">
        <v>117</v>
      </c>
      <c r="AN722" t="s">
        <v>118</v>
      </c>
      <c r="AO722" t="s">
        <v>74</v>
      </c>
      <c r="AP722" t="s">
        <v>142</v>
      </c>
      <c r="AQ722" t="s">
        <v>74</v>
      </c>
      <c r="AR722" t="s">
        <v>143</v>
      </c>
      <c r="AS722" t="s">
        <v>144</v>
      </c>
      <c r="AT722" t="s">
        <v>416</v>
      </c>
      <c r="AU722">
        <v>2021</v>
      </c>
      <c r="AV722">
        <v>13</v>
      </c>
      <c r="AW722">
        <v>11</v>
      </c>
      <c r="AX722" t="s">
        <v>74</v>
      </c>
      <c r="AY722" t="s">
        <v>74</v>
      </c>
      <c r="AZ722" t="s">
        <v>74</v>
      </c>
      <c r="BA722" t="s">
        <v>74</v>
      </c>
      <c r="BB722" t="s">
        <v>74</v>
      </c>
      <c r="BC722" t="s">
        <v>74</v>
      </c>
      <c r="BD722">
        <v>5772</v>
      </c>
      <c r="BE722" t="s">
        <v>13584</v>
      </c>
      <c r="BF722" t="str">
        <f>HYPERLINK("http://dx.doi.org/10.3390/su13115772","http://dx.doi.org/10.3390/su13115772")</f>
        <v>http://dx.doi.org/10.3390/su13115772</v>
      </c>
      <c r="BG722" t="s">
        <v>74</v>
      </c>
      <c r="BH722" t="s">
        <v>74</v>
      </c>
      <c r="BI722">
        <v>22</v>
      </c>
      <c r="BJ722" t="s">
        <v>146</v>
      </c>
      <c r="BK722" t="s">
        <v>147</v>
      </c>
      <c r="BL722" t="s">
        <v>148</v>
      </c>
      <c r="BM722" t="s">
        <v>13585</v>
      </c>
      <c r="BN722" t="s">
        <v>74</v>
      </c>
      <c r="BO722" t="s">
        <v>126</v>
      </c>
      <c r="BP722" t="s">
        <v>74</v>
      </c>
      <c r="BQ722" t="s">
        <v>74</v>
      </c>
      <c r="BR722" t="s">
        <v>102</v>
      </c>
      <c r="BS722" t="s">
        <v>13586</v>
      </c>
      <c r="BT722" t="str">
        <f>HYPERLINK("https%3A%2F%2Fwww.webofscience.com%2Fwos%2Fwoscc%2Ffull-record%2FWOS:000660732000001","View Full Record in Web of Science")</f>
        <v>View Full Record in Web of Science</v>
      </c>
    </row>
    <row r="723" spans="1:72" x14ac:dyDescent="0.2">
      <c r="A723" t="s">
        <v>72</v>
      </c>
      <c r="B723" t="s">
        <v>13587</v>
      </c>
      <c r="C723" t="s">
        <v>74</v>
      </c>
      <c r="D723" t="s">
        <v>74</v>
      </c>
      <c r="E723" t="s">
        <v>74</v>
      </c>
      <c r="F723" t="s">
        <v>13588</v>
      </c>
      <c r="G723" t="s">
        <v>74</v>
      </c>
      <c r="H723" t="s">
        <v>74</v>
      </c>
      <c r="I723" t="s">
        <v>13589</v>
      </c>
      <c r="J723" t="s">
        <v>131</v>
      </c>
      <c r="K723" t="s">
        <v>74</v>
      </c>
      <c r="L723" t="s">
        <v>74</v>
      </c>
      <c r="M723" t="s">
        <v>78</v>
      </c>
      <c r="N723" t="s">
        <v>108</v>
      </c>
      <c r="O723" t="s">
        <v>74</v>
      </c>
      <c r="P723" t="s">
        <v>74</v>
      </c>
      <c r="Q723" t="s">
        <v>74</v>
      </c>
      <c r="R723" t="s">
        <v>74</v>
      </c>
      <c r="S723" t="s">
        <v>74</v>
      </c>
      <c r="T723" t="s">
        <v>13590</v>
      </c>
      <c r="U723" t="s">
        <v>74</v>
      </c>
      <c r="V723" t="s">
        <v>13591</v>
      </c>
      <c r="W723" t="s">
        <v>13592</v>
      </c>
      <c r="X723" t="s">
        <v>13593</v>
      </c>
      <c r="Y723" t="s">
        <v>13594</v>
      </c>
      <c r="Z723" t="s">
        <v>13595</v>
      </c>
      <c r="AA723" t="s">
        <v>13596</v>
      </c>
      <c r="AB723" t="s">
        <v>13597</v>
      </c>
      <c r="AC723" t="s">
        <v>74</v>
      </c>
      <c r="AD723" t="s">
        <v>74</v>
      </c>
      <c r="AE723" t="s">
        <v>74</v>
      </c>
      <c r="AF723" t="s">
        <v>74</v>
      </c>
      <c r="AG723">
        <v>24</v>
      </c>
      <c r="AH723">
        <v>1</v>
      </c>
      <c r="AI723">
        <v>1</v>
      </c>
      <c r="AJ723">
        <v>8</v>
      </c>
      <c r="AK723">
        <v>17</v>
      </c>
      <c r="AL723" t="s">
        <v>116</v>
      </c>
      <c r="AM723" t="s">
        <v>117</v>
      </c>
      <c r="AN723" t="s">
        <v>118</v>
      </c>
      <c r="AO723" t="s">
        <v>74</v>
      </c>
      <c r="AP723" t="s">
        <v>142</v>
      </c>
      <c r="AQ723" t="s">
        <v>74</v>
      </c>
      <c r="AR723" t="s">
        <v>143</v>
      </c>
      <c r="AS723" t="s">
        <v>144</v>
      </c>
      <c r="AT723" t="s">
        <v>174</v>
      </c>
      <c r="AU723">
        <v>2022</v>
      </c>
      <c r="AV723">
        <v>14</v>
      </c>
      <c r="AW723">
        <v>20</v>
      </c>
      <c r="AX723" t="s">
        <v>74</v>
      </c>
      <c r="AY723" t="s">
        <v>74</v>
      </c>
      <c r="AZ723" t="s">
        <v>74</v>
      </c>
      <c r="BA723" t="s">
        <v>74</v>
      </c>
      <c r="BB723" t="s">
        <v>74</v>
      </c>
      <c r="BC723" t="s">
        <v>74</v>
      </c>
      <c r="BD723">
        <v>13476</v>
      </c>
      <c r="BE723" t="s">
        <v>13598</v>
      </c>
      <c r="BF723" t="str">
        <f>HYPERLINK("http://dx.doi.org/10.3390/su142013476","http://dx.doi.org/10.3390/su142013476")</f>
        <v>http://dx.doi.org/10.3390/su142013476</v>
      </c>
      <c r="BG723" t="s">
        <v>74</v>
      </c>
      <c r="BH723" t="s">
        <v>74</v>
      </c>
      <c r="BI723">
        <v>14</v>
      </c>
      <c r="BJ723" t="s">
        <v>146</v>
      </c>
      <c r="BK723" t="s">
        <v>147</v>
      </c>
      <c r="BL723" t="s">
        <v>148</v>
      </c>
      <c r="BM723" t="s">
        <v>13599</v>
      </c>
      <c r="BN723" t="s">
        <v>74</v>
      </c>
      <c r="BO723" t="s">
        <v>126</v>
      </c>
      <c r="BP723" t="s">
        <v>74</v>
      </c>
      <c r="BQ723" t="s">
        <v>74</v>
      </c>
      <c r="BR723" t="s">
        <v>102</v>
      </c>
      <c r="BS723" t="s">
        <v>13600</v>
      </c>
      <c r="BT723" t="str">
        <f>HYPERLINK("https%3A%2F%2Fwww.webofscience.com%2Fwos%2Fwoscc%2Ffull-record%2FWOS:000873722700001","View Full Record in Web of Science")</f>
        <v>View Full Record in Web of Science</v>
      </c>
    </row>
    <row r="724" spans="1:72" x14ac:dyDescent="0.2">
      <c r="A724" t="s">
        <v>72</v>
      </c>
      <c r="B724" t="s">
        <v>13601</v>
      </c>
      <c r="C724" t="s">
        <v>74</v>
      </c>
      <c r="D724" t="s">
        <v>74</v>
      </c>
      <c r="E724" t="s">
        <v>74</v>
      </c>
      <c r="F724" t="s">
        <v>13602</v>
      </c>
      <c r="G724" t="s">
        <v>74</v>
      </c>
      <c r="H724" t="s">
        <v>74</v>
      </c>
      <c r="I724" t="s">
        <v>13603</v>
      </c>
      <c r="J724" t="s">
        <v>13604</v>
      </c>
      <c r="K724" t="s">
        <v>74</v>
      </c>
      <c r="L724" t="s">
        <v>74</v>
      </c>
      <c r="M724" t="s">
        <v>78</v>
      </c>
      <c r="N724" t="s">
        <v>108</v>
      </c>
      <c r="O724" t="s">
        <v>74</v>
      </c>
      <c r="P724" t="s">
        <v>74</v>
      </c>
      <c r="Q724" t="s">
        <v>74</v>
      </c>
      <c r="R724" t="s">
        <v>74</v>
      </c>
      <c r="S724" t="s">
        <v>74</v>
      </c>
      <c r="T724" t="s">
        <v>13605</v>
      </c>
      <c r="U724" t="s">
        <v>13606</v>
      </c>
      <c r="V724" t="s">
        <v>13607</v>
      </c>
      <c r="W724" t="s">
        <v>13608</v>
      </c>
      <c r="X724" t="s">
        <v>13609</v>
      </c>
      <c r="Y724" t="s">
        <v>13610</v>
      </c>
      <c r="Z724" t="s">
        <v>13611</v>
      </c>
      <c r="AA724" t="s">
        <v>74</v>
      </c>
      <c r="AB724" t="s">
        <v>74</v>
      </c>
      <c r="AC724" t="s">
        <v>74</v>
      </c>
      <c r="AD724" t="s">
        <v>74</v>
      </c>
      <c r="AE724" t="s">
        <v>74</v>
      </c>
      <c r="AF724" t="s">
        <v>74</v>
      </c>
      <c r="AG724">
        <v>36</v>
      </c>
      <c r="AH724">
        <v>4</v>
      </c>
      <c r="AI724">
        <v>4</v>
      </c>
      <c r="AJ724">
        <v>4</v>
      </c>
      <c r="AK724">
        <v>22</v>
      </c>
      <c r="AL724" t="s">
        <v>321</v>
      </c>
      <c r="AM724" t="s">
        <v>348</v>
      </c>
      <c r="AN724" t="s">
        <v>1454</v>
      </c>
      <c r="AO724" t="s">
        <v>13612</v>
      </c>
      <c r="AP724" t="s">
        <v>13613</v>
      </c>
      <c r="AQ724" t="s">
        <v>74</v>
      </c>
      <c r="AR724" t="s">
        <v>13614</v>
      </c>
      <c r="AS724" t="s">
        <v>13615</v>
      </c>
      <c r="AT724" t="s">
        <v>13616</v>
      </c>
      <c r="AU724">
        <v>2022</v>
      </c>
      <c r="AV724">
        <v>2022</v>
      </c>
      <c r="AW724">
        <v>1</v>
      </c>
      <c r="AX724" t="s">
        <v>74</v>
      </c>
      <c r="AY724" t="s">
        <v>74</v>
      </c>
      <c r="AZ724" t="s">
        <v>74</v>
      </c>
      <c r="BA724" t="s">
        <v>74</v>
      </c>
      <c r="BB724" t="s">
        <v>74</v>
      </c>
      <c r="BC724" t="s">
        <v>74</v>
      </c>
      <c r="BD724">
        <v>31</v>
      </c>
      <c r="BE724" t="s">
        <v>13617</v>
      </c>
      <c r="BF724" t="str">
        <f>HYPERLINK("http://dx.doi.org/10.1186/s13638-022-02117-3","http://dx.doi.org/10.1186/s13638-022-02117-3")</f>
        <v>http://dx.doi.org/10.1186/s13638-022-02117-3</v>
      </c>
      <c r="BG724" t="s">
        <v>74</v>
      </c>
      <c r="BH724" t="s">
        <v>74</v>
      </c>
      <c r="BI724">
        <v>17</v>
      </c>
      <c r="BJ724" t="s">
        <v>1883</v>
      </c>
      <c r="BK724" t="s">
        <v>147</v>
      </c>
      <c r="BL724" t="s">
        <v>1884</v>
      </c>
      <c r="BM724" t="s">
        <v>13618</v>
      </c>
      <c r="BN724" t="s">
        <v>74</v>
      </c>
      <c r="BO724" t="s">
        <v>126</v>
      </c>
      <c r="BP724" t="s">
        <v>74</v>
      </c>
      <c r="BQ724" t="s">
        <v>74</v>
      </c>
      <c r="BR724" t="s">
        <v>102</v>
      </c>
      <c r="BS724" t="s">
        <v>13619</v>
      </c>
      <c r="BT724" t="str">
        <f>HYPERLINK("https%3A%2F%2Fwww.webofscience.com%2Fwos%2Fwoscc%2Ffull-record%2FWOS:000777395600001","View Full Record in Web of Science")</f>
        <v>View Full Record in Web of Science</v>
      </c>
    </row>
    <row r="725" spans="1:72" x14ac:dyDescent="0.2">
      <c r="A725" t="s">
        <v>72</v>
      </c>
      <c r="B725" t="s">
        <v>13620</v>
      </c>
      <c r="C725" t="s">
        <v>74</v>
      </c>
      <c r="D725" t="s">
        <v>74</v>
      </c>
      <c r="E725" t="s">
        <v>74</v>
      </c>
      <c r="F725" t="s">
        <v>13621</v>
      </c>
      <c r="G725" t="s">
        <v>74</v>
      </c>
      <c r="H725" t="s">
        <v>74</v>
      </c>
      <c r="I725" t="s">
        <v>13622</v>
      </c>
      <c r="J725" t="s">
        <v>6551</v>
      </c>
      <c r="K725" t="s">
        <v>74</v>
      </c>
      <c r="L725" t="s">
        <v>74</v>
      </c>
      <c r="M725" t="s">
        <v>78</v>
      </c>
      <c r="N725" t="s">
        <v>108</v>
      </c>
      <c r="O725" t="s">
        <v>74</v>
      </c>
      <c r="P725" t="s">
        <v>74</v>
      </c>
      <c r="Q725" t="s">
        <v>74</v>
      </c>
      <c r="R725" t="s">
        <v>74</v>
      </c>
      <c r="S725" t="s">
        <v>74</v>
      </c>
      <c r="T725" t="s">
        <v>13623</v>
      </c>
      <c r="U725" t="s">
        <v>13624</v>
      </c>
      <c r="V725" t="s">
        <v>13625</v>
      </c>
      <c r="W725" t="s">
        <v>13626</v>
      </c>
      <c r="X725" t="s">
        <v>13627</v>
      </c>
      <c r="Y725" t="s">
        <v>13628</v>
      </c>
      <c r="Z725" t="s">
        <v>13629</v>
      </c>
      <c r="AA725" t="s">
        <v>13630</v>
      </c>
      <c r="AB725" t="s">
        <v>74</v>
      </c>
      <c r="AC725" t="s">
        <v>74</v>
      </c>
      <c r="AD725" t="s">
        <v>74</v>
      </c>
      <c r="AE725" t="s">
        <v>74</v>
      </c>
      <c r="AF725" t="s">
        <v>74</v>
      </c>
      <c r="AG725">
        <v>147</v>
      </c>
      <c r="AH725">
        <v>3</v>
      </c>
      <c r="AI725">
        <v>3</v>
      </c>
      <c r="AJ725">
        <v>17</v>
      </c>
      <c r="AK725">
        <v>53</v>
      </c>
      <c r="AL725" t="s">
        <v>462</v>
      </c>
      <c r="AM725" t="s">
        <v>280</v>
      </c>
      <c r="AN725" t="s">
        <v>463</v>
      </c>
      <c r="AO725" t="s">
        <v>6563</v>
      </c>
      <c r="AP725" t="s">
        <v>6564</v>
      </c>
      <c r="AQ725" t="s">
        <v>74</v>
      </c>
      <c r="AR725" t="s">
        <v>6565</v>
      </c>
      <c r="AS725" t="s">
        <v>6566</v>
      </c>
      <c r="AT725" t="s">
        <v>696</v>
      </c>
      <c r="AU725">
        <v>2022</v>
      </c>
      <c r="AV725">
        <v>40</v>
      </c>
      <c r="AW725">
        <v>5</v>
      </c>
      <c r="AX725" t="s">
        <v>74</v>
      </c>
      <c r="AY725" t="s">
        <v>74</v>
      </c>
      <c r="AZ725" t="s">
        <v>74</v>
      </c>
      <c r="BA725" t="s">
        <v>74</v>
      </c>
      <c r="BB725">
        <v>406</v>
      </c>
      <c r="BC725">
        <v>427</v>
      </c>
      <c r="BD725" t="s">
        <v>74</v>
      </c>
      <c r="BE725" t="s">
        <v>13631</v>
      </c>
      <c r="BF725" t="str">
        <f>HYPERLINK("http://dx.doi.org/10.1080/01416193.2022.2056216","http://dx.doi.org/10.1080/01416193.2022.2056216")</f>
        <v>http://dx.doi.org/10.1080/01416193.2022.2056216</v>
      </c>
      <c r="BG725" t="s">
        <v>74</v>
      </c>
      <c r="BH725" t="s">
        <v>74</v>
      </c>
      <c r="BI725">
        <v>22</v>
      </c>
      <c r="BJ725" t="s">
        <v>931</v>
      </c>
      <c r="BK725" t="s">
        <v>124</v>
      </c>
      <c r="BL725" t="s">
        <v>419</v>
      </c>
      <c r="BM725" t="s">
        <v>13632</v>
      </c>
      <c r="BN725" t="s">
        <v>74</v>
      </c>
      <c r="BO725" t="s">
        <v>74</v>
      </c>
      <c r="BP725" t="s">
        <v>74</v>
      </c>
      <c r="BQ725" t="s">
        <v>74</v>
      </c>
      <c r="BR725" t="s">
        <v>102</v>
      </c>
      <c r="BS725" t="s">
        <v>13633</v>
      </c>
      <c r="BT725" t="str">
        <f>HYPERLINK("https%3A%2F%2Fwww.webofscience.com%2Fwos%2Fwoscc%2Ffull-record%2FWOS:000784401200005","View Full Record in Web of Science")</f>
        <v>View Full Record in Web of Science</v>
      </c>
    </row>
    <row r="726" spans="1:72" x14ac:dyDescent="0.2">
      <c r="A726" t="s">
        <v>72</v>
      </c>
      <c r="B726" t="s">
        <v>13634</v>
      </c>
      <c r="C726" t="s">
        <v>74</v>
      </c>
      <c r="D726" t="s">
        <v>74</v>
      </c>
      <c r="E726" t="s">
        <v>74</v>
      </c>
      <c r="F726" t="s">
        <v>13635</v>
      </c>
      <c r="G726" t="s">
        <v>74</v>
      </c>
      <c r="H726" t="s">
        <v>74</v>
      </c>
      <c r="I726" t="s">
        <v>13636</v>
      </c>
      <c r="J726" t="s">
        <v>13637</v>
      </c>
      <c r="K726" t="s">
        <v>74</v>
      </c>
      <c r="L726" t="s">
        <v>74</v>
      </c>
      <c r="M726" t="s">
        <v>78</v>
      </c>
      <c r="N726" t="s">
        <v>108</v>
      </c>
      <c r="O726" t="s">
        <v>74</v>
      </c>
      <c r="P726" t="s">
        <v>74</v>
      </c>
      <c r="Q726" t="s">
        <v>74</v>
      </c>
      <c r="R726" t="s">
        <v>74</v>
      </c>
      <c r="S726" t="s">
        <v>74</v>
      </c>
      <c r="T726" t="s">
        <v>13638</v>
      </c>
      <c r="U726" t="s">
        <v>13639</v>
      </c>
      <c r="V726" t="s">
        <v>13640</v>
      </c>
      <c r="W726" t="s">
        <v>13641</v>
      </c>
      <c r="X726" t="s">
        <v>13642</v>
      </c>
      <c r="Y726" t="s">
        <v>13643</v>
      </c>
      <c r="Z726" t="s">
        <v>13644</v>
      </c>
      <c r="AA726" t="s">
        <v>13645</v>
      </c>
      <c r="AB726" t="s">
        <v>13646</v>
      </c>
      <c r="AC726" t="s">
        <v>13647</v>
      </c>
      <c r="AD726" t="s">
        <v>13648</v>
      </c>
      <c r="AE726" t="s">
        <v>13649</v>
      </c>
      <c r="AF726" t="s">
        <v>74</v>
      </c>
      <c r="AG726">
        <v>22</v>
      </c>
      <c r="AH726">
        <v>9</v>
      </c>
      <c r="AI726">
        <v>9</v>
      </c>
      <c r="AJ726">
        <v>0</v>
      </c>
      <c r="AK726">
        <v>1</v>
      </c>
      <c r="AL726" t="s">
        <v>13650</v>
      </c>
      <c r="AM726" t="s">
        <v>13651</v>
      </c>
      <c r="AN726" t="s">
        <v>13652</v>
      </c>
      <c r="AO726" t="s">
        <v>13653</v>
      </c>
      <c r="AP726" t="s">
        <v>13654</v>
      </c>
      <c r="AQ726" t="s">
        <v>74</v>
      </c>
      <c r="AR726" t="s">
        <v>13655</v>
      </c>
      <c r="AS726" t="s">
        <v>13656</v>
      </c>
      <c r="AT726" t="s">
        <v>13657</v>
      </c>
      <c r="AU726">
        <v>2017</v>
      </c>
      <c r="AV726">
        <v>49</v>
      </c>
      <c r="AW726">
        <v>3</v>
      </c>
      <c r="AX726" t="s">
        <v>74</v>
      </c>
      <c r="AY726" t="s">
        <v>74</v>
      </c>
      <c r="AZ726" t="s">
        <v>74</v>
      </c>
      <c r="BA726" t="s">
        <v>74</v>
      </c>
      <c r="BB726">
        <v>235</v>
      </c>
      <c r="BC726">
        <v>241</v>
      </c>
      <c r="BD726" t="s">
        <v>74</v>
      </c>
      <c r="BE726" t="s">
        <v>13658</v>
      </c>
      <c r="BF726" t="str">
        <f>HYPERLINK("http://dx.doi.org/10.1016/j.ram.2017.03.003","http://dx.doi.org/10.1016/j.ram.2017.03.003")</f>
        <v>http://dx.doi.org/10.1016/j.ram.2017.03.003</v>
      </c>
      <c r="BG726" t="s">
        <v>74</v>
      </c>
      <c r="BH726" t="s">
        <v>74</v>
      </c>
      <c r="BI726">
        <v>7</v>
      </c>
      <c r="BJ726" t="s">
        <v>13659</v>
      </c>
      <c r="BK726" t="s">
        <v>98</v>
      </c>
      <c r="BL726" t="s">
        <v>13659</v>
      </c>
      <c r="BM726" t="s">
        <v>13660</v>
      </c>
      <c r="BN726">
        <v>28712509</v>
      </c>
      <c r="BO726" t="s">
        <v>101</v>
      </c>
      <c r="BP726" t="s">
        <v>74</v>
      </c>
      <c r="BQ726" t="s">
        <v>74</v>
      </c>
      <c r="BR726" t="s">
        <v>102</v>
      </c>
      <c r="BS726" t="s">
        <v>13661</v>
      </c>
      <c r="BT726" t="str">
        <f>HYPERLINK("https%3A%2F%2Fwww.webofscience.com%2Fwos%2Fwoscc%2Ffull-record%2FWOS:000416755300006","View Full Record in Web of Science")</f>
        <v>View Full Record in Web of Science</v>
      </c>
    </row>
    <row r="727" spans="1:72" x14ac:dyDescent="0.2">
      <c r="A727" t="s">
        <v>72</v>
      </c>
      <c r="B727" t="s">
        <v>13662</v>
      </c>
      <c r="C727" t="s">
        <v>74</v>
      </c>
      <c r="D727" t="s">
        <v>74</v>
      </c>
      <c r="E727" t="s">
        <v>74</v>
      </c>
      <c r="F727" t="s">
        <v>13663</v>
      </c>
      <c r="G727" t="s">
        <v>74</v>
      </c>
      <c r="H727" t="s">
        <v>74</v>
      </c>
      <c r="I727" t="s">
        <v>13664</v>
      </c>
      <c r="J727" t="s">
        <v>12619</v>
      </c>
      <c r="K727" t="s">
        <v>74</v>
      </c>
      <c r="L727" t="s">
        <v>74</v>
      </c>
      <c r="M727" t="s">
        <v>78</v>
      </c>
      <c r="N727" t="s">
        <v>917</v>
      </c>
      <c r="O727" t="s">
        <v>74</v>
      </c>
      <c r="P727" t="s">
        <v>74</v>
      </c>
      <c r="Q727" t="s">
        <v>74</v>
      </c>
      <c r="R727" t="s">
        <v>74</v>
      </c>
      <c r="S727" t="s">
        <v>74</v>
      </c>
      <c r="T727" t="s">
        <v>13665</v>
      </c>
      <c r="U727" t="s">
        <v>13666</v>
      </c>
      <c r="V727" t="s">
        <v>13667</v>
      </c>
      <c r="W727" t="s">
        <v>13668</v>
      </c>
      <c r="X727" t="s">
        <v>13669</v>
      </c>
      <c r="Y727" t="s">
        <v>13670</v>
      </c>
      <c r="Z727" t="s">
        <v>13671</v>
      </c>
      <c r="AA727" t="s">
        <v>74</v>
      </c>
      <c r="AB727" t="s">
        <v>74</v>
      </c>
      <c r="AC727" t="s">
        <v>13672</v>
      </c>
      <c r="AD727" t="s">
        <v>987</v>
      </c>
      <c r="AE727" t="s">
        <v>13673</v>
      </c>
      <c r="AF727" t="s">
        <v>74</v>
      </c>
      <c r="AG727">
        <v>93</v>
      </c>
      <c r="AH727">
        <v>0</v>
      </c>
      <c r="AI727">
        <v>0</v>
      </c>
      <c r="AJ727">
        <v>4</v>
      </c>
      <c r="AK727">
        <v>14</v>
      </c>
      <c r="AL727" t="s">
        <v>321</v>
      </c>
      <c r="AM727" t="s">
        <v>322</v>
      </c>
      <c r="AN727" t="s">
        <v>323</v>
      </c>
      <c r="AO727" t="s">
        <v>12632</v>
      </c>
      <c r="AP727" t="s">
        <v>12633</v>
      </c>
      <c r="AQ727" t="s">
        <v>74</v>
      </c>
      <c r="AR727" t="s">
        <v>12634</v>
      </c>
      <c r="AS727" t="s">
        <v>12635</v>
      </c>
      <c r="AT727" t="s">
        <v>13674</v>
      </c>
      <c r="AU727">
        <v>2022</v>
      </c>
      <c r="AV727" t="s">
        <v>74</v>
      </c>
      <c r="AW727" t="s">
        <v>74</v>
      </c>
      <c r="AX727" t="s">
        <v>74</v>
      </c>
      <c r="AY727" t="s">
        <v>74</v>
      </c>
      <c r="AZ727" t="s">
        <v>74</v>
      </c>
      <c r="BA727" t="s">
        <v>74</v>
      </c>
      <c r="BB727" t="s">
        <v>74</v>
      </c>
      <c r="BC727" t="s">
        <v>74</v>
      </c>
      <c r="BD727" t="s">
        <v>74</v>
      </c>
      <c r="BE727" t="s">
        <v>13675</v>
      </c>
      <c r="BF727" t="str">
        <f>HYPERLINK("http://dx.doi.org/10.1007/s10660-022-09544-w","http://dx.doi.org/10.1007/s10660-022-09544-w")</f>
        <v>http://dx.doi.org/10.1007/s10660-022-09544-w</v>
      </c>
      <c r="BG727" t="s">
        <v>74</v>
      </c>
      <c r="BH727" t="s">
        <v>329</v>
      </c>
      <c r="BI727">
        <v>43</v>
      </c>
      <c r="BJ727" t="s">
        <v>849</v>
      </c>
      <c r="BK727" t="s">
        <v>242</v>
      </c>
      <c r="BL727" t="s">
        <v>419</v>
      </c>
      <c r="BM727" t="s">
        <v>13676</v>
      </c>
      <c r="BN727" t="s">
        <v>74</v>
      </c>
      <c r="BO727" t="s">
        <v>74</v>
      </c>
      <c r="BP727" t="s">
        <v>74</v>
      </c>
      <c r="BQ727" t="s">
        <v>74</v>
      </c>
      <c r="BR727" t="s">
        <v>102</v>
      </c>
      <c r="BS727" t="s">
        <v>13677</v>
      </c>
      <c r="BT727" t="str">
        <f>HYPERLINK("https%3A%2F%2Fwww.webofscience.com%2Fwos%2Fwoscc%2Ffull-record%2FWOS:000770750200002","View Full Record in Web of Science")</f>
        <v>View Full Record in Web of Science</v>
      </c>
    </row>
    <row r="728" spans="1:72" x14ac:dyDescent="0.2">
      <c r="A728" t="s">
        <v>72</v>
      </c>
      <c r="B728" t="s">
        <v>13678</v>
      </c>
      <c r="C728" t="s">
        <v>74</v>
      </c>
      <c r="D728" t="s">
        <v>74</v>
      </c>
      <c r="E728" t="s">
        <v>74</v>
      </c>
      <c r="F728" t="s">
        <v>13679</v>
      </c>
      <c r="G728" t="s">
        <v>74</v>
      </c>
      <c r="H728" t="s">
        <v>74</v>
      </c>
      <c r="I728" t="s">
        <v>13680</v>
      </c>
      <c r="J728" t="s">
        <v>13681</v>
      </c>
      <c r="K728" t="s">
        <v>74</v>
      </c>
      <c r="L728" t="s">
        <v>74</v>
      </c>
      <c r="M728" t="s">
        <v>78</v>
      </c>
      <c r="N728" t="s">
        <v>108</v>
      </c>
      <c r="O728" t="s">
        <v>74</v>
      </c>
      <c r="P728" t="s">
        <v>74</v>
      </c>
      <c r="Q728" t="s">
        <v>74</v>
      </c>
      <c r="R728" t="s">
        <v>74</v>
      </c>
      <c r="S728" t="s">
        <v>74</v>
      </c>
      <c r="T728" t="s">
        <v>13682</v>
      </c>
      <c r="U728" t="s">
        <v>13683</v>
      </c>
      <c r="V728" t="s">
        <v>13684</v>
      </c>
      <c r="W728" t="s">
        <v>13685</v>
      </c>
      <c r="X728" t="s">
        <v>13686</v>
      </c>
      <c r="Y728" t="s">
        <v>13687</v>
      </c>
      <c r="Z728" t="s">
        <v>13688</v>
      </c>
      <c r="AA728" t="s">
        <v>74</v>
      </c>
      <c r="AB728" t="s">
        <v>13689</v>
      </c>
      <c r="AC728" t="s">
        <v>13690</v>
      </c>
      <c r="AD728" t="s">
        <v>13691</v>
      </c>
      <c r="AE728" t="s">
        <v>13692</v>
      </c>
      <c r="AF728" t="s">
        <v>74</v>
      </c>
      <c r="AG728">
        <v>71</v>
      </c>
      <c r="AH728">
        <v>0</v>
      </c>
      <c r="AI728">
        <v>0</v>
      </c>
      <c r="AJ728">
        <v>6</v>
      </c>
      <c r="AK728">
        <v>6</v>
      </c>
      <c r="AL728" t="s">
        <v>116</v>
      </c>
      <c r="AM728" t="s">
        <v>117</v>
      </c>
      <c r="AN728" t="s">
        <v>118</v>
      </c>
      <c r="AO728" t="s">
        <v>74</v>
      </c>
      <c r="AP728" t="s">
        <v>13693</v>
      </c>
      <c r="AQ728" t="s">
        <v>74</v>
      </c>
      <c r="AR728" t="s">
        <v>13694</v>
      </c>
      <c r="AS728" t="s">
        <v>13695</v>
      </c>
      <c r="AT728" t="s">
        <v>416</v>
      </c>
      <c r="AU728">
        <v>2023</v>
      </c>
      <c r="AV728">
        <v>12</v>
      </c>
      <c r="AW728">
        <v>6</v>
      </c>
      <c r="AX728" t="s">
        <v>74</v>
      </c>
      <c r="AY728" t="s">
        <v>74</v>
      </c>
      <c r="AZ728" t="s">
        <v>74</v>
      </c>
      <c r="BA728" t="s">
        <v>74</v>
      </c>
      <c r="BB728" t="s">
        <v>74</v>
      </c>
      <c r="BC728" t="s">
        <v>74</v>
      </c>
      <c r="BD728">
        <v>229</v>
      </c>
      <c r="BE728" t="s">
        <v>13696</v>
      </c>
      <c r="BF728" t="str">
        <f>HYPERLINK("http://dx.doi.org/10.3390/ijgi12060229","http://dx.doi.org/10.3390/ijgi12060229")</f>
        <v>http://dx.doi.org/10.3390/ijgi12060229</v>
      </c>
      <c r="BG728" t="s">
        <v>74</v>
      </c>
      <c r="BH728" t="s">
        <v>74</v>
      </c>
      <c r="BI728">
        <v>23</v>
      </c>
      <c r="BJ728" t="s">
        <v>13697</v>
      </c>
      <c r="BK728" t="s">
        <v>98</v>
      </c>
      <c r="BL728" t="s">
        <v>13698</v>
      </c>
      <c r="BM728" t="s">
        <v>13699</v>
      </c>
      <c r="BN728" t="s">
        <v>74</v>
      </c>
      <c r="BO728" t="s">
        <v>126</v>
      </c>
      <c r="BP728" t="s">
        <v>74</v>
      </c>
      <c r="BQ728" t="s">
        <v>74</v>
      </c>
      <c r="BR728" t="s">
        <v>102</v>
      </c>
      <c r="BS728" t="s">
        <v>13700</v>
      </c>
      <c r="BT728" t="str">
        <f>HYPERLINK("https%3A%2F%2Fwww.webofscience.com%2Fwos%2Fwoscc%2Ffull-record%2FWOS:001027837000001","View Full Record in Web of Science")</f>
        <v>View Full Record in Web of Science</v>
      </c>
    </row>
    <row r="729" spans="1:72" x14ac:dyDescent="0.2">
      <c r="A729" t="s">
        <v>72</v>
      </c>
      <c r="B729" t="s">
        <v>13701</v>
      </c>
      <c r="C729" t="s">
        <v>74</v>
      </c>
      <c r="D729" t="s">
        <v>74</v>
      </c>
      <c r="E729" t="s">
        <v>74</v>
      </c>
      <c r="F729" t="s">
        <v>13702</v>
      </c>
      <c r="G729" t="s">
        <v>74</v>
      </c>
      <c r="H729" t="s">
        <v>74</v>
      </c>
      <c r="I729" t="s">
        <v>13703</v>
      </c>
      <c r="J729" t="s">
        <v>131</v>
      </c>
      <c r="K729" t="s">
        <v>74</v>
      </c>
      <c r="L729" t="s">
        <v>74</v>
      </c>
      <c r="M729" t="s">
        <v>78</v>
      </c>
      <c r="N729" t="s">
        <v>108</v>
      </c>
      <c r="O729" t="s">
        <v>74</v>
      </c>
      <c r="P729" t="s">
        <v>74</v>
      </c>
      <c r="Q729" t="s">
        <v>74</v>
      </c>
      <c r="R729" t="s">
        <v>74</v>
      </c>
      <c r="S729" t="s">
        <v>74</v>
      </c>
      <c r="T729" t="s">
        <v>13704</v>
      </c>
      <c r="U729" t="s">
        <v>13705</v>
      </c>
      <c r="V729" t="s">
        <v>13706</v>
      </c>
      <c r="W729" t="s">
        <v>13707</v>
      </c>
      <c r="X729" t="s">
        <v>13708</v>
      </c>
      <c r="Y729" t="s">
        <v>13709</v>
      </c>
      <c r="Z729" t="s">
        <v>13710</v>
      </c>
      <c r="AA729" t="s">
        <v>13711</v>
      </c>
      <c r="AB729" t="s">
        <v>13712</v>
      </c>
      <c r="AC729" t="s">
        <v>74</v>
      </c>
      <c r="AD729" t="s">
        <v>74</v>
      </c>
      <c r="AE729" t="s">
        <v>74</v>
      </c>
      <c r="AF729" t="s">
        <v>74</v>
      </c>
      <c r="AG729">
        <v>63</v>
      </c>
      <c r="AH729">
        <v>6</v>
      </c>
      <c r="AI729">
        <v>6</v>
      </c>
      <c r="AJ729">
        <v>4</v>
      </c>
      <c r="AK729">
        <v>14</v>
      </c>
      <c r="AL729" t="s">
        <v>116</v>
      </c>
      <c r="AM729" t="s">
        <v>117</v>
      </c>
      <c r="AN729" t="s">
        <v>118</v>
      </c>
      <c r="AO729" t="s">
        <v>74</v>
      </c>
      <c r="AP729" t="s">
        <v>142</v>
      </c>
      <c r="AQ729" t="s">
        <v>74</v>
      </c>
      <c r="AR729" t="s">
        <v>143</v>
      </c>
      <c r="AS729" t="s">
        <v>144</v>
      </c>
      <c r="AT729" t="s">
        <v>616</v>
      </c>
      <c r="AU729">
        <v>2022</v>
      </c>
      <c r="AV729">
        <v>14</v>
      </c>
      <c r="AW729">
        <v>6</v>
      </c>
      <c r="AX729" t="s">
        <v>74</v>
      </c>
      <c r="AY729" t="s">
        <v>74</v>
      </c>
      <c r="AZ729" t="s">
        <v>74</v>
      </c>
      <c r="BA729" t="s">
        <v>74</v>
      </c>
      <c r="BB729" t="s">
        <v>74</v>
      </c>
      <c r="BC729" t="s">
        <v>74</v>
      </c>
      <c r="BD729">
        <v>3623</v>
      </c>
      <c r="BE729" t="s">
        <v>13713</v>
      </c>
      <c r="BF729" t="str">
        <f>HYPERLINK("http://dx.doi.org/10.3390/su14063623","http://dx.doi.org/10.3390/su14063623")</f>
        <v>http://dx.doi.org/10.3390/su14063623</v>
      </c>
      <c r="BG729" t="s">
        <v>74</v>
      </c>
      <c r="BH729" t="s">
        <v>74</v>
      </c>
      <c r="BI729">
        <v>15</v>
      </c>
      <c r="BJ729" t="s">
        <v>146</v>
      </c>
      <c r="BK729" t="s">
        <v>147</v>
      </c>
      <c r="BL729" t="s">
        <v>148</v>
      </c>
      <c r="BM729" t="s">
        <v>13714</v>
      </c>
      <c r="BN729" t="s">
        <v>74</v>
      </c>
      <c r="BO729" t="s">
        <v>623</v>
      </c>
      <c r="BP729" t="s">
        <v>74</v>
      </c>
      <c r="BQ729" t="s">
        <v>74</v>
      </c>
      <c r="BR729" t="s">
        <v>102</v>
      </c>
      <c r="BS729" t="s">
        <v>13715</v>
      </c>
      <c r="BT729" t="str">
        <f>HYPERLINK("https%3A%2F%2Fwww.webofscience.com%2Fwos%2Fwoscc%2Ffull-record%2FWOS:000774310500001","View Full Record in Web of Science")</f>
        <v>View Full Record in Web of Science</v>
      </c>
    </row>
    <row r="730" spans="1:72" x14ac:dyDescent="0.2">
      <c r="A730" t="s">
        <v>72</v>
      </c>
      <c r="B730" t="s">
        <v>13716</v>
      </c>
      <c r="C730" t="s">
        <v>74</v>
      </c>
      <c r="D730" t="s">
        <v>74</v>
      </c>
      <c r="E730" t="s">
        <v>74</v>
      </c>
      <c r="F730" t="s">
        <v>13717</v>
      </c>
      <c r="G730" t="s">
        <v>74</v>
      </c>
      <c r="H730" t="s">
        <v>74</v>
      </c>
      <c r="I730" t="s">
        <v>13718</v>
      </c>
      <c r="J730" t="s">
        <v>402</v>
      </c>
      <c r="K730" t="s">
        <v>74</v>
      </c>
      <c r="L730" t="s">
        <v>74</v>
      </c>
      <c r="M730" t="s">
        <v>78</v>
      </c>
      <c r="N730" t="s">
        <v>108</v>
      </c>
      <c r="O730" t="s">
        <v>74</v>
      </c>
      <c r="P730" t="s">
        <v>74</v>
      </c>
      <c r="Q730" t="s">
        <v>74</v>
      </c>
      <c r="R730" t="s">
        <v>74</v>
      </c>
      <c r="S730" t="s">
        <v>74</v>
      </c>
      <c r="T730" t="s">
        <v>13719</v>
      </c>
      <c r="U730" t="s">
        <v>13720</v>
      </c>
      <c r="V730" t="s">
        <v>13721</v>
      </c>
      <c r="W730" t="s">
        <v>13722</v>
      </c>
      <c r="X730" t="s">
        <v>13723</v>
      </c>
      <c r="Y730" t="s">
        <v>13724</v>
      </c>
      <c r="Z730" t="s">
        <v>13725</v>
      </c>
      <c r="AA730" t="s">
        <v>74</v>
      </c>
      <c r="AB730" t="s">
        <v>74</v>
      </c>
      <c r="AC730" t="s">
        <v>74</v>
      </c>
      <c r="AD730" t="s">
        <v>74</v>
      </c>
      <c r="AE730" t="s">
        <v>74</v>
      </c>
      <c r="AF730" t="s">
        <v>74</v>
      </c>
      <c r="AG730">
        <v>82</v>
      </c>
      <c r="AH730">
        <v>0</v>
      </c>
      <c r="AI730">
        <v>0</v>
      </c>
      <c r="AJ730">
        <v>1</v>
      </c>
      <c r="AK730">
        <v>11</v>
      </c>
      <c r="AL730" t="s">
        <v>409</v>
      </c>
      <c r="AM730" t="s">
        <v>410</v>
      </c>
      <c r="AN730" t="s">
        <v>411</v>
      </c>
      <c r="AO730" t="s">
        <v>412</v>
      </c>
      <c r="AP730" t="s">
        <v>413</v>
      </c>
      <c r="AQ730" t="s">
        <v>74</v>
      </c>
      <c r="AR730" t="s">
        <v>414</v>
      </c>
      <c r="AS730" t="s">
        <v>415</v>
      </c>
      <c r="AT730" t="s">
        <v>216</v>
      </c>
      <c r="AU730">
        <v>2021</v>
      </c>
      <c r="AV730">
        <v>52</v>
      </c>
      <c r="AW730">
        <v>6</v>
      </c>
      <c r="AX730" t="s">
        <v>74</v>
      </c>
      <c r="AY730" t="s">
        <v>74</v>
      </c>
      <c r="AZ730" t="s">
        <v>74</v>
      </c>
      <c r="BA730" t="s">
        <v>74</v>
      </c>
      <c r="BB730">
        <v>1326</v>
      </c>
      <c r="BC730">
        <v>1363</v>
      </c>
      <c r="BD730" t="s">
        <v>74</v>
      </c>
      <c r="BE730" t="s">
        <v>13726</v>
      </c>
      <c r="BF730" t="str">
        <f>HYPERLINK("http://dx.doi.org/10.1111/deci.12472","http://dx.doi.org/10.1111/deci.12472")</f>
        <v>http://dx.doi.org/10.1111/deci.12472</v>
      </c>
      <c r="BG730" t="s">
        <v>74</v>
      </c>
      <c r="BH730" t="s">
        <v>1215</v>
      </c>
      <c r="BI730">
        <v>38</v>
      </c>
      <c r="BJ730" t="s">
        <v>418</v>
      </c>
      <c r="BK730" t="s">
        <v>242</v>
      </c>
      <c r="BL730" t="s">
        <v>419</v>
      </c>
      <c r="BM730" t="s">
        <v>13727</v>
      </c>
      <c r="BN730" t="s">
        <v>74</v>
      </c>
      <c r="BO730" t="s">
        <v>74</v>
      </c>
      <c r="BP730" t="s">
        <v>74</v>
      </c>
      <c r="BQ730" t="s">
        <v>74</v>
      </c>
      <c r="BR730" t="s">
        <v>102</v>
      </c>
      <c r="BS730" t="s">
        <v>13728</v>
      </c>
      <c r="BT730" t="str">
        <f>HYPERLINK("https%3A%2F%2Fwww.webofscience.com%2Fwos%2Fwoscc%2Ffull-record%2FWOS:000548237300001","View Full Record in Web of Science")</f>
        <v>View Full Record in Web of Science</v>
      </c>
    </row>
    <row r="731" spans="1:72" x14ac:dyDescent="0.2">
      <c r="A731" t="s">
        <v>72</v>
      </c>
      <c r="B731" t="s">
        <v>13729</v>
      </c>
      <c r="C731" t="s">
        <v>74</v>
      </c>
      <c r="D731" t="s">
        <v>74</v>
      </c>
      <c r="E731" t="s">
        <v>74</v>
      </c>
      <c r="F731" t="s">
        <v>13730</v>
      </c>
      <c r="G731" t="s">
        <v>74</v>
      </c>
      <c r="H731" t="s">
        <v>74</v>
      </c>
      <c r="I731" t="s">
        <v>13731</v>
      </c>
      <c r="J731" t="s">
        <v>13732</v>
      </c>
      <c r="K731" t="s">
        <v>74</v>
      </c>
      <c r="L731" t="s">
        <v>74</v>
      </c>
      <c r="M731" t="s">
        <v>78</v>
      </c>
      <c r="N731" t="s">
        <v>108</v>
      </c>
      <c r="O731" t="s">
        <v>74</v>
      </c>
      <c r="P731" t="s">
        <v>74</v>
      </c>
      <c r="Q731" t="s">
        <v>74</v>
      </c>
      <c r="R731" t="s">
        <v>74</v>
      </c>
      <c r="S731" t="s">
        <v>74</v>
      </c>
      <c r="T731" t="s">
        <v>13733</v>
      </c>
      <c r="U731" t="s">
        <v>13734</v>
      </c>
      <c r="V731" t="s">
        <v>13735</v>
      </c>
      <c r="W731" t="s">
        <v>13736</v>
      </c>
      <c r="X731" t="s">
        <v>13737</v>
      </c>
      <c r="Y731" t="s">
        <v>13738</v>
      </c>
      <c r="Z731" t="s">
        <v>13739</v>
      </c>
      <c r="AA731" t="s">
        <v>13740</v>
      </c>
      <c r="AB731" t="s">
        <v>13741</v>
      </c>
      <c r="AC731" t="s">
        <v>13742</v>
      </c>
      <c r="AD731" t="s">
        <v>13743</v>
      </c>
      <c r="AE731" t="s">
        <v>13744</v>
      </c>
      <c r="AF731" t="s">
        <v>74</v>
      </c>
      <c r="AG731">
        <v>78</v>
      </c>
      <c r="AH731">
        <v>1</v>
      </c>
      <c r="AI731">
        <v>1</v>
      </c>
      <c r="AJ731">
        <v>0</v>
      </c>
      <c r="AK731">
        <v>5</v>
      </c>
      <c r="AL731" t="s">
        <v>462</v>
      </c>
      <c r="AM731" t="s">
        <v>280</v>
      </c>
      <c r="AN731" t="s">
        <v>463</v>
      </c>
      <c r="AO731" t="s">
        <v>13745</v>
      </c>
      <c r="AP731" t="s">
        <v>74</v>
      </c>
      <c r="AQ731" t="s">
        <v>74</v>
      </c>
      <c r="AR731" t="s">
        <v>13746</v>
      </c>
      <c r="AS731" t="s">
        <v>13747</v>
      </c>
      <c r="AT731" t="s">
        <v>6813</v>
      </c>
      <c r="AU731">
        <v>2022</v>
      </c>
      <c r="AV731">
        <v>9</v>
      </c>
      <c r="AW731">
        <v>1</v>
      </c>
      <c r="AX731" t="s">
        <v>74</v>
      </c>
      <c r="AY731" t="s">
        <v>74</v>
      </c>
      <c r="AZ731" t="s">
        <v>74</v>
      </c>
      <c r="BA731" t="s">
        <v>74</v>
      </c>
      <c r="BB731">
        <v>641</v>
      </c>
      <c r="BC731">
        <v>664</v>
      </c>
      <c r="BD731" t="s">
        <v>74</v>
      </c>
      <c r="BE731" t="s">
        <v>13748</v>
      </c>
      <c r="BF731" t="str">
        <f>HYPERLINK("http://dx.doi.org/10.1080/21681376.2022.2130088","http://dx.doi.org/10.1080/21681376.2022.2130088")</f>
        <v>http://dx.doi.org/10.1080/21681376.2022.2130088</v>
      </c>
      <c r="BG731" t="s">
        <v>74</v>
      </c>
      <c r="BH731" t="s">
        <v>74</v>
      </c>
      <c r="BI731">
        <v>24</v>
      </c>
      <c r="BJ731" t="s">
        <v>11571</v>
      </c>
      <c r="BK731" t="s">
        <v>124</v>
      </c>
      <c r="BL731" t="s">
        <v>11571</v>
      </c>
      <c r="BM731" t="s">
        <v>13749</v>
      </c>
      <c r="BN731" t="s">
        <v>74</v>
      </c>
      <c r="BO731" t="s">
        <v>126</v>
      </c>
      <c r="BP731" t="s">
        <v>74</v>
      </c>
      <c r="BQ731" t="s">
        <v>74</v>
      </c>
      <c r="BR731" t="s">
        <v>102</v>
      </c>
      <c r="BS731" t="s">
        <v>13750</v>
      </c>
      <c r="BT731" t="str">
        <f>HYPERLINK("https%3A%2F%2Fwww.webofscience.com%2Fwos%2Fwoscc%2Ffull-record%2FWOS:000876743100001","View Full Record in Web of Science")</f>
        <v>View Full Record in Web of Science</v>
      </c>
    </row>
    <row r="732" spans="1:72" x14ac:dyDescent="0.2">
      <c r="A732" t="s">
        <v>72</v>
      </c>
      <c r="B732" t="s">
        <v>13751</v>
      </c>
      <c r="C732" t="s">
        <v>74</v>
      </c>
      <c r="D732" t="s">
        <v>74</v>
      </c>
      <c r="E732" t="s">
        <v>74</v>
      </c>
      <c r="F732" t="s">
        <v>13752</v>
      </c>
      <c r="G732" t="s">
        <v>74</v>
      </c>
      <c r="H732" t="s">
        <v>74</v>
      </c>
      <c r="I732" t="s">
        <v>13753</v>
      </c>
      <c r="J732" t="s">
        <v>13754</v>
      </c>
      <c r="K732" t="s">
        <v>74</v>
      </c>
      <c r="L732" t="s">
        <v>74</v>
      </c>
      <c r="M732" t="s">
        <v>78</v>
      </c>
      <c r="N732" t="s">
        <v>108</v>
      </c>
      <c r="O732" t="s">
        <v>74</v>
      </c>
      <c r="P732" t="s">
        <v>74</v>
      </c>
      <c r="Q732" t="s">
        <v>74</v>
      </c>
      <c r="R732" t="s">
        <v>74</v>
      </c>
      <c r="S732" t="s">
        <v>74</v>
      </c>
      <c r="T732" t="s">
        <v>13755</v>
      </c>
      <c r="U732" t="s">
        <v>74</v>
      </c>
      <c r="V732" t="s">
        <v>13756</v>
      </c>
      <c r="W732" t="s">
        <v>13757</v>
      </c>
      <c r="X732" t="s">
        <v>13758</v>
      </c>
      <c r="Y732" t="s">
        <v>13759</v>
      </c>
      <c r="Z732" t="s">
        <v>13760</v>
      </c>
      <c r="AA732" t="s">
        <v>13761</v>
      </c>
      <c r="AB732" t="s">
        <v>74</v>
      </c>
      <c r="AC732" t="s">
        <v>74</v>
      </c>
      <c r="AD732" t="s">
        <v>74</v>
      </c>
      <c r="AE732" t="s">
        <v>74</v>
      </c>
      <c r="AF732" t="s">
        <v>74</v>
      </c>
      <c r="AG732">
        <v>40</v>
      </c>
      <c r="AH732">
        <v>7</v>
      </c>
      <c r="AI732">
        <v>7</v>
      </c>
      <c r="AJ732">
        <v>2</v>
      </c>
      <c r="AK732">
        <v>32</v>
      </c>
      <c r="AL732" t="s">
        <v>1047</v>
      </c>
      <c r="AM732" t="s">
        <v>1048</v>
      </c>
      <c r="AN732" t="s">
        <v>1049</v>
      </c>
      <c r="AO732" t="s">
        <v>13762</v>
      </c>
      <c r="AP732" t="s">
        <v>13763</v>
      </c>
      <c r="AQ732" t="s">
        <v>74</v>
      </c>
      <c r="AR732" t="s">
        <v>13764</v>
      </c>
      <c r="AS732" t="s">
        <v>13765</v>
      </c>
      <c r="AT732" t="s">
        <v>13766</v>
      </c>
      <c r="AU732">
        <v>2022</v>
      </c>
      <c r="AV732">
        <v>44</v>
      </c>
      <c r="AW732">
        <v>4</v>
      </c>
      <c r="AX732" t="s">
        <v>74</v>
      </c>
      <c r="AY732" t="s">
        <v>74</v>
      </c>
      <c r="AZ732" t="s">
        <v>74</v>
      </c>
      <c r="BA732" t="s">
        <v>74</v>
      </c>
      <c r="BB732">
        <v>9217</v>
      </c>
      <c r="BC732">
        <v>9231</v>
      </c>
      <c r="BD732" t="s">
        <v>74</v>
      </c>
      <c r="BE732" t="s">
        <v>13767</v>
      </c>
      <c r="BF732" t="str">
        <f>HYPERLINK("http://dx.doi.org/10.1080/15567036.2020.1861133","http://dx.doi.org/10.1080/15567036.2020.1861133")</f>
        <v>http://dx.doi.org/10.1080/15567036.2020.1861133</v>
      </c>
      <c r="BG732" t="s">
        <v>74</v>
      </c>
      <c r="BH732" t="s">
        <v>1882</v>
      </c>
      <c r="BI732">
        <v>15</v>
      </c>
      <c r="BJ732" t="s">
        <v>13768</v>
      </c>
      <c r="BK732" t="s">
        <v>98</v>
      </c>
      <c r="BL732" t="s">
        <v>13769</v>
      </c>
      <c r="BM732" t="s">
        <v>13770</v>
      </c>
      <c r="BN732" t="s">
        <v>74</v>
      </c>
      <c r="BO732" t="s">
        <v>74</v>
      </c>
      <c r="BP732" t="s">
        <v>74</v>
      </c>
      <c r="BQ732" t="s">
        <v>74</v>
      </c>
      <c r="BR732" t="s">
        <v>102</v>
      </c>
      <c r="BS732" t="s">
        <v>13771</v>
      </c>
      <c r="BT732" t="str">
        <f>HYPERLINK("https%3A%2F%2Fwww.webofscience.com%2Fwos%2Fwoscc%2Ffull-record%2FWOS:000603746800001","View Full Record in Web of Science")</f>
        <v>View Full Record in Web of Science</v>
      </c>
    </row>
    <row r="733" spans="1:72" x14ac:dyDescent="0.2">
      <c r="A733" t="s">
        <v>72</v>
      </c>
      <c r="B733" t="s">
        <v>13772</v>
      </c>
      <c r="C733" t="s">
        <v>74</v>
      </c>
      <c r="D733" t="s">
        <v>74</v>
      </c>
      <c r="E733" t="s">
        <v>74</v>
      </c>
      <c r="F733" t="s">
        <v>13773</v>
      </c>
      <c r="G733" t="s">
        <v>74</v>
      </c>
      <c r="H733" t="s">
        <v>74</v>
      </c>
      <c r="I733" t="s">
        <v>13774</v>
      </c>
      <c r="J733" t="s">
        <v>13775</v>
      </c>
      <c r="K733" t="s">
        <v>74</v>
      </c>
      <c r="L733" t="s">
        <v>74</v>
      </c>
      <c r="M733" t="s">
        <v>78</v>
      </c>
      <c r="N733" t="s">
        <v>108</v>
      </c>
      <c r="O733" t="s">
        <v>74</v>
      </c>
      <c r="P733" t="s">
        <v>74</v>
      </c>
      <c r="Q733" t="s">
        <v>74</v>
      </c>
      <c r="R733" t="s">
        <v>74</v>
      </c>
      <c r="S733" t="s">
        <v>74</v>
      </c>
      <c r="T733" t="s">
        <v>13776</v>
      </c>
      <c r="U733" t="s">
        <v>13777</v>
      </c>
      <c r="V733" t="s">
        <v>13778</v>
      </c>
      <c r="W733" t="s">
        <v>13779</v>
      </c>
      <c r="X733" t="s">
        <v>13780</v>
      </c>
      <c r="Y733" t="s">
        <v>13781</v>
      </c>
      <c r="Z733" t="s">
        <v>13782</v>
      </c>
      <c r="AA733" t="s">
        <v>13783</v>
      </c>
      <c r="AB733" t="s">
        <v>13784</v>
      </c>
      <c r="AC733" t="s">
        <v>74</v>
      </c>
      <c r="AD733" t="s">
        <v>74</v>
      </c>
      <c r="AE733" t="s">
        <v>74</v>
      </c>
      <c r="AF733" t="s">
        <v>74</v>
      </c>
      <c r="AG733">
        <v>50</v>
      </c>
      <c r="AH733">
        <v>10</v>
      </c>
      <c r="AI733">
        <v>10</v>
      </c>
      <c r="AJ733">
        <v>0</v>
      </c>
      <c r="AK733">
        <v>14</v>
      </c>
      <c r="AL733" t="s">
        <v>4005</v>
      </c>
      <c r="AM733" t="s">
        <v>4006</v>
      </c>
      <c r="AN733" t="s">
        <v>4007</v>
      </c>
      <c r="AO733" t="s">
        <v>13785</v>
      </c>
      <c r="AP733" t="s">
        <v>13786</v>
      </c>
      <c r="AQ733" t="s">
        <v>74</v>
      </c>
      <c r="AR733" t="s">
        <v>13787</v>
      </c>
      <c r="AS733" t="s">
        <v>13788</v>
      </c>
      <c r="AT733" t="s">
        <v>239</v>
      </c>
      <c r="AU733">
        <v>2018</v>
      </c>
      <c r="AV733">
        <v>43</v>
      </c>
      <c r="AW733">
        <v>8</v>
      </c>
      <c r="AX733" t="s">
        <v>74</v>
      </c>
      <c r="AY733" t="s">
        <v>74</v>
      </c>
      <c r="AZ733" t="s">
        <v>570</v>
      </c>
      <c r="BA733" t="s">
        <v>74</v>
      </c>
      <c r="BB733">
        <v>4071</v>
      </c>
      <c r="BC733">
        <v>4083</v>
      </c>
      <c r="BD733" t="s">
        <v>74</v>
      </c>
      <c r="BE733" t="s">
        <v>13789</v>
      </c>
      <c r="BF733" t="str">
        <f>HYPERLINK("http://dx.doi.org/10.1007/s13369-017-2788-4","http://dx.doi.org/10.1007/s13369-017-2788-4")</f>
        <v>http://dx.doi.org/10.1007/s13369-017-2788-4</v>
      </c>
      <c r="BG733" t="s">
        <v>74</v>
      </c>
      <c r="BH733" t="s">
        <v>74</v>
      </c>
      <c r="BI733">
        <v>13</v>
      </c>
      <c r="BJ733" t="s">
        <v>620</v>
      </c>
      <c r="BK733" t="s">
        <v>147</v>
      </c>
      <c r="BL733" t="s">
        <v>621</v>
      </c>
      <c r="BM733" t="s">
        <v>13790</v>
      </c>
      <c r="BN733" t="s">
        <v>74</v>
      </c>
      <c r="BO733" t="s">
        <v>74</v>
      </c>
      <c r="BP733" t="s">
        <v>74</v>
      </c>
      <c r="BQ733" t="s">
        <v>74</v>
      </c>
      <c r="BR733" t="s">
        <v>102</v>
      </c>
      <c r="BS733" t="s">
        <v>13791</v>
      </c>
      <c r="BT733" t="str">
        <f>HYPERLINK("https%3A%2F%2Fwww.webofscience.com%2Fwos%2Fwoscc%2Ffull-record%2FWOS:000437469800016","View Full Record in Web of Science")</f>
        <v>View Full Record in Web of Science</v>
      </c>
    </row>
    <row r="734" spans="1:72" x14ac:dyDescent="0.2">
      <c r="A734" t="s">
        <v>72</v>
      </c>
      <c r="B734" t="s">
        <v>13792</v>
      </c>
      <c r="C734" t="s">
        <v>74</v>
      </c>
      <c r="D734" t="s">
        <v>74</v>
      </c>
      <c r="E734" t="s">
        <v>74</v>
      </c>
      <c r="F734" t="s">
        <v>13793</v>
      </c>
      <c r="G734" t="s">
        <v>74</v>
      </c>
      <c r="H734" t="s">
        <v>74</v>
      </c>
      <c r="I734" t="s">
        <v>13794</v>
      </c>
      <c r="J734" t="s">
        <v>4384</v>
      </c>
      <c r="K734" t="s">
        <v>74</v>
      </c>
      <c r="L734" t="s">
        <v>74</v>
      </c>
      <c r="M734" t="s">
        <v>78</v>
      </c>
      <c r="N734" t="s">
        <v>108</v>
      </c>
      <c r="O734" t="s">
        <v>74</v>
      </c>
      <c r="P734" t="s">
        <v>74</v>
      </c>
      <c r="Q734" t="s">
        <v>74</v>
      </c>
      <c r="R734" t="s">
        <v>74</v>
      </c>
      <c r="S734" t="s">
        <v>74</v>
      </c>
      <c r="T734" t="s">
        <v>13795</v>
      </c>
      <c r="U734" t="s">
        <v>13796</v>
      </c>
      <c r="V734" t="s">
        <v>13797</v>
      </c>
      <c r="W734" t="s">
        <v>13798</v>
      </c>
      <c r="X734" t="s">
        <v>13799</v>
      </c>
      <c r="Y734" t="s">
        <v>13800</v>
      </c>
      <c r="Z734" t="s">
        <v>13801</v>
      </c>
      <c r="AA734" t="s">
        <v>13802</v>
      </c>
      <c r="AB734" t="s">
        <v>13803</v>
      </c>
      <c r="AC734" t="s">
        <v>13804</v>
      </c>
      <c r="AD734" t="s">
        <v>13805</v>
      </c>
      <c r="AE734" t="s">
        <v>13806</v>
      </c>
      <c r="AF734" t="s">
        <v>74</v>
      </c>
      <c r="AG734">
        <v>119</v>
      </c>
      <c r="AH734">
        <v>8</v>
      </c>
      <c r="AI734">
        <v>8</v>
      </c>
      <c r="AJ734">
        <v>8</v>
      </c>
      <c r="AK734">
        <v>43</v>
      </c>
      <c r="AL734" t="s">
        <v>167</v>
      </c>
      <c r="AM734" t="s">
        <v>168</v>
      </c>
      <c r="AN734" t="s">
        <v>169</v>
      </c>
      <c r="AO734" t="s">
        <v>4393</v>
      </c>
      <c r="AP734" t="s">
        <v>74</v>
      </c>
      <c r="AQ734" t="s">
        <v>74</v>
      </c>
      <c r="AR734" t="s">
        <v>4384</v>
      </c>
      <c r="AS734" t="s">
        <v>4394</v>
      </c>
      <c r="AT734" t="s">
        <v>74</v>
      </c>
      <c r="AU734">
        <v>2022</v>
      </c>
      <c r="AV734">
        <v>10</v>
      </c>
      <c r="AW734" t="s">
        <v>74</v>
      </c>
      <c r="AX734" t="s">
        <v>74</v>
      </c>
      <c r="AY734" t="s">
        <v>74</v>
      </c>
      <c r="AZ734" t="s">
        <v>74</v>
      </c>
      <c r="BA734" t="s">
        <v>74</v>
      </c>
      <c r="BB734">
        <v>20118</v>
      </c>
      <c r="BC734">
        <v>20134</v>
      </c>
      <c r="BD734" t="s">
        <v>74</v>
      </c>
      <c r="BE734" t="s">
        <v>13807</v>
      </c>
      <c r="BF734" t="str">
        <f>HYPERLINK("http://dx.doi.org/10.1109/ACCESS.2022.3149052","http://dx.doi.org/10.1109/ACCESS.2022.3149052")</f>
        <v>http://dx.doi.org/10.1109/ACCESS.2022.3149052</v>
      </c>
      <c r="BG734" t="s">
        <v>74</v>
      </c>
      <c r="BH734" t="s">
        <v>74</v>
      </c>
      <c r="BI734">
        <v>17</v>
      </c>
      <c r="BJ734" t="s">
        <v>2959</v>
      </c>
      <c r="BK734" t="s">
        <v>98</v>
      </c>
      <c r="BL734" t="s">
        <v>2960</v>
      </c>
      <c r="BM734" t="s">
        <v>13808</v>
      </c>
      <c r="BN734" t="s">
        <v>74</v>
      </c>
      <c r="BO734" t="s">
        <v>126</v>
      </c>
      <c r="BP734" t="s">
        <v>74</v>
      </c>
      <c r="BQ734" t="s">
        <v>74</v>
      </c>
      <c r="BR734" t="s">
        <v>102</v>
      </c>
      <c r="BS734" t="s">
        <v>13809</v>
      </c>
      <c r="BT734" t="str">
        <f>HYPERLINK("https%3A%2F%2Fwww.webofscience.com%2Fwos%2Fwoscc%2Ffull-record%2FWOS:000764068100001","View Full Record in Web of Science")</f>
        <v>View Full Record in Web of Science</v>
      </c>
    </row>
    <row r="735" spans="1:72" x14ac:dyDescent="0.2">
      <c r="A735" t="s">
        <v>72</v>
      </c>
      <c r="B735" t="s">
        <v>13810</v>
      </c>
      <c r="C735" t="s">
        <v>74</v>
      </c>
      <c r="D735" t="s">
        <v>74</v>
      </c>
      <c r="E735" t="s">
        <v>74</v>
      </c>
      <c r="F735" t="s">
        <v>13811</v>
      </c>
      <c r="G735" t="s">
        <v>74</v>
      </c>
      <c r="H735" t="s">
        <v>74</v>
      </c>
      <c r="I735" t="s">
        <v>13812</v>
      </c>
      <c r="J735" t="s">
        <v>4384</v>
      </c>
      <c r="K735" t="s">
        <v>74</v>
      </c>
      <c r="L735" t="s">
        <v>74</v>
      </c>
      <c r="M735" t="s">
        <v>78</v>
      </c>
      <c r="N735" t="s">
        <v>108</v>
      </c>
      <c r="O735" t="s">
        <v>74</v>
      </c>
      <c r="P735" t="s">
        <v>74</v>
      </c>
      <c r="Q735" t="s">
        <v>74</v>
      </c>
      <c r="R735" t="s">
        <v>74</v>
      </c>
      <c r="S735" t="s">
        <v>74</v>
      </c>
      <c r="T735" t="s">
        <v>13813</v>
      </c>
      <c r="U735" t="s">
        <v>74</v>
      </c>
      <c r="V735" t="s">
        <v>13814</v>
      </c>
      <c r="W735" t="s">
        <v>13815</v>
      </c>
      <c r="X735" t="s">
        <v>13816</v>
      </c>
      <c r="Y735" t="s">
        <v>13817</v>
      </c>
      <c r="Z735" t="s">
        <v>13818</v>
      </c>
      <c r="AA735" t="s">
        <v>13819</v>
      </c>
      <c r="AB735" t="s">
        <v>13820</v>
      </c>
      <c r="AC735" t="s">
        <v>74</v>
      </c>
      <c r="AD735" t="s">
        <v>74</v>
      </c>
      <c r="AE735" t="s">
        <v>74</v>
      </c>
      <c r="AF735" t="s">
        <v>74</v>
      </c>
      <c r="AG735">
        <v>29</v>
      </c>
      <c r="AH735">
        <v>35</v>
      </c>
      <c r="AI735">
        <v>35</v>
      </c>
      <c r="AJ735">
        <v>1</v>
      </c>
      <c r="AK735">
        <v>21</v>
      </c>
      <c r="AL735" t="s">
        <v>167</v>
      </c>
      <c r="AM735" t="s">
        <v>168</v>
      </c>
      <c r="AN735" t="s">
        <v>169</v>
      </c>
      <c r="AO735" t="s">
        <v>4393</v>
      </c>
      <c r="AP735" t="s">
        <v>74</v>
      </c>
      <c r="AQ735" t="s">
        <v>74</v>
      </c>
      <c r="AR735" t="s">
        <v>4384</v>
      </c>
      <c r="AS735" t="s">
        <v>4394</v>
      </c>
      <c r="AT735" t="s">
        <v>74</v>
      </c>
      <c r="AU735">
        <v>2021</v>
      </c>
      <c r="AV735">
        <v>9</v>
      </c>
      <c r="AW735" t="s">
        <v>74</v>
      </c>
      <c r="AX735" t="s">
        <v>74</v>
      </c>
      <c r="AY735" t="s">
        <v>74</v>
      </c>
      <c r="AZ735" t="s">
        <v>74</v>
      </c>
      <c r="BA735" t="s">
        <v>74</v>
      </c>
      <c r="BB735">
        <v>55595</v>
      </c>
      <c r="BC735">
        <v>55605</v>
      </c>
      <c r="BD735" t="s">
        <v>74</v>
      </c>
      <c r="BE735" t="s">
        <v>13821</v>
      </c>
      <c r="BF735" t="str">
        <f>HYPERLINK("http://dx.doi.org/10.1109/ACCESS.2021.3071766","http://dx.doi.org/10.1109/ACCESS.2021.3071766")</f>
        <v>http://dx.doi.org/10.1109/ACCESS.2021.3071766</v>
      </c>
      <c r="BG735" t="s">
        <v>74</v>
      </c>
      <c r="BH735" t="s">
        <v>74</v>
      </c>
      <c r="BI735">
        <v>11</v>
      </c>
      <c r="BJ735" t="s">
        <v>2959</v>
      </c>
      <c r="BK735" t="s">
        <v>98</v>
      </c>
      <c r="BL735" t="s">
        <v>2960</v>
      </c>
      <c r="BM735" t="s">
        <v>13822</v>
      </c>
      <c r="BN735" t="s">
        <v>74</v>
      </c>
      <c r="BO735" t="s">
        <v>101</v>
      </c>
      <c r="BP735" t="s">
        <v>74</v>
      </c>
      <c r="BQ735" t="s">
        <v>74</v>
      </c>
      <c r="BR735" t="s">
        <v>102</v>
      </c>
      <c r="BS735" t="s">
        <v>13823</v>
      </c>
      <c r="BT735" t="str">
        <f>HYPERLINK("https%3A%2F%2Fwww.webofscience.com%2Fwos%2Fwoscc%2Ffull-record%2FWOS:000641016300001","View Full Record in Web of Science")</f>
        <v>View Full Record in Web of Science</v>
      </c>
    </row>
    <row r="736" spans="1:72" x14ac:dyDescent="0.2">
      <c r="A736" t="s">
        <v>72</v>
      </c>
      <c r="B736" t="s">
        <v>13824</v>
      </c>
      <c r="C736" t="s">
        <v>74</v>
      </c>
      <c r="D736" t="s">
        <v>74</v>
      </c>
      <c r="E736" t="s">
        <v>74</v>
      </c>
      <c r="F736" t="s">
        <v>13825</v>
      </c>
      <c r="G736" t="s">
        <v>74</v>
      </c>
      <c r="H736" t="s">
        <v>74</v>
      </c>
      <c r="I736" t="s">
        <v>13826</v>
      </c>
      <c r="J736" t="s">
        <v>13827</v>
      </c>
      <c r="K736" t="s">
        <v>74</v>
      </c>
      <c r="L736" t="s">
        <v>74</v>
      </c>
      <c r="M736" t="s">
        <v>78</v>
      </c>
      <c r="N736" t="s">
        <v>108</v>
      </c>
      <c r="O736" t="s">
        <v>74</v>
      </c>
      <c r="P736" t="s">
        <v>74</v>
      </c>
      <c r="Q736" t="s">
        <v>74</v>
      </c>
      <c r="R736" t="s">
        <v>74</v>
      </c>
      <c r="S736" t="s">
        <v>74</v>
      </c>
      <c r="T736" t="s">
        <v>13828</v>
      </c>
      <c r="U736" t="s">
        <v>13829</v>
      </c>
      <c r="V736" t="s">
        <v>13830</v>
      </c>
      <c r="W736" t="s">
        <v>13831</v>
      </c>
      <c r="X736" t="s">
        <v>13832</v>
      </c>
      <c r="Y736" t="s">
        <v>13833</v>
      </c>
      <c r="Z736" t="s">
        <v>13834</v>
      </c>
      <c r="AA736" t="s">
        <v>74</v>
      </c>
      <c r="AB736" t="s">
        <v>13835</v>
      </c>
      <c r="AC736" t="s">
        <v>74</v>
      </c>
      <c r="AD736" t="s">
        <v>74</v>
      </c>
      <c r="AE736" t="s">
        <v>74</v>
      </c>
      <c r="AF736" t="s">
        <v>74</v>
      </c>
      <c r="AG736">
        <v>32</v>
      </c>
      <c r="AH736">
        <v>2</v>
      </c>
      <c r="AI736">
        <v>2</v>
      </c>
      <c r="AJ736">
        <v>0</v>
      </c>
      <c r="AK736">
        <v>0</v>
      </c>
      <c r="AL736" t="s">
        <v>13836</v>
      </c>
      <c r="AM736" t="s">
        <v>4095</v>
      </c>
      <c r="AN736" t="s">
        <v>13837</v>
      </c>
      <c r="AO736" t="s">
        <v>13838</v>
      </c>
      <c r="AP736" t="s">
        <v>13839</v>
      </c>
      <c r="AQ736" t="s">
        <v>74</v>
      </c>
      <c r="AR736" t="s">
        <v>13840</v>
      </c>
      <c r="AS736" t="s">
        <v>13841</v>
      </c>
      <c r="AT736" t="s">
        <v>121</v>
      </c>
      <c r="AU736">
        <v>2022</v>
      </c>
      <c r="AV736">
        <v>35</v>
      </c>
      <c r="AW736">
        <v>7</v>
      </c>
      <c r="AX736" t="s">
        <v>74</v>
      </c>
      <c r="AY736" t="s">
        <v>74</v>
      </c>
      <c r="AZ736" t="s">
        <v>74</v>
      </c>
      <c r="BA736" t="s">
        <v>74</v>
      </c>
      <c r="BB736">
        <v>1375</v>
      </c>
      <c r="BC736">
        <v>1387</v>
      </c>
      <c r="BD736" t="s">
        <v>74</v>
      </c>
      <c r="BE736" t="s">
        <v>13842</v>
      </c>
      <c r="BF736" t="str">
        <f>HYPERLINK("http://dx.doi.org/10.5829/ije.2022.35.07a.16","http://dx.doi.org/10.5829/ije.2022.35.07a.16")</f>
        <v>http://dx.doi.org/10.5829/ije.2022.35.07a.16</v>
      </c>
      <c r="BG736" t="s">
        <v>74</v>
      </c>
      <c r="BH736" t="s">
        <v>74</v>
      </c>
      <c r="BI736">
        <v>13</v>
      </c>
      <c r="BJ736" t="s">
        <v>2462</v>
      </c>
      <c r="BK736" t="s">
        <v>124</v>
      </c>
      <c r="BL736" t="s">
        <v>1292</v>
      </c>
      <c r="BM736" t="s">
        <v>13843</v>
      </c>
      <c r="BN736" t="s">
        <v>74</v>
      </c>
      <c r="BO736" t="s">
        <v>126</v>
      </c>
      <c r="BP736" t="s">
        <v>74</v>
      </c>
      <c r="BQ736" t="s">
        <v>74</v>
      </c>
      <c r="BR736" t="s">
        <v>102</v>
      </c>
      <c r="BS736" t="s">
        <v>13844</v>
      </c>
      <c r="BT736" t="str">
        <f>HYPERLINK("https%3A%2F%2Fwww.webofscience.com%2Fwos%2Fwoscc%2Ffull-record%2FWOS:000929783000002","View Full Record in Web of Science")</f>
        <v>View Full Record in Web of Science</v>
      </c>
    </row>
    <row r="737" spans="1:72" x14ac:dyDescent="0.2">
      <c r="A737" t="s">
        <v>72</v>
      </c>
      <c r="B737" t="s">
        <v>13845</v>
      </c>
      <c r="C737" t="s">
        <v>74</v>
      </c>
      <c r="D737" t="s">
        <v>74</v>
      </c>
      <c r="E737" t="s">
        <v>74</v>
      </c>
      <c r="F737" t="s">
        <v>13846</v>
      </c>
      <c r="G737" t="s">
        <v>74</v>
      </c>
      <c r="H737" t="s">
        <v>74</v>
      </c>
      <c r="I737" t="s">
        <v>13847</v>
      </c>
      <c r="J737" t="s">
        <v>7548</v>
      </c>
      <c r="K737" t="s">
        <v>74</v>
      </c>
      <c r="L737" t="s">
        <v>74</v>
      </c>
      <c r="M737" t="s">
        <v>78</v>
      </c>
      <c r="N737" t="s">
        <v>108</v>
      </c>
      <c r="O737" t="s">
        <v>74</v>
      </c>
      <c r="P737" t="s">
        <v>74</v>
      </c>
      <c r="Q737" t="s">
        <v>74</v>
      </c>
      <c r="R737" t="s">
        <v>74</v>
      </c>
      <c r="S737" t="s">
        <v>74</v>
      </c>
      <c r="T737" t="s">
        <v>13848</v>
      </c>
      <c r="U737" t="s">
        <v>13849</v>
      </c>
      <c r="V737" t="s">
        <v>13850</v>
      </c>
      <c r="W737" t="s">
        <v>13851</v>
      </c>
      <c r="X737" t="s">
        <v>13852</v>
      </c>
      <c r="Y737" t="s">
        <v>13853</v>
      </c>
      <c r="Z737" t="s">
        <v>13854</v>
      </c>
      <c r="AA737" t="s">
        <v>74</v>
      </c>
      <c r="AB737" t="s">
        <v>74</v>
      </c>
      <c r="AC737" t="s">
        <v>13855</v>
      </c>
      <c r="AD737" t="s">
        <v>13856</v>
      </c>
      <c r="AE737" t="s">
        <v>13857</v>
      </c>
      <c r="AF737" t="s">
        <v>74</v>
      </c>
      <c r="AG737">
        <v>197</v>
      </c>
      <c r="AH737">
        <v>1</v>
      </c>
      <c r="AI737">
        <v>1</v>
      </c>
      <c r="AJ737">
        <v>1</v>
      </c>
      <c r="AK737">
        <v>5</v>
      </c>
      <c r="AL737" t="s">
        <v>543</v>
      </c>
      <c r="AM737" t="s">
        <v>260</v>
      </c>
      <c r="AN737" t="s">
        <v>544</v>
      </c>
      <c r="AO737" t="s">
        <v>7557</v>
      </c>
      <c r="AP737" t="s">
        <v>7558</v>
      </c>
      <c r="AQ737" t="s">
        <v>74</v>
      </c>
      <c r="AR737" t="s">
        <v>7559</v>
      </c>
      <c r="AS737" t="s">
        <v>7560</v>
      </c>
      <c r="AT737" t="s">
        <v>616</v>
      </c>
      <c r="AU737">
        <v>2022</v>
      </c>
      <c r="AV737">
        <v>159</v>
      </c>
      <c r="AW737" t="s">
        <v>74</v>
      </c>
      <c r="AX737" t="s">
        <v>74</v>
      </c>
      <c r="AY737" t="s">
        <v>74</v>
      </c>
      <c r="AZ737" t="s">
        <v>74</v>
      </c>
      <c r="BA737" t="s">
        <v>74</v>
      </c>
      <c r="BB737" t="s">
        <v>74</v>
      </c>
      <c r="BC737" t="s">
        <v>74</v>
      </c>
      <c r="BD737">
        <v>107675</v>
      </c>
      <c r="BE737" t="s">
        <v>13858</v>
      </c>
      <c r="BF737" t="str">
        <f>HYPERLINK("http://dx.doi.org/10.1016/j.compchemeng.2022.107675","http://dx.doi.org/10.1016/j.compchemeng.2022.107675")</f>
        <v>http://dx.doi.org/10.1016/j.compchemeng.2022.107675</v>
      </c>
      <c r="BG737" t="s">
        <v>74</v>
      </c>
      <c r="BH737" t="s">
        <v>3823</v>
      </c>
      <c r="BI737">
        <v>15</v>
      </c>
      <c r="BJ737" t="s">
        <v>7563</v>
      </c>
      <c r="BK737" t="s">
        <v>98</v>
      </c>
      <c r="BL737" t="s">
        <v>269</v>
      </c>
      <c r="BM737" t="s">
        <v>13859</v>
      </c>
      <c r="BN737" t="s">
        <v>74</v>
      </c>
      <c r="BO737" t="s">
        <v>702</v>
      </c>
      <c r="BP737" t="s">
        <v>74</v>
      </c>
      <c r="BQ737" t="s">
        <v>74</v>
      </c>
      <c r="BR737" t="s">
        <v>102</v>
      </c>
      <c r="BS737" t="s">
        <v>13860</v>
      </c>
      <c r="BT737" t="str">
        <f>HYPERLINK("https%3A%2F%2Fwww.webofscience.com%2Fwos%2Fwoscc%2Ffull-record%2FWOS:000754571300008","View Full Record in Web of Science")</f>
        <v>View Full Record in Web of Science</v>
      </c>
    </row>
    <row r="738" spans="1:72" x14ac:dyDescent="0.2">
      <c r="A738" t="s">
        <v>72</v>
      </c>
      <c r="B738" t="s">
        <v>13861</v>
      </c>
      <c r="C738" t="s">
        <v>74</v>
      </c>
      <c r="D738" t="s">
        <v>74</v>
      </c>
      <c r="E738" t="s">
        <v>74</v>
      </c>
      <c r="F738" t="s">
        <v>13862</v>
      </c>
      <c r="G738" t="s">
        <v>74</v>
      </c>
      <c r="H738" t="s">
        <v>74</v>
      </c>
      <c r="I738" t="s">
        <v>13863</v>
      </c>
      <c r="J738" t="s">
        <v>13864</v>
      </c>
      <c r="K738" t="s">
        <v>74</v>
      </c>
      <c r="L738" t="s">
        <v>74</v>
      </c>
      <c r="M738" t="s">
        <v>78</v>
      </c>
      <c r="N738" t="s">
        <v>108</v>
      </c>
      <c r="O738" t="s">
        <v>74</v>
      </c>
      <c r="P738" t="s">
        <v>74</v>
      </c>
      <c r="Q738" t="s">
        <v>74</v>
      </c>
      <c r="R738" t="s">
        <v>74</v>
      </c>
      <c r="S738" t="s">
        <v>74</v>
      </c>
      <c r="T738" t="s">
        <v>74</v>
      </c>
      <c r="U738" t="s">
        <v>74</v>
      </c>
      <c r="V738" t="s">
        <v>13865</v>
      </c>
      <c r="W738" t="s">
        <v>13866</v>
      </c>
      <c r="X738" t="s">
        <v>13867</v>
      </c>
      <c r="Y738" t="s">
        <v>74</v>
      </c>
      <c r="Z738" t="s">
        <v>74</v>
      </c>
      <c r="AA738" t="s">
        <v>74</v>
      </c>
      <c r="AB738" t="s">
        <v>74</v>
      </c>
      <c r="AC738" t="s">
        <v>74</v>
      </c>
      <c r="AD738" t="s">
        <v>74</v>
      </c>
      <c r="AE738" t="s">
        <v>74</v>
      </c>
      <c r="AF738" t="s">
        <v>74</v>
      </c>
      <c r="AG738">
        <v>15</v>
      </c>
      <c r="AH738">
        <v>0</v>
      </c>
      <c r="AI738">
        <v>0</v>
      </c>
      <c r="AJ738">
        <v>0</v>
      </c>
      <c r="AK738">
        <v>1</v>
      </c>
      <c r="AL738" t="s">
        <v>13868</v>
      </c>
      <c r="AM738" t="s">
        <v>410</v>
      </c>
      <c r="AN738" t="s">
        <v>13869</v>
      </c>
      <c r="AO738" t="s">
        <v>13870</v>
      </c>
      <c r="AP738" t="s">
        <v>74</v>
      </c>
      <c r="AQ738" t="s">
        <v>74</v>
      </c>
      <c r="AR738" t="s">
        <v>13871</v>
      </c>
      <c r="AS738" t="s">
        <v>13872</v>
      </c>
      <c r="AT738" t="s">
        <v>2413</v>
      </c>
      <c r="AU738">
        <v>2008</v>
      </c>
      <c r="AV738">
        <v>13</v>
      </c>
      <c r="AW738">
        <v>3</v>
      </c>
      <c r="AX738" t="s">
        <v>74</v>
      </c>
      <c r="AY738" t="s">
        <v>74</v>
      </c>
      <c r="AZ738" t="s">
        <v>74</v>
      </c>
      <c r="BA738" t="s">
        <v>74</v>
      </c>
      <c r="BB738">
        <v>129</v>
      </c>
      <c r="BC738">
        <v>141</v>
      </c>
      <c r="BD738" t="s">
        <v>74</v>
      </c>
      <c r="BE738" t="s">
        <v>13873</v>
      </c>
      <c r="BF738" t="str">
        <f>HYPERLINK("http://dx.doi.org/10.1002/bltj.20329","http://dx.doi.org/10.1002/bltj.20329")</f>
        <v>http://dx.doi.org/10.1002/bltj.20329</v>
      </c>
      <c r="BG738" t="s">
        <v>74</v>
      </c>
      <c r="BH738" t="s">
        <v>74</v>
      </c>
      <c r="BI738">
        <v>13</v>
      </c>
      <c r="BJ738" t="s">
        <v>2959</v>
      </c>
      <c r="BK738" t="s">
        <v>98</v>
      </c>
      <c r="BL738" t="s">
        <v>2960</v>
      </c>
      <c r="BM738" t="s">
        <v>13874</v>
      </c>
      <c r="BN738" t="s">
        <v>74</v>
      </c>
      <c r="BO738" t="s">
        <v>74</v>
      </c>
      <c r="BP738" t="s">
        <v>74</v>
      </c>
      <c r="BQ738" t="s">
        <v>74</v>
      </c>
      <c r="BR738" t="s">
        <v>102</v>
      </c>
      <c r="BS738" t="s">
        <v>13875</v>
      </c>
      <c r="BT738" t="str">
        <f>HYPERLINK("https%3A%2F%2Fwww.webofscience.com%2Fwos%2Fwoscc%2Ffull-record%2FWOS:000261199100012","View Full Record in Web of Science")</f>
        <v>View Full Record in Web of Science</v>
      </c>
    </row>
    <row r="739" spans="1:72" x14ac:dyDescent="0.2">
      <c r="A739" t="s">
        <v>72</v>
      </c>
      <c r="B739" t="s">
        <v>13328</v>
      </c>
      <c r="C739" t="s">
        <v>74</v>
      </c>
      <c r="D739" t="s">
        <v>74</v>
      </c>
      <c r="E739" t="s">
        <v>74</v>
      </c>
      <c r="F739" t="s">
        <v>13329</v>
      </c>
      <c r="G739" t="s">
        <v>74</v>
      </c>
      <c r="H739" t="s">
        <v>74</v>
      </c>
      <c r="I739" t="s">
        <v>13876</v>
      </c>
      <c r="J739" t="s">
        <v>13877</v>
      </c>
      <c r="K739" t="s">
        <v>74</v>
      </c>
      <c r="L739" t="s">
        <v>74</v>
      </c>
      <c r="M739" t="s">
        <v>78</v>
      </c>
      <c r="N739" t="s">
        <v>108</v>
      </c>
      <c r="O739" t="s">
        <v>74</v>
      </c>
      <c r="P739" t="s">
        <v>74</v>
      </c>
      <c r="Q739" t="s">
        <v>74</v>
      </c>
      <c r="R739" t="s">
        <v>74</v>
      </c>
      <c r="S739" t="s">
        <v>74</v>
      </c>
      <c r="T739" t="s">
        <v>13878</v>
      </c>
      <c r="U739" t="s">
        <v>13879</v>
      </c>
      <c r="V739" t="s">
        <v>13880</v>
      </c>
      <c r="W739" t="s">
        <v>13881</v>
      </c>
      <c r="X739" t="s">
        <v>13882</v>
      </c>
      <c r="Y739" t="s">
        <v>13883</v>
      </c>
      <c r="Z739" t="s">
        <v>13336</v>
      </c>
      <c r="AA739" t="s">
        <v>74</v>
      </c>
      <c r="AB739" t="s">
        <v>74</v>
      </c>
      <c r="AC739" t="s">
        <v>74</v>
      </c>
      <c r="AD739" t="s">
        <v>74</v>
      </c>
      <c r="AE739" t="s">
        <v>74</v>
      </c>
      <c r="AF739" t="s">
        <v>74</v>
      </c>
      <c r="AG739">
        <v>35</v>
      </c>
      <c r="AH739">
        <v>3</v>
      </c>
      <c r="AI739">
        <v>3</v>
      </c>
      <c r="AJ739">
        <v>5</v>
      </c>
      <c r="AK739">
        <v>29</v>
      </c>
      <c r="AL739" t="s">
        <v>462</v>
      </c>
      <c r="AM739" t="s">
        <v>280</v>
      </c>
      <c r="AN739" t="s">
        <v>463</v>
      </c>
      <c r="AO739" t="s">
        <v>13884</v>
      </c>
      <c r="AP739" t="s">
        <v>13885</v>
      </c>
      <c r="AQ739" t="s">
        <v>74</v>
      </c>
      <c r="AR739" t="s">
        <v>13886</v>
      </c>
      <c r="AS739" t="s">
        <v>13887</v>
      </c>
      <c r="AT739" t="s">
        <v>5791</v>
      </c>
      <c r="AU739">
        <v>2021</v>
      </c>
      <c r="AV739">
        <v>29</v>
      </c>
      <c r="AW739">
        <v>8</v>
      </c>
      <c r="AX739" t="s">
        <v>74</v>
      </c>
      <c r="AY739" t="s">
        <v>74</v>
      </c>
      <c r="AZ739" t="s">
        <v>74</v>
      </c>
      <c r="BA739" t="s">
        <v>74</v>
      </c>
      <c r="BB739">
        <v>1495</v>
      </c>
      <c r="BC739">
        <v>1513</v>
      </c>
      <c r="BD739" t="s">
        <v>74</v>
      </c>
      <c r="BE739" t="s">
        <v>13888</v>
      </c>
      <c r="BF739" t="str">
        <f>HYPERLINK("http://dx.doi.org/10.1080/09654313.2020.1850646","http://dx.doi.org/10.1080/09654313.2020.1850646")</f>
        <v>http://dx.doi.org/10.1080/09654313.2020.1850646</v>
      </c>
      <c r="BG739" t="s">
        <v>74</v>
      </c>
      <c r="BH739" t="s">
        <v>910</v>
      </c>
      <c r="BI739">
        <v>19</v>
      </c>
      <c r="BJ739" t="s">
        <v>13889</v>
      </c>
      <c r="BK739" t="s">
        <v>242</v>
      </c>
      <c r="BL739" t="s">
        <v>13890</v>
      </c>
      <c r="BM739" t="s">
        <v>13891</v>
      </c>
      <c r="BN739" t="s">
        <v>74</v>
      </c>
      <c r="BO739" t="s">
        <v>74</v>
      </c>
      <c r="BP739" t="s">
        <v>74</v>
      </c>
      <c r="BQ739" t="s">
        <v>74</v>
      </c>
      <c r="BR739" t="s">
        <v>102</v>
      </c>
      <c r="BS739" t="s">
        <v>13892</v>
      </c>
      <c r="BT739" t="str">
        <f>HYPERLINK("https%3A%2F%2Fwww.webofscience.com%2Fwos%2Fwoscc%2Ffull-record%2FWOS:000591482700001","View Full Record in Web of Science")</f>
        <v>View Full Record in Web of Science</v>
      </c>
    </row>
    <row r="740" spans="1:72" x14ac:dyDescent="0.2">
      <c r="A740" t="s">
        <v>72</v>
      </c>
      <c r="B740" t="s">
        <v>13893</v>
      </c>
      <c r="C740" t="s">
        <v>74</v>
      </c>
      <c r="D740" t="s">
        <v>74</v>
      </c>
      <c r="E740" t="s">
        <v>74</v>
      </c>
      <c r="F740" t="s">
        <v>13894</v>
      </c>
      <c r="G740" t="s">
        <v>74</v>
      </c>
      <c r="H740" t="s">
        <v>74</v>
      </c>
      <c r="I740" t="s">
        <v>13895</v>
      </c>
      <c r="J740" t="s">
        <v>13896</v>
      </c>
      <c r="K740" t="s">
        <v>74</v>
      </c>
      <c r="L740" t="s">
        <v>74</v>
      </c>
      <c r="M740" t="s">
        <v>78</v>
      </c>
      <c r="N740" t="s">
        <v>108</v>
      </c>
      <c r="O740" t="s">
        <v>74</v>
      </c>
      <c r="P740" t="s">
        <v>74</v>
      </c>
      <c r="Q740" t="s">
        <v>74</v>
      </c>
      <c r="R740" t="s">
        <v>74</v>
      </c>
      <c r="S740" t="s">
        <v>74</v>
      </c>
      <c r="T740" t="s">
        <v>13897</v>
      </c>
      <c r="U740" t="s">
        <v>13898</v>
      </c>
      <c r="V740" t="s">
        <v>13899</v>
      </c>
      <c r="W740" t="s">
        <v>13900</v>
      </c>
      <c r="X740" t="s">
        <v>13901</v>
      </c>
      <c r="Y740" t="s">
        <v>13902</v>
      </c>
      <c r="Z740" t="s">
        <v>13903</v>
      </c>
      <c r="AA740" t="s">
        <v>74</v>
      </c>
      <c r="AB740" t="s">
        <v>74</v>
      </c>
      <c r="AC740" t="s">
        <v>13904</v>
      </c>
      <c r="AD740" t="s">
        <v>13905</v>
      </c>
      <c r="AE740" t="s">
        <v>13906</v>
      </c>
      <c r="AF740" t="s">
        <v>74</v>
      </c>
      <c r="AG740">
        <v>353</v>
      </c>
      <c r="AH740">
        <v>3</v>
      </c>
      <c r="AI740">
        <v>3</v>
      </c>
      <c r="AJ740">
        <v>1</v>
      </c>
      <c r="AK740">
        <v>1</v>
      </c>
      <c r="AL740" t="s">
        <v>209</v>
      </c>
      <c r="AM740" t="s">
        <v>210</v>
      </c>
      <c r="AN740" t="s">
        <v>211</v>
      </c>
      <c r="AO740" t="s">
        <v>13907</v>
      </c>
      <c r="AP740" t="s">
        <v>74</v>
      </c>
      <c r="AQ740" t="s">
        <v>74</v>
      </c>
      <c r="AR740" t="s">
        <v>13908</v>
      </c>
      <c r="AS740" t="s">
        <v>13909</v>
      </c>
      <c r="AT740" t="s">
        <v>216</v>
      </c>
      <c r="AU740">
        <v>2022</v>
      </c>
      <c r="AV740">
        <v>5</v>
      </c>
      <c r="AW740" t="s">
        <v>74</v>
      </c>
      <c r="AX740" t="s">
        <v>74</v>
      </c>
      <c r="AY740" t="s">
        <v>74</v>
      </c>
      <c r="AZ740" t="s">
        <v>74</v>
      </c>
      <c r="BA740" t="s">
        <v>74</v>
      </c>
      <c r="BB740" t="s">
        <v>74</v>
      </c>
      <c r="BC740" t="s">
        <v>74</v>
      </c>
      <c r="BD740">
        <v>100074</v>
      </c>
      <c r="BE740" t="s">
        <v>13910</v>
      </c>
      <c r="BF740" t="str">
        <f>HYPERLINK("http://dx.doi.org/10.1016/j.clscn.2022.100074","http://dx.doi.org/10.1016/j.clscn.2022.100074")</f>
        <v>http://dx.doi.org/10.1016/j.clscn.2022.100074</v>
      </c>
      <c r="BG740" t="s">
        <v>74</v>
      </c>
      <c r="BH740" t="s">
        <v>74</v>
      </c>
      <c r="BI740">
        <v>22</v>
      </c>
      <c r="BJ740" t="s">
        <v>330</v>
      </c>
      <c r="BK740" t="s">
        <v>124</v>
      </c>
      <c r="BL740" t="s">
        <v>330</v>
      </c>
      <c r="BM740" t="s">
        <v>13911</v>
      </c>
      <c r="BN740" t="s">
        <v>74</v>
      </c>
      <c r="BO740" t="s">
        <v>702</v>
      </c>
      <c r="BP740" t="s">
        <v>74</v>
      </c>
      <c r="BQ740" t="s">
        <v>74</v>
      </c>
      <c r="BR740" t="s">
        <v>102</v>
      </c>
      <c r="BS740" t="s">
        <v>13912</v>
      </c>
      <c r="BT740" t="str">
        <f>HYPERLINK("https%3A%2F%2Fwww.webofscience.com%2Fwos%2Fwoscc%2Ffull-record%2FWOS:001044686700007","View Full Record in Web of Science")</f>
        <v>View Full Record in Web of Science</v>
      </c>
    </row>
    <row r="741" spans="1:72" x14ac:dyDescent="0.2">
      <c r="A741" t="s">
        <v>72</v>
      </c>
      <c r="B741" t="s">
        <v>13913</v>
      </c>
      <c r="C741" t="s">
        <v>74</v>
      </c>
      <c r="D741" t="s">
        <v>74</v>
      </c>
      <c r="E741" t="s">
        <v>74</v>
      </c>
      <c r="F741" t="s">
        <v>13914</v>
      </c>
      <c r="G741" t="s">
        <v>74</v>
      </c>
      <c r="H741" t="s">
        <v>74</v>
      </c>
      <c r="I741" t="s">
        <v>13915</v>
      </c>
      <c r="J741" t="s">
        <v>4172</v>
      </c>
      <c r="K741" t="s">
        <v>74</v>
      </c>
      <c r="L741" t="s">
        <v>74</v>
      </c>
      <c r="M741" t="s">
        <v>78</v>
      </c>
      <c r="N741" t="s">
        <v>108</v>
      </c>
      <c r="O741" t="s">
        <v>74</v>
      </c>
      <c r="P741" t="s">
        <v>74</v>
      </c>
      <c r="Q741" t="s">
        <v>74</v>
      </c>
      <c r="R741" t="s">
        <v>74</v>
      </c>
      <c r="S741" t="s">
        <v>74</v>
      </c>
      <c r="T741" t="s">
        <v>13916</v>
      </c>
      <c r="U741" t="s">
        <v>13917</v>
      </c>
      <c r="V741" t="s">
        <v>13918</v>
      </c>
      <c r="W741" t="s">
        <v>13919</v>
      </c>
      <c r="X741" t="s">
        <v>13920</v>
      </c>
      <c r="Y741" t="s">
        <v>13921</v>
      </c>
      <c r="Z741" t="s">
        <v>13922</v>
      </c>
      <c r="AA741" t="s">
        <v>13923</v>
      </c>
      <c r="AB741" t="s">
        <v>13924</v>
      </c>
      <c r="AC741" t="s">
        <v>74</v>
      </c>
      <c r="AD741" t="s">
        <v>74</v>
      </c>
      <c r="AE741" t="s">
        <v>74</v>
      </c>
      <c r="AF741" t="s">
        <v>74</v>
      </c>
      <c r="AG741">
        <v>47</v>
      </c>
      <c r="AH741">
        <v>42</v>
      </c>
      <c r="AI741">
        <v>42</v>
      </c>
      <c r="AJ741">
        <v>6</v>
      </c>
      <c r="AK741">
        <v>86</v>
      </c>
      <c r="AL741" t="s">
        <v>543</v>
      </c>
      <c r="AM741" t="s">
        <v>260</v>
      </c>
      <c r="AN741" t="s">
        <v>544</v>
      </c>
      <c r="AO741" t="s">
        <v>4180</v>
      </c>
      <c r="AP741" t="s">
        <v>4181</v>
      </c>
      <c r="AQ741" t="s">
        <v>74</v>
      </c>
      <c r="AR741" t="s">
        <v>4182</v>
      </c>
      <c r="AS741" t="s">
        <v>4183</v>
      </c>
      <c r="AT741" t="s">
        <v>121</v>
      </c>
      <c r="AU741">
        <v>2020</v>
      </c>
      <c r="AV741">
        <v>119</v>
      </c>
      <c r="AW741" t="s">
        <v>74</v>
      </c>
      <c r="AX741" t="s">
        <v>74</v>
      </c>
      <c r="AY741" t="s">
        <v>74</v>
      </c>
      <c r="AZ741" t="s">
        <v>74</v>
      </c>
      <c r="BA741" t="s">
        <v>74</v>
      </c>
      <c r="BB741" t="s">
        <v>74</v>
      </c>
      <c r="BC741" t="s">
        <v>74</v>
      </c>
      <c r="BD741">
        <v>104941</v>
      </c>
      <c r="BE741" t="s">
        <v>13925</v>
      </c>
      <c r="BF741" t="str">
        <f>HYPERLINK("http://dx.doi.org/10.1016/j.cor.2020.104941","http://dx.doi.org/10.1016/j.cor.2020.104941")</f>
        <v>http://dx.doi.org/10.1016/j.cor.2020.104941</v>
      </c>
      <c r="BG741" t="s">
        <v>74</v>
      </c>
      <c r="BH741" t="s">
        <v>74</v>
      </c>
      <c r="BI741">
        <v>20</v>
      </c>
      <c r="BJ741" t="s">
        <v>4185</v>
      </c>
      <c r="BK741" t="s">
        <v>147</v>
      </c>
      <c r="BL741" t="s">
        <v>2060</v>
      </c>
      <c r="BM741" t="s">
        <v>13926</v>
      </c>
      <c r="BN741" t="s">
        <v>74</v>
      </c>
      <c r="BO741" t="s">
        <v>74</v>
      </c>
      <c r="BP741" t="s">
        <v>74</v>
      </c>
      <c r="BQ741" t="s">
        <v>74</v>
      </c>
      <c r="BR741" t="s">
        <v>102</v>
      </c>
      <c r="BS741" t="s">
        <v>13927</v>
      </c>
      <c r="BT741" t="str">
        <f>HYPERLINK("https%3A%2F%2Fwww.webofscience.com%2Fwos%2Fwoscc%2Ffull-record%2FWOS:000526116900014","View Full Record in Web of Science")</f>
        <v>View Full Record in Web of Science</v>
      </c>
    </row>
    <row r="742" spans="1:72" x14ac:dyDescent="0.2">
      <c r="A742" t="s">
        <v>72</v>
      </c>
      <c r="B742" t="s">
        <v>13928</v>
      </c>
      <c r="C742" t="s">
        <v>74</v>
      </c>
      <c r="D742" t="s">
        <v>74</v>
      </c>
      <c r="E742" t="s">
        <v>74</v>
      </c>
      <c r="F742" t="s">
        <v>13929</v>
      </c>
      <c r="G742" t="s">
        <v>74</v>
      </c>
      <c r="H742" t="s">
        <v>74</v>
      </c>
      <c r="I742" t="s">
        <v>13930</v>
      </c>
      <c r="J742" t="s">
        <v>1467</v>
      </c>
      <c r="K742" t="s">
        <v>74</v>
      </c>
      <c r="L742" t="s">
        <v>74</v>
      </c>
      <c r="M742" t="s">
        <v>78</v>
      </c>
      <c r="N742" t="s">
        <v>108</v>
      </c>
      <c r="O742" t="s">
        <v>74</v>
      </c>
      <c r="P742" t="s">
        <v>74</v>
      </c>
      <c r="Q742" t="s">
        <v>74</v>
      </c>
      <c r="R742" t="s">
        <v>74</v>
      </c>
      <c r="S742" t="s">
        <v>74</v>
      </c>
      <c r="T742" t="s">
        <v>13931</v>
      </c>
      <c r="U742" t="s">
        <v>13932</v>
      </c>
      <c r="V742" t="s">
        <v>13933</v>
      </c>
      <c r="W742" t="s">
        <v>13934</v>
      </c>
      <c r="X742" t="s">
        <v>13935</v>
      </c>
      <c r="Y742" t="s">
        <v>13936</v>
      </c>
      <c r="Z742" t="s">
        <v>13937</v>
      </c>
      <c r="AA742" t="s">
        <v>74</v>
      </c>
      <c r="AB742" t="s">
        <v>74</v>
      </c>
      <c r="AC742" t="s">
        <v>13938</v>
      </c>
      <c r="AD742" t="s">
        <v>13939</v>
      </c>
      <c r="AE742" t="s">
        <v>13940</v>
      </c>
      <c r="AF742" t="s">
        <v>74</v>
      </c>
      <c r="AG742">
        <v>29</v>
      </c>
      <c r="AH742">
        <v>13</v>
      </c>
      <c r="AI742">
        <v>16</v>
      </c>
      <c r="AJ742">
        <v>0</v>
      </c>
      <c r="AK742">
        <v>38</v>
      </c>
      <c r="AL742" t="s">
        <v>209</v>
      </c>
      <c r="AM742" t="s">
        <v>210</v>
      </c>
      <c r="AN742" t="s">
        <v>211</v>
      </c>
      <c r="AO742" t="s">
        <v>1478</v>
      </c>
      <c r="AP742" t="s">
        <v>1479</v>
      </c>
      <c r="AQ742" t="s">
        <v>74</v>
      </c>
      <c r="AR742" t="s">
        <v>1480</v>
      </c>
      <c r="AS742" t="s">
        <v>1481</v>
      </c>
      <c r="AT742" t="s">
        <v>239</v>
      </c>
      <c r="AU742">
        <v>2012</v>
      </c>
      <c r="AV742">
        <v>63</v>
      </c>
      <c r="AW742">
        <v>6</v>
      </c>
      <c r="AX742" t="s">
        <v>74</v>
      </c>
      <c r="AY742" t="s">
        <v>74</v>
      </c>
      <c r="AZ742" t="s">
        <v>570</v>
      </c>
      <c r="BA742" t="s">
        <v>74</v>
      </c>
      <c r="BB742">
        <v>632</v>
      </c>
      <c r="BC742">
        <v>641</v>
      </c>
      <c r="BD742" t="s">
        <v>74</v>
      </c>
      <c r="BE742" t="s">
        <v>13941</v>
      </c>
      <c r="BF742" t="str">
        <f>HYPERLINK("http://dx.doi.org/10.1016/j.compind.2012.03.007","http://dx.doi.org/10.1016/j.compind.2012.03.007")</f>
        <v>http://dx.doi.org/10.1016/j.compind.2012.03.007</v>
      </c>
      <c r="BG742" t="s">
        <v>74</v>
      </c>
      <c r="BH742" t="s">
        <v>74</v>
      </c>
      <c r="BI742">
        <v>10</v>
      </c>
      <c r="BJ742" t="s">
        <v>1483</v>
      </c>
      <c r="BK742" t="s">
        <v>98</v>
      </c>
      <c r="BL742" t="s">
        <v>99</v>
      </c>
      <c r="BM742" t="s">
        <v>13942</v>
      </c>
      <c r="BN742" t="s">
        <v>74</v>
      </c>
      <c r="BO742" t="s">
        <v>74</v>
      </c>
      <c r="BP742" t="s">
        <v>74</v>
      </c>
      <c r="BQ742" t="s">
        <v>74</v>
      </c>
      <c r="BR742" t="s">
        <v>102</v>
      </c>
      <c r="BS742" t="s">
        <v>13943</v>
      </c>
      <c r="BT742" t="str">
        <f>HYPERLINK("https%3A%2F%2Fwww.webofscience.com%2Fwos%2Fwoscc%2Ffull-record%2FWOS:000306383100009","View Full Record in Web of Science")</f>
        <v>View Full Record in Web of Science</v>
      </c>
    </row>
    <row r="743" spans="1:72" x14ac:dyDescent="0.2">
      <c r="A743" t="s">
        <v>72</v>
      </c>
      <c r="B743" t="s">
        <v>13944</v>
      </c>
      <c r="C743" t="s">
        <v>74</v>
      </c>
      <c r="D743" t="s">
        <v>74</v>
      </c>
      <c r="E743" t="s">
        <v>74</v>
      </c>
      <c r="F743" t="s">
        <v>13945</v>
      </c>
      <c r="G743" t="s">
        <v>74</v>
      </c>
      <c r="H743" t="s">
        <v>74</v>
      </c>
      <c r="I743" t="s">
        <v>13946</v>
      </c>
      <c r="J743" t="s">
        <v>13947</v>
      </c>
      <c r="K743" t="s">
        <v>74</v>
      </c>
      <c r="L743" t="s">
        <v>74</v>
      </c>
      <c r="M743" t="s">
        <v>78</v>
      </c>
      <c r="N743" t="s">
        <v>108</v>
      </c>
      <c r="O743" t="s">
        <v>74</v>
      </c>
      <c r="P743" t="s">
        <v>74</v>
      </c>
      <c r="Q743" t="s">
        <v>74</v>
      </c>
      <c r="R743" t="s">
        <v>74</v>
      </c>
      <c r="S743" t="s">
        <v>74</v>
      </c>
      <c r="T743" t="s">
        <v>13948</v>
      </c>
      <c r="U743" t="s">
        <v>13949</v>
      </c>
      <c r="V743" t="s">
        <v>13950</v>
      </c>
      <c r="W743" t="s">
        <v>13951</v>
      </c>
      <c r="X743" t="s">
        <v>13952</v>
      </c>
      <c r="Y743" t="s">
        <v>13953</v>
      </c>
      <c r="Z743" t="s">
        <v>13954</v>
      </c>
      <c r="AA743" t="s">
        <v>74</v>
      </c>
      <c r="AB743" t="s">
        <v>74</v>
      </c>
      <c r="AC743" t="s">
        <v>74</v>
      </c>
      <c r="AD743" t="s">
        <v>74</v>
      </c>
      <c r="AE743" t="s">
        <v>74</v>
      </c>
      <c r="AF743" t="s">
        <v>74</v>
      </c>
      <c r="AG743">
        <v>22</v>
      </c>
      <c r="AH743">
        <v>17</v>
      </c>
      <c r="AI743">
        <v>17</v>
      </c>
      <c r="AJ743">
        <v>1</v>
      </c>
      <c r="AK743">
        <v>54</v>
      </c>
      <c r="AL743" t="s">
        <v>462</v>
      </c>
      <c r="AM743" t="s">
        <v>280</v>
      </c>
      <c r="AN743" t="s">
        <v>11565</v>
      </c>
      <c r="AO743" t="s">
        <v>13955</v>
      </c>
      <c r="AP743" t="s">
        <v>13956</v>
      </c>
      <c r="AQ743" t="s">
        <v>74</v>
      </c>
      <c r="AR743" t="s">
        <v>13957</v>
      </c>
      <c r="AS743" t="s">
        <v>13958</v>
      </c>
      <c r="AT743" t="s">
        <v>74</v>
      </c>
      <c r="AU743">
        <v>2012</v>
      </c>
      <c r="AV743">
        <v>23</v>
      </c>
      <c r="AW743" t="s">
        <v>6867</v>
      </c>
      <c r="AX743" t="s">
        <v>74</v>
      </c>
      <c r="AY743" t="s">
        <v>74</v>
      </c>
      <c r="AZ743" t="s">
        <v>570</v>
      </c>
      <c r="BA743" t="s">
        <v>74</v>
      </c>
      <c r="BB743">
        <v>1125</v>
      </c>
      <c r="BC743">
        <v>1134</v>
      </c>
      <c r="BD743" t="s">
        <v>74</v>
      </c>
      <c r="BE743" t="s">
        <v>13959</v>
      </c>
      <c r="BF743" t="str">
        <f>HYPERLINK("http://dx.doi.org/10.1080/14783363.2012.669542","http://dx.doi.org/10.1080/14783363.2012.669542")</f>
        <v>http://dx.doi.org/10.1080/14783363.2012.669542</v>
      </c>
      <c r="BG743" t="s">
        <v>74</v>
      </c>
      <c r="BH743" t="s">
        <v>74</v>
      </c>
      <c r="BI743">
        <v>10</v>
      </c>
      <c r="BJ743" t="s">
        <v>418</v>
      </c>
      <c r="BK743" t="s">
        <v>242</v>
      </c>
      <c r="BL743" t="s">
        <v>419</v>
      </c>
      <c r="BM743" t="s">
        <v>13960</v>
      </c>
      <c r="BN743" t="s">
        <v>74</v>
      </c>
      <c r="BO743" t="s">
        <v>74</v>
      </c>
      <c r="BP743" t="s">
        <v>74</v>
      </c>
      <c r="BQ743" t="s">
        <v>74</v>
      </c>
      <c r="BR743" t="s">
        <v>102</v>
      </c>
      <c r="BS743" t="s">
        <v>13961</v>
      </c>
      <c r="BT743" t="str">
        <f>HYPERLINK("https%3A%2F%2Fwww.webofscience.com%2Fwos%2Fwoscc%2Ffull-record%2FWOS:000310839600009","View Full Record in Web of Science")</f>
        <v>View Full Record in Web of Science</v>
      </c>
    </row>
    <row r="744" spans="1:72" x14ac:dyDescent="0.2">
      <c r="A744" t="s">
        <v>72</v>
      </c>
      <c r="B744" t="s">
        <v>13962</v>
      </c>
      <c r="C744" t="s">
        <v>74</v>
      </c>
      <c r="D744" t="s">
        <v>74</v>
      </c>
      <c r="E744" t="s">
        <v>74</v>
      </c>
      <c r="F744" t="s">
        <v>13963</v>
      </c>
      <c r="G744" t="s">
        <v>74</v>
      </c>
      <c r="H744" t="s">
        <v>74</v>
      </c>
      <c r="I744" t="s">
        <v>13964</v>
      </c>
      <c r="J744" t="s">
        <v>9925</v>
      </c>
      <c r="K744" t="s">
        <v>74</v>
      </c>
      <c r="L744" t="s">
        <v>74</v>
      </c>
      <c r="M744" t="s">
        <v>78</v>
      </c>
      <c r="N744" t="s">
        <v>108</v>
      </c>
      <c r="O744" t="s">
        <v>74</v>
      </c>
      <c r="P744" t="s">
        <v>74</v>
      </c>
      <c r="Q744" t="s">
        <v>74</v>
      </c>
      <c r="R744" t="s">
        <v>74</v>
      </c>
      <c r="S744" t="s">
        <v>74</v>
      </c>
      <c r="T744" t="s">
        <v>13965</v>
      </c>
      <c r="U744" t="s">
        <v>74</v>
      </c>
      <c r="V744" t="s">
        <v>13966</v>
      </c>
      <c r="W744" t="s">
        <v>13967</v>
      </c>
      <c r="X744" t="s">
        <v>13968</v>
      </c>
      <c r="Y744" t="s">
        <v>13969</v>
      </c>
      <c r="Z744" t="s">
        <v>13970</v>
      </c>
      <c r="AA744" t="s">
        <v>13971</v>
      </c>
      <c r="AB744" t="s">
        <v>13972</v>
      </c>
      <c r="AC744" t="s">
        <v>74</v>
      </c>
      <c r="AD744" t="s">
        <v>74</v>
      </c>
      <c r="AE744" t="s">
        <v>74</v>
      </c>
      <c r="AF744" t="s">
        <v>74</v>
      </c>
      <c r="AG744">
        <v>35</v>
      </c>
      <c r="AH744">
        <v>11</v>
      </c>
      <c r="AI744">
        <v>11</v>
      </c>
      <c r="AJ744">
        <v>3</v>
      </c>
      <c r="AK744">
        <v>44</v>
      </c>
      <c r="AL744" t="s">
        <v>321</v>
      </c>
      <c r="AM744" t="s">
        <v>348</v>
      </c>
      <c r="AN744" t="s">
        <v>1454</v>
      </c>
      <c r="AO744" t="s">
        <v>9937</v>
      </c>
      <c r="AP744" t="s">
        <v>9938</v>
      </c>
      <c r="AQ744" t="s">
        <v>74</v>
      </c>
      <c r="AR744" t="s">
        <v>9939</v>
      </c>
      <c r="AS744" t="s">
        <v>9940</v>
      </c>
      <c r="AT744" t="s">
        <v>372</v>
      </c>
      <c r="AU744">
        <v>2021</v>
      </c>
      <c r="AV744">
        <v>14</v>
      </c>
      <c r="AW744">
        <v>1</v>
      </c>
      <c r="AX744" t="s">
        <v>74</v>
      </c>
      <c r="AY744" t="s">
        <v>74</v>
      </c>
      <c r="AZ744" t="s">
        <v>570</v>
      </c>
      <c r="BA744" t="s">
        <v>74</v>
      </c>
      <c r="BB744">
        <v>30</v>
      </c>
      <c r="BC744">
        <v>43</v>
      </c>
      <c r="BD744" t="s">
        <v>74</v>
      </c>
      <c r="BE744" t="s">
        <v>13973</v>
      </c>
      <c r="BF744" t="str">
        <f>HYPERLINK("http://dx.doi.org/10.1007/s12083-020-00943-0","http://dx.doi.org/10.1007/s12083-020-00943-0")</f>
        <v>http://dx.doi.org/10.1007/s12083-020-00943-0</v>
      </c>
      <c r="BG744" t="s">
        <v>74</v>
      </c>
      <c r="BH744" t="s">
        <v>1215</v>
      </c>
      <c r="BI744">
        <v>14</v>
      </c>
      <c r="BJ744" t="s">
        <v>503</v>
      </c>
      <c r="BK744" t="s">
        <v>98</v>
      </c>
      <c r="BL744" t="s">
        <v>505</v>
      </c>
      <c r="BM744" t="s">
        <v>13974</v>
      </c>
      <c r="BN744" t="s">
        <v>74</v>
      </c>
      <c r="BO744" t="s">
        <v>74</v>
      </c>
      <c r="BP744" t="s">
        <v>74</v>
      </c>
      <c r="BQ744" t="s">
        <v>74</v>
      </c>
      <c r="BR744" t="s">
        <v>102</v>
      </c>
      <c r="BS744" t="s">
        <v>13975</v>
      </c>
      <c r="BT744" t="str">
        <f>HYPERLINK("https%3A%2F%2Fwww.webofscience.com%2Fwos%2Fwoscc%2Ffull-record%2FWOS:000547345900001","View Full Record in Web of Science")</f>
        <v>View Full Record in Web of Science</v>
      </c>
    </row>
    <row r="745" spans="1:72" x14ac:dyDescent="0.2">
      <c r="A745" t="s">
        <v>72</v>
      </c>
      <c r="B745" t="s">
        <v>13976</v>
      </c>
      <c r="C745" t="s">
        <v>74</v>
      </c>
      <c r="D745" t="s">
        <v>74</v>
      </c>
      <c r="E745" t="s">
        <v>74</v>
      </c>
      <c r="F745" t="s">
        <v>13977</v>
      </c>
      <c r="G745" t="s">
        <v>74</v>
      </c>
      <c r="H745" t="s">
        <v>74</v>
      </c>
      <c r="I745" t="s">
        <v>13978</v>
      </c>
      <c r="J745" t="s">
        <v>13979</v>
      </c>
      <c r="K745" t="s">
        <v>74</v>
      </c>
      <c r="L745" t="s">
        <v>74</v>
      </c>
      <c r="M745" t="s">
        <v>78</v>
      </c>
      <c r="N745" t="s">
        <v>108</v>
      </c>
      <c r="O745" t="s">
        <v>74</v>
      </c>
      <c r="P745" t="s">
        <v>74</v>
      </c>
      <c r="Q745" t="s">
        <v>74</v>
      </c>
      <c r="R745" t="s">
        <v>74</v>
      </c>
      <c r="S745" t="s">
        <v>74</v>
      </c>
      <c r="T745" t="s">
        <v>13980</v>
      </c>
      <c r="U745" t="s">
        <v>13981</v>
      </c>
      <c r="V745" t="s">
        <v>13982</v>
      </c>
      <c r="W745" t="s">
        <v>13983</v>
      </c>
      <c r="X745" t="s">
        <v>13984</v>
      </c>
      <c r="Y745" t="s">
        <v>13985</v>
      </c>
      <c r="Z745" t="s">
        <v>13986</v>
      </c>
      <c r="AA745" t="s">
        <v>74</v>
      </c>
      <c r="AB745" t="s">
        <v>74</v>
      </c>
      <c r="AC745" t="s">
        <v>13987</v>
      </c>
      <c r="AD745" t="s">
        <v>13988</v>
      </c>
      <c r="AE745" t="s">
        <v>13989</v>
      </c>
      <c r="AF745" t="s">
        <v>74</v>
      </c>
      <c r="AG745">
        <v>41</v>
      </c>
      <c r="AH745">
        <v>0</v>
      </c>
      <c r="AI745">
        <v>0</v>
      </c>
      <c r="AJ745">
        <v>11</v>
      </c>
      <c r="AK745">
        <v>11</v>
      </c>
      <c r="AL745" t="s">
        <v>116</v>
      </c>
      <c r="AM745" t="s">
        <v>117</v>
      </c>
      <c r="AN745" t="s">
        <v>118</v>
      </c>
      <c r="AO745" t="s">
        <v>74</v>
      </c>
      <c r="AP745" t="s">
        <v>13990</v>
      </c>
      <c r="AQ745" t="s">
        <v>74</v>
      </c>
      <c r="AR745" t="s">
        <v>13979</v>
      </c>
      <c r="AS745" t="s">
        <v>13991</v>
      </c>
      <c r="AT745" t="s">
        <v>121</v>
      </c>
      <c r="AU745">
        <v>2023</v>
      </c>
      <c r="AV745">
        <v>13</v>
      </c>
      <c r="AW745">
        <v>7</v>
      </c>
      <c r="AX745" t="s">
        <v>74</v>
      </c>
      <c r="AY745" t="s">
        <v>74</v>
      </c>
      <c r="AZ745" t="s">
        <v>74</v>
      </c>
      <c r="BA745" t="s">
        <v>74</v>
      </c>
      <c r="BB745" t="s">
        <v>74</v>
      </c>
      <c r="BC745" t="s">
        <v>74</v>
      </c>
      <c r="BD745">
        <v>1430</v>
      </c>
      <c r="BE745" t="s">
        <v>13992</v>
      </c>
      <c r="BF745" t="str">
        <f>HYPERLINK("http://dx.doi.org/10.3390/agriculture13071430","http://dx.doi.org/10.3390/agriculture13071430")</f>
        <v>http://dx.doi.org/10.3390/agriculture13071430</v>
      </c>
      <c r="BG745" t="s">
        <v>74</v>
      </c>
      <c r="BH745" t="s">
        <v>74</v>
      </c>
      <c r="BI745">
        <v>21</v>
      </c>
      <c r="BJ745" t="s">
        <v>9876</v>
      </c>
      <c r="BK745" t="s">
        <v>98</v>
      </c>
      <c r="BL745" t="s">
        <v>8268</v>
      </c>
      <c r="BM745" t="s">
        <v>13993</v>
      </c>
      <c r="BN745" t="s">
        <v>74</v>
      </c>
      <c r="BO745" t="s">
        <v>126</v>
      </c>
      <c r="BP745" t="s">
        <v>74</v>
      </c>
      <c r="BQ745" t="s">
        <v>74</v>
      </c>
      <c r="BR745" t="s">
        <v>102</v>
      </c>
      <c r="BS745" t="s">
        <v>13994</v>
      </c>
      <c r="BT745" t="str">
        <f>HYPERLINK("https%3A%2F%2Fwww.webofscience.com%2Fwos%2Fwoscc%2Ffull-record%2FWOS:001037794700001","View Full Record in Web of Science")</f>
        <v>View Full Record in Web of Science</v>
      </c>
    </row>
    <row r="746" spans="1:72" x14ac:dyDescent="0.2">
      <c r="A746" t="s">
        <v>72</v>
      </c>
      <c r="B746" t="s">
        <v>13995</v>
      </c>
      <c r="C746" t="s">
        <v>74</v>
      </c>
      <c r="D746" t="s">
        <v>74</v>
      </c>
      <c r="E746" t="s">
        <v>74</v>
      </c>
      <c r="F746" t="s">
        <v>13996</v>
      </c>
      <c r="G746" t="s">
        <v>74</v>
      </c>
      <c r="H746" t="s">
        <v>74</v>
      </c>
      <c r="I746" t="s">
        <v>13997</v>
      </c>
      <c r="J746" t="s">
        <v>1337</v>
      </c>
      <c r="K746" t="s">
        <v>74</v>
      </c>
      <c r="L746" t="s">
        <v>74</v>
      </c>
      <c r="M746" t="s">
        <v>78</v>
      </c>
      <c r="N746" t="s">
        <v>917</v>
      </c>
      <c r="O746" t="s">
        <v>74</v>
      </c>
      <c r="P746" t="s">
        <v>74</v>
      </c>
      <c r="Q746" t="s">
        <v>74</v>
      </c>
      <c r="R746" t="s">
        <v>74</v>
      </c>
      <c r="S746" t="s">
        <v>74</v>
      </c>
      <c r="T746" t="s">
        <v>13998</v>
      </c>
      <c r="U746" t="s">
        <v>13999</v>
      </c>
      <c r="V746" t="s">
        <v>14000</v>
      </c>
      <c r="W746" t="s">
        <v>14001</v>
      </c>
      <c r="X746" t="s">
        <v>14002</v>
      </c>
      <c r="Y746" t="s">
        <v>14003</v>
      </c>
      <c r="Z746" t="s">
        <v>14004</v>
      </c>
      <c r="AA746" t="s">
        <v>74</v>
      </c>
      <c r="AB746" t="s">
        <v>14005</v>
      </c>
      <c r="AC746" t="s">
        <v>74</v>
      </c>
      <c r="AD746" t="s">
        <v>74</v>
      </c>
      <c r="AE746" t="s">
        <v>74</v>
      </c>
      <c r="AF746" t="s">
        <v>74</v>
      </c>
      <c r="AG746">
        <v>79</v>
      </c>
      <c r="AH746">
        <v>0</v>
      </c>
      <c r="AI746">
        <v>0</v>
      </c>
      <c r="AJ746">
        <v>24</v>
      </c>
      <c r="AK746">
        <v>24</v>
      </c>
      <c r="AL746" t="s">
        <v>409</v>
      </c>
      <c r="AM746" t="s">
        <v>410</v>
      </c>
      <c r="AN746" t="s">
        <v>411</v>
      </c>
      <c r="AO746" t="s">
        <v>1347</v>
      </c>
      <c r="AP746" t="s">
        <v>1348</v>
      </c>
      <c r="AQ746" t="s">
        <v>74</v>
      </c>
      <c r="AR746" t="s">
        <v>1349</v>
      </c>
      <c r="AS746" t="s">
        <v>1350</v>
      </c>
      <c r="AT746" t="s">
        <v>14006</v>
      </c>
      <c r="AU746">
        <v>2023</v>
      </c>
      <c r="AV746" t="s">
        <v>74</v>
      </c>
      <c r="AW746" t="s">
        <v>74</v>
      </c>
      <c r="AX746" t="s">
        <v>74</v>
      </c>
      <c r="AY746" t="s">
        <v>74</v>
      </c>
      <c r="AZ746" t="s">
        <v>74</v>
      </c>
      <c r="BA746" t="s">
        <v>74</v>
      </c>
      <c r="BB746" t="s">
        <v>74</v>
      </c>
      <c r="BC746" t="s">
        <v>74</v>
      </c>
      <c r="BD746" t="s">
        <v>74</v>
      </c>
      <c r="BE746" t="s">
        <v>14007</v>
      </c>
      <c r="BF746" t="str">
        <f>HYPERLINK("http://dx.doi.org/10.1002/bse.3447","http://dx.doi.org/10.1002/bse.3447")</f>
        <v>http://dx.doi.org/10.1002/bse.3447</v>
      </c>
      <c r="BG746" t="s">
        <v>74</v>
      </c>
      <c r="BH746" t="s">
        <v>930</v>
      </c>
      <c r="BI746">
        <v>37</v>
      </c>
      <c r="BJ746" t="s">
        <v>1352</v>
      </c>
      <c r="BK746" t="s">
        <v>242</v>
      </c>
      <c r="BL746" t="s">
        <v>1172</v>
      </c>
      <c r="BM746" t="s">
        <v>14008</v>
      </c>
      <c r="BN746" t="s">
        <v>74</v>
      </c>
      <c r="BO746" t="s">
        <v>1931</v>
      </c>
      <c r="BP746" t="s">
        <v>74</v>
      </c>
      <c r="BQ746" t="s">
        <v>74</v>
      </c>
      <c r="BR746" t="s">
        <v>102</v>
      </c>
      <c r="BS746" t="s">
        <v>14009</v>
      </c>
      <c r="BT746" t="str">
        <f>HYPERLINK("https%3A%2F%2Fwww.webofscience.com%2Fwos%2Fwoscc%2Ffull-record%2FWOS:000985281300001","View Full Record in Web of Science")</f>
        <v>View Full Record in Web of Science</v>
      </c>
    </row>
    <row r="747" spans="1:72" x14ac:dyDescent="0.2">
      <c r="A747" t="s">
        <v>72</v>
      </c>
      <c r="B747" t="s">
        <v>14010</v>
      </c>
      <c r="C747" t="s">
        <v>74</v>
      </c>
      <c r="D747" t="s">
        <v>74</v>
      </c>
      <c r="E747" t="s">
        <v>74</v>
      </c>
      <c r="F747" t="s">
        <v>14011</v>
      </c>
      <c r="G747" t="s">
        <v>74</v>
      </c>
      <c r="H747" t="s">
        <v>74</v>
      </c>
      <c r="I747" t="s">
        <v>14012</v>
      </c>
      <c r="J747" t="s">
        <v>5084</v>
      </c>
      <c r="K747" t="s">
        <v>74</v>
      </c>
      <c r="L747" t="s">
        <v>74</v>
      </c>
      <c r="M747" t="s">
        <v>78</v>
      </c>
      <c r="N747" t="s">
        <v>108</v>
      </c>
      <c r="O747" t="s">
        <v>74</v>
      </c>
      <c r="P747" t="s">
        <v>74</v>
      </c>
      <c r="Q747" t="s">
        <v>74</v>
      </c>
      <c r="R747" t="s">
        <v>74</v>
      </c>
      <c r="S747" t="s">
        <v>74</v>
      </c>
      <c r="T747" t="s">
        <v>14013</v>
      </c>
      <c r="U747" t="s">
        <v>74</v>
      </c>
      <c r="V747" t="s">
        <v>14014</v>
      </c>
      <c r="W747" t="s">
        <v>14015</v>
      </c>
      <c r="X747" t="s">
        <v>14016</v>
      </c>
      <c r="Y747" t="s">
        <v>14017</v>
      </c>
      <c r="Z747" t="s">
        <v>14018</v>
      </c>
      <c r="AA747" t="s">
        <v>74</v>
      </c>
      <c r="AB747" t="s">
        <v>74</v>
      </c>
      <c r="AC747" t="s">
        <v>14019</v>
      </c>
      <c r="AD747" t="s">
        <v>14020</v>
      </c>
      <c r="AE747" t="s">
        <v>14021</v>
      </c>
      <c r="AF747" t="s">
        <v>74</v>
      </c>
      <c r="AG747">
        <v>19</v>
      </c>
      <c r="AH747">
        <v>0</v>
      </c>
      <c r="AI747">
        <v>0</v>
      </c>
      <c r="AJ747">
        <v>16</v>
      </c>
      <c r="AK747">
        <v>20</v>
      </c>
      <c r="AL747" t="s">
        <v>5092</v>
      </c>
      <c r="AM747" t="s">
        <v>5093</v>
      </c>
      <c r="AN747" t="s">
        <v>5094</v>
      </c>
      <c r="AO747" t="s">
        <v>5095</v>
      </c>
      <c r="AP747" t="s">
        <v>5096</v>
      </c>
      <c r="AQ747" t="s">
        <v>74</v>
      </c>
      <c r="AR747" t="s">
        <v>5097</v>
      </c>
      <c r="AS747" t="s">
        <v>5098</v>
      </c>
      <c r="AT747" t="s">
        <v>846</v>
      </c>
      <c r="AU747">
        <v>2023</v>
      </c>
      <c r="AV747">
        <v>51</v>
      </c>
      <c r="AW747">
        <v>3</v>
      </c>
      <c r="AX747" t="s">
        <v>74</v>
      </c>
      <c r="AY747" t="s">
        <v>74</v>
      </c>
      <c r="AZ747" t="s">
        <v>570</v>
      </c>
      <c r="BA747" t="s">
        <v>74</v>
      </c>
      <c r="BB747">
        <v>1804</v>
      </c>
      <c r="BC747">
        <v>1818</v>
      </c>
      <c r="BD747" t="s">
        <v>74</v>
      </c>
      <c r="BE747" t="s">
        <v>14022</v>
      </c>
      <c r="BF747" t="str">
        <f>HYPERLINK("http://dx.doi.org/10.1520/JTE20220114","http://dx.doi.org/10.1520/JTE20220114")</f>
        <v>http://dx.doi.org/10.1520/JTE20220114</v>
      </c>
      <c r="BG747" t="s">
        <v>74</v>
      </c>
      <c r="BH747" t="s">
        <v>572</v>
      </c>
      <c r="BI747">
        <v>15</v>
      </c>
      <c r="BJ747" t="s">
        <v>5101</v>
      </c>
      <c r="BK747" t="s">
        <v>98</v>
      </c>
      <c r="BL747" t="s">
        <v>5102</v>
      </c>
      <c r="BM747" t="s">
        <v>14023</v>
      </c>
      <c r="BN747" t="s">
        <v>74</v>
      </c>
      <c r="BO747" t="s">
        <v>74</v>
      </c>
      <c r="BP747" t="s">
        <v>74</v>
      </c>
      <c r="BQ747" t="s">
        <v>74</v>
      </c>
      <c r="BR747" t="s">
        <v>102</v>
      </c>
      <c r="BS747" t="s">
        <v>14024</v>
      </c>
      <c r="BT747" t="str">
        <f>HYPERLINK("https%3A%2F%2Fwww.webofscience.com%2Fwos%2Fwoscc%2Ffull-record%2FWOS:000882600200001","View Full Record in Web of Science")</f>
        <v>View Full Record in Web of Science</v>
      </c>
    </row>
    <row r="748" spans="1:72" x14ac:dyDescent="0.2">
      <c r="A748" t="s">
        <v>72</v>
      </c>
      <c r="B748" t="s">
        <v>14025</v>
      </c>
      <c r="C748" t="s">
        <v>74</v>
      </c>
      <c r="D748" t="s">
        <v>74</v>
      </c>
      <c r="E748" t="s">
        <v>74</v>
      </c>
      <c r="F748" t="s">
        <v>14026</v>
      </c>
      <c r="G748" t="s">
        <v>74</v>
      </c>
      <c r="H748" t="s">
        <v>74</v>
      </c>
      <c r="I748" t="s">
        <v>14027</v>
      </c>
      <c r="J748" t="s">
        <v>2422</v>
      </c>
      <c r="K748" t="s">
        <v>74</v>
      </c>
      <c r="L748" t="s">
        <v>74</v>
      </c>
      <c r="M748" t="s">
        <v>78</v>
      </c>
      <c r="N748" t="s">
        <v>108</v>
      </c>
      <c r="O748" t="s">
        <v>74</v>
      </c>
      <c r="P748" t="s">
        <v>74</v>
      </c>
      <c r="Q748" t="s">
        <v>74</v>
      </c>
      <c r="R748" t="s">
        <v>74</v>
      </c>
      <c r="S748" t="s">
        <v>74</v>
      </c>
      <c r="T748" t="s">
        <v>14028</v>
      </c>
      <c r="U748" t="s">
        <v>14029</v>
      </c>
      <c r="V748" t="s">
        <v>14030</v>
      </c>
      <c r="W748" t="s">
        <v>14031</v>
      </c>
      <c r="X748" t="s">
        <v>14032</v>
      </c>
      <c r="Y748" t="s">
        <v>14033</v>
      </c>
      <c r="Z748" t="s">
        <v>14034</v>
      </c>
      <c r="AA748" t="s">
        <v>14035</v>
      </c>
      <c r="AB748" t="s">
        <v>14036</v>
      </c>
      <c r="AC748" t="s">
        <v>14037</v>
      </c>
      <c r="AD748" t="s">
        <v>14038</v>
      </c>
      <c r="AE748" t="s">
        <v>14039</v>
      </c>
      <c r="AF748" t="s">
        <v>74</v>
      </c>
      <c r="AG748">
        <v>40</v>
      </c>
      <c r="AH748">
        <v>3</v>
      </c>
      <c r="AI748">
        <v>3</v>
      </c>
      <c r="AJ748">
        <v>7</v>
      </c>
      <c r="AK748">
        <v>24</v>
      </c>
      <c r="AL748" t="s">
        <v>259</v>
      </c>
      <c r="AM748" t="s">
        <v>260</v>
      </c>
      <c r="AN748" t="s">
        <v>261</v>
      </c>
      <c r="AO748" t="s">
        <v>2435</v>
      </c>
      <c r="AP748" t="s">
        <v>2436</v>
      </c>
      <c r="AQ748" t="s">
        <v>74</v>
      </c>
      <c r="AR748" t="s">
        <v>2422</v>
      </c>
      <c r="AS748" t="s">
        <v>2437</v>
      </c>
      <c r="AT748" t="s">
        <v>194</v>
      </c>
      <c r="AU748">
        <v>2022</v>
      </c>
      <c r="AV748">
        <v>141</v>
      </c>
      <c r="AW748" t="s">
        <v>74</v>
      </c>
      <c r="AX748" t="s">
        <v>74</v>
      </c>
      <c r="AY748" t="s">
        <v>74</v>
      </c>
      <c r="AZ748" t="s">
        <v>74</v>
      </c>
      <c r="BA748" t="s">
        <v>74</v>
      </c>
      <c r="BB748" t="s">
        <v>74</v>
      </c>
      <c r="BC748" t="s">
        <v>74</v>
      </c>
      <c r="BD748">
        <v>109162</v>
      </c>
      <c r="BE748" t="s">
        <v>14040</v>
      </c>
      <c r="BF748" t="str">
        <f>HYPERLINK("http://dx.doi.org/10.1016/j.foodcont.2022.109162","http://dx.doi.org/10.1016/j.foodcont.2022.109162")</f>
        <v>http://dx.doi.org/10.1016/j.foodcont.2022.109162</v>
      </c>
      <c r="BG748" t="s">
        <v>74</v>
      </c>
      <c r="BH748" t="s">
        <v>698</v>
      </c>
      <c r="BI748">
        <v>8</v>
      </c>
      <c r="BJ748" t="s">
        <v>1121</v>
      </c>
      <c r="BK748" t="s">
        <v>98</v>
      </c>
      <c r="BL748" t="s">
        <v>1121</v>
      </c>
      <c r="BM748" t="s">
        <v>14041</v>
      </c>
      <c r="BN748" t="s">
        <v>74</v>
      </c>
      <c r="BO748" t="s">
        <v>74</v>
      </c>
      <c r="BP748" t="s">
        <v>74</v>
      </c>
      <c r="BQ748" t="s">
        <v>74</v>
      </c>
      <c r="BR748" t="s">
        <v>102</v>
      </c>
      <c r="BS748" t="s">
        <v>14042</v>
      </c>
      <c r="BT748" t="str">
        <f>HYPERLINK("https%3A%2F%2Fwww.webofscience.com%2Fwos%2Fwoscc%2Ffull-record%2FWOS:000827845100001","View Full Record in Web of Science")</f>
        <v>View Full Record in Web of Science</v>
      </c>
    </row>
    <row r="749" spans="1:72" x14ac:dyDescent="0.2">
      <c r="A749" t="s">
        <v>72</v>
      </c>
      <c r="B749" t="s">
        <v>14043</v>
      </c>
      <c r="C749" t="s">
        <v>74</v>
      </c>
      <c r="D749" t="s">
        <v>74</v>
      </c>
      <c r="E749" t="s">
        <v>74</v>
      </c>
      <c r="F749" t="s">
        <v>14044</v>
      </c>
      <c r="G749" t="s">
        <v>74</v>
      </c>
      <c r="H749" t="s">
        <v>74</v>
      </c>
      <c r="I749" t="s">
        <v>14045</v>
      </c>
      <c r="J749" t="s">
        <v>131</v>
      </c>
      <c r="K749" t="s">
        <v>74</v>
      </c>
      <c r="L749" t="s">
        <v>74</v>
      </c>
      <c r="M749" t="s">
        <v>78</v>
      </c>
      <c r="N749" t="s">
        <v>108</v>
      </c>
      <c r="O749" t="s">
        <v>74</v>
      </c>
      <c r="P749" t="s">
        <v>74</v>
      </c>
      <c r="Q749" t="s">
        <v>74</v>
      </c>
      <c r="R749" t="s">
        <v>74</v>
      </c>
      <c r="S749" t="s">
        <v>74</v>
      </c>
      <c r="T749" t="s">
        <v>14046</v>
      </c>
      <c r="U749" t="s">
        <v>14047</v>
      </c>
      <c r="V749" t="s">
        <v>14048</v>
      </c>
      <c r="W749" t="s">
        <v>14049</v>
      </c>
      <c r="X749" t="s">
        <v>2380</v>
      </c>
      <c r="Y749" t="s">
        <v>14050</v>
      </c>
      <c r="Z749" t="s">
        <v>14051</v>
      </c>
      <c r="AA749" t="s">
        <v>14052</v>
      </c>
      <c r="AB749" t="s">
        <v>14053</v>
      </c>
      <c r="AC749" t="s">
        <v>14054</v>
      </c>
      <c r="AD749" t="s">
        <v>14055</v>
      </c>
      <c r="AE749" t="s">
        <v>14056</v>
      </c>
      <c r="AF749" t="s">
        <v>74</v>
      </c>
      <c r="AG749">
        <v>120</v>
      </c>
      <c r="AH749">
        <v>19</v>
      </c>
      <c r="AI749">
        <v>20</v>
      </c>
      <c r="AJ749">
        <v>1</v>
      </c>
      <c r="AK749">
        <v>53</v>
      </c>
      <c r="AL749" t="s">
        <v>116</v>
      </c>
      <c r="AM749" t="s">
        <v>117</v>
      </c>
      <c r="AN749" t="s">
        <v>118</v>
      </c>
      <c r="AO749" t="s">
        <v>74</v>
      </c>
      <c r="AP749" t="s">
        <v>142</v>
      </c>
      <c r="AQ749" t="s">
        <v>74</v>
      </c>
      <c r="AR749" t="s">
        <v>143</v>
      </c>
      <c r="AS749" t="s">
        <v>144</v>
      </c>
      <c r="AT749" t="s">
        <v>194</v>
      </c>
      <c r="AU749">
        <v>2017</v>
      </c>
      <c r="AV749">
        <v>9</v>
      </c>
      <c r="AW749">
        <v>11</v>
      </c>
      <c r="AX749" t="s">
        <v>74</v>
      </c>
      <c r="AY749" t="s">
        <v>74</v>
      </c>
      <c r="AZ749" t="s">
        <v>74</v>
      </c>
      <c r="BA749" t="s">
        <v>74</v>
      </c>
      <c r="BB749" t="s">
        <v>74</v>
      </c>
      <c r="BC749" t="s">
        <v>74</v>
      </c>
      <c r="BD749">
        <v>2008</v>
      </c>
      <c r="BE749" t="s">
        <v>14057</v>
      </c>
      <c r="BF749" t="str">
        <f>HYPERLINK("http://dx.doi.org/10.3390/su9112008","http://dx.doi.org/10.3390/su9112008")</f>
        <v>http://dx.doi.org/10.3390/su9112008</v>
      </c>
      <c r="BG749" t="s">
        <v>74</v>
      </c>
      <c r="BH749" t="s">
        <v>74</v>
      </c>
      <c r="BI749">
        <v>22</v>
      </c>
      <c r="BJ749" t="s">
        <v>146</v>
      </c>
      <c r="BK749" t="s">
        <v>147</v>
      </c>
      <c r="BL749" t="s">
        <v>148</v>
      </c>
      <c r="BM749" t="s">
        <v>2389</v>
      </c>
      <c r="BN749" t="s">
        <v>74</v>
      </c>
      <c r="BO749" t="s">
        <v>306</v>
      </c>
      <c r="BP749" t="s">
        <v>74</v>
      </c>
      <c r="BQ749" t="s">
        <v>74</v>
      </c>
      <c r="BR749" t="s">
        <v>102</v>
      </c>
      <c r="BS749" t="s">
        <v>14058</v>
      </c>
      <c r="BT749" t="str">
        <f>HYPERLINK("https%3A%2F%2Fwww.webofscience.com%2Fwos%2Fwoscc%2Ffull-record%2FWOS:000416793400088","View Full Record in Web of Science")</f>
        <v>View Full Record in Web of Science</v>
      </c>
    </row>
    <row r="750" spans="1:72" x14ac:dyDescent="0.2">
      <c r="A750" t="s">
        <v>72</v>
      </c>
      <c r="B750" t="s">
        <v>14059</v>
      </c>
      <c r="C750" t="s">
        <v>74</v>
      </c>
      <c r="D750" t="s">
        <v>74</v>
      </c>
      <c r="E750" t="s">
        <v>74</v>
      </c>
      <c r="F750" t="s">
        <v>14060</v>
      </c>
      <c r="G750" t="s">
        <v>74</v>
      </c>
      <c r="H750" t="s">
        <v>74</v>
      </c>
      <c r="I750" t="s">
        <v>14061</v>
      </c>
      <c r="J750" t="s">
        <v>3226</v>
      </c>
      <c r="K750" t="s">
        <v>74</v>
      </c>
      <c r="L750" t="s">
        <v>74</v>
      </c>
      <c r="M750" t="s">
        <v>78</v>
      </c>
      <c r="N750" t="s">
        <v>108</v>
      </c>
      <c r="O750" t="s">
        <v>74</v>
      </c>
      <c r="P750" t="s">
        <v>74</v>
      </c>
      <c r="Q750" t="s">
        <v>74</v>
      </c>
      <c r="R750" t="s">
        <v>74</v>
      </c>
      <c r="S750" t="s">
        <v>74</v>
      </c>
      <c r="T750" t="s">
        <v>14062</v>
      </c>
      <c r="U750" t="s">
        <v>14063</v>
      </c>
      <c r="V750" t="s">
        <v>14064</v>
      </c>
      <c r="W750" t="s">
        <v>14065</v>
      </c>
      <c r="X750" t="s">
        <v>14066</v>
      </c>
      <c r="Y750" t="s">
        <v>14067</v>
      </c>
      <c r="Z750" t="s">
        <v>14068</v>
      </c>
      <c r="AA750" t="s">
        <v>14069</v>
      </c>
      <c r="AB750" t="s">
        <v>14070</v>
      </c>
      <c r="AC750" t="s">
        <v>74</v>
      </c>
      <c r="AD750" t="s">
        <v>74</v>
      </c>
      <c r="AE750" t="s">
        <v>74</v>
      </c>
      <c r="AF750" t="s">
        <v>74</v>
      </c>
      <c r="AG750">
        <v>19</v>
      </c>
      <c r="AH750">
        <v>41</v>
      </c>
      <c r="AI750">
        <v>42</v>
      </c>
      <c r="AJ750">
        <v>0</v>
      </c>
      <c r="AK750">
        <v>52</v>
      </c>
      <c r="AL750" t="s">
        <v>279</v>
      </c>
      <c r="AM750" t="s">
        <v>280</v>
      </c>
      <c r="AN750" t="s">
        <v>281</v>
      </c>
      <c r="AO750" t="s">
        <v>3233</v>
      </c>
      <c r="AP750" t="s">
        <v>3234</v>
      </c>
      <c r="AQ750" t="s">
        <v>74</v>
      </c>
      <c r="AR750" t="s">
        <v>3235</v>
      </c>
      <c r="AS750" t="s">
        <v>3236</v>
      </c>
      <c r="AT750" t="s">
        <v>74</v>
      </c>
      <c r="AU750">
        <v>2011</v>
      </c>
      <c r="AV750">
        <v>24</v>
      </c>
      <c r="AW750">
        <v>12</v>
      </c>
      <c r="AX750" t="s">
        <v>74</v>
      </c>
      <c r="AY750" t="s">
        <v>74</v>
      </c>
      <c r="AZ750" t="s">
        <v>74</v>
      </c>
      <c r="BA750" t="s">
        <v>74</v>
      </c>
      <c r="BB750">
        <v>1152</v>
      </c>
      <c r="BC750">
        <v>1167</v>
      </c>
      <c r="BD750" t="s">
        <v>74</v>
      </c>
      <c r="BE750" t="s">
        <v>14071</v>
      </c>
      <c r="BF750" t="str">
        <f>HYPERLINK("http://dx.doi.org/10.1080/0951192X.2011.615342","http://dx.doi.org/10.1080/0951192X.2011.615342")</f>
        <v>http://dx.doi.org/10.1080/0951192X.2011.615342</v>
      </c>
      <c r="BG750" t="s">
        <v>74</v>
      </c>
      <c r="BH750" t="s">
        <v>74</v>
      </c>
      <c r="BI750">
        <v>16</v>
      </c>
      <c r="BJ750" t="s">
        <v>3240</v>
      </c>
      <c r="BK750" t="s">
        <v>98</v>
      </c>
      <c r="BL750" t="s">
        <v>2060</v>
      </c>
      <c r="BM750" t="s">
        <v>14072</v>
      </c>
      <c r="BN750" t="s">
        <v>74</v>
      </c>
      <c r="BO750" t="s">
        <v>74</v>
      </c>
      <c r="BP750" t="s">
        <v>74</v>
      </c>
      <c r="BQ750" t="s">
        <v>74</v>
      </c>
      <c r="BR750" t="s">
        <v>102</v>
      </c>
      <c r="BS750" t="s">
        <v>14073</v>
      </c>
      <c r="BT750" t="str">
        <f>HYPERLINK("https%3A%2F%2Fwww.webofscience.com%2Fwos%2Fwoscc%2Ffull-record%2FWOS:000299881400006","View Full Record in Web of Science")</f>
        <v>View Full Record in Web of Science</v>
      </c>
    </row>
    <row r="751" spans="1:72" x14ac:dyDescent="0.2">
      <c r="A751" t="s">
        <v>72</v>
      </c>
      <c r="B751" t="s">
        <v>14074</v>
      </c>
      <c r="C751" t="s">
        <v>74</v>
      </c>
      <c r="D751" t="s">
        <v>74</v>
      </c>
      <c r="E751" t="s">
        <v>74</v>
      </c>
      <c r="F751" t="s">
        <v>14075</v>
      </c>
      <c r="G751" t="s">
        <v>74</v>
      </c>
      <c r="H751" t="s">
        <v>74</v>
      </c>
      <c r="I751" t="s">
        <v>14076</v>
      </c>
      <c r="J751" t="s">
        <v>425</v>
      </c>
      <c r="K751" t="s">
        <v>74</v>
      </c>
      <c r="L751" t="s">
        <v>74</v>
      </c>
      <c r="M751" t="s">
        <v>78</v>
      </c>
      <c r="N751" t="s">
        <v>108</v>
      </c>
      <c r="O751" t="s">
        <v>74</v>
      </c>
      <c r="P751" t="s">
        <v>74</v>
      </c>
      <c r="Q751" t="s">
        <v>74</v>
      </c>
      <c r="R751" t="s">
        <v>74</v>
      </c>
      <c r="S751" t="s">
        <v>74</v>
      </c>
      <c r="T751" t="s">
        <v>14077</v>
      </c>
      <c r="U751" t="s">
        <v>14078</v>
      </c>
      <c r="V751" t="s">
        <v>14079</v>
      </c>
      <c r="W751" t="s">
        <v>14080</v>
      </c>
      <c r="X751" t="s">
        <v>14081</v>
      </c>
      <c r="Y751" t="s">
        <v>14082</v>
      </c>
      <c r="Z751" t="s">
        <v>14083</v>
      </c>
      <c r="AA751" t="s">
        <v>74</v>
      </c>
      <c r="AB751" t="s">
        <v>14084</v>
      </c>
      <c r="AC751" t="s">
        <v>14085</v>
      </c>
      <c r="AD751" t="s">
        <v>14085</v>
      </c>
      <c r="AE751" t="s">
        <v>14086</v>
      </c>
      <c r="AF751" t="s">
        <v>74</v>
      </c>
      <c r="AG751">
        <v>36</v>
      </c>
      <c r="AH751">
        <v>5</v>
      </c>
      <c r="AI751">
        <v>5</v>
      </c>
      <c r="AJ751">
        <v>3</v>
      </c>
      <c r="AK751">
        <v>5</v>
      </c>
      <c r="AL751" t="s">
        <v>437</v>
      </c>
      <c r="AM751" t="s">
        <v>438</v>
      </c>
      <c r="AN751" t="s">
        <v>439</v>
      </c>
      <c r="AO751" t="s">
        <v>440</v>
      </c>
      <c r="AP751" t="s">
        <v>441</v>
      </c>
      <c r="AQ751" t="s">
        <v>74</v>
      </c>
      <c r="AR751" t="s">
        <v>442</v>
      </c>
      <c r="AS751" t="s">
        <v>443</v>
      </c>
      <c r="AT751" t="s">
        <v>908</v>
      </c>
      <c r="AU751">
        <v>2022</v>
      </c>
      <c r="AV751">
        <v>22</v>
      </c>
      <c r="AW751">
        <v>1</v>
      </c>
      <c r="AX751" t="s">
        <v>74</v>
      </c>
      <c r="AY751" t="s">
        <v>74</v>
      </c>
      <c r="AZ751" t="s">
        <v>74</v>
      </c>
      <c r="BA751" t="s">
        <v>74</v>
      </c>
      <c r="BB751">
        <v>23</v>
      </c>
      <c r="BC751">
        <v>40</v>
      </c>
      <c r="BD751" t="s">
        <v>74</v>
      </c>
      <c r="BE751" t="s">
        <v>14087</v>
      </c>
      <c r="BF751" t="str">
        <f>HYPERLINK("http://dx.doi.org/10.1108/CI-11-2019-0116","http://dx.doi.org/10.1108/CI-11-2019-0116")</f>
        <v>http://dx.doi.org/10.1108/CI-11-2019-0116</v>
      </c>
      <c r="BG751" t="s">
        <v>74</v>
      </c>
      <c r="BH751" t="s">
        <v>1373</v>
      </c>
      <c r="BI751">
        <v>18</v>
      </c>
      <c r="BJ751" t="s">
        <v>446</v>
      </c>
      <c r="BK751" t="s">
        <v>124</v>
      </c>
      <c r="BL751" t="s">
        <v>446</v>
      </c>
      <c r="BM751" t="s">
        <v>14088</v>
      </c>
      <c r="BN751" t="s">
        <v>74</v>
      </c>
      <c r="BO751" t="s">
        <v>74</v>
      </c>
      <c r="BP751" t="s">
        <v>74</v>
      </c>
      <c r="BQ751" t="s">
        <v>74</v>
      </c>
      <c r="BR751" t="s">
        <v>102</v>
      </c>
      <c r="BS751" t="s">
        <v>14089</v>
      </c>
      <c r="BT751" t="str">
        <f>HYPERLINK("https%3A%2F%2Fwww.webofscience.com%2Fwos%2Fwoscc%2Ffull-record%2FWOS:000681520500001","View Full Record in Web of Science")</f>
        <v>View Full Record in Web of Science</v>
      </c>
    </row>
    <row r="752" spans="1:72" x14ac:dyDescent="0.2">
      <c r="A752" t="s">
        <v>72</v>
      </c>
      <c r="B752" t="s">
        <v>14090</v>
      </c>
      <c r="C752" t="s">
        <v>74</v>
      </c>
      <c r="D752" t="s">
        <v>74</v>
      </c>
      <c r="E752" t="s">
        <v>74</v>
      </c>
      <c r="F752" t="s">
        <v>14091</v>
      </c>
      <c r="G752" t="s">
        <v>74</v>
      </c>
      <c r="H752" t="s">
        <v>74</v>
      </c>
      <c r="I752" t="s">
        <v>14092</v>
      </c>
      <c r="J752" t="s">
        <v>4480</v>
      </c>
      <c r="K752" t="s">
        <v>74</v>
      </c>
      <c r="L752" t="s">
        <v>74</v>
      </c>
      <c r="M752" t="s">
        <v>78</v>
      </c>
      <c r="N752" t="s">
        <v>108</v>
      </c>
      <c r="O752" t="s">
        <v>74</v>
      </c>
      <c r="P752" t="s">
        <v>74</v>
      </c>
      <c r="Q752" t="s">
        <v>74</v>
      </c>
      <c r="R752" t="s">
        <v>74</v>
      </c>
      <c r="S752" t="s">
        <v>74</v>
      </c>
      <c r="T752" t="s">
        <v>14093</v>
      </c>
      <c r="U752" t="s">
        <v>14094</v>
      </c>
      <c r="V752" t="s">
        <v>14095</v>
      </c>
      <c r="W752" t="s">
        <v>14096</v>
      </c>
      <c r="X752" t="s">
        <v>14097</v>
      </c>
      <c r="Y752" t="s">
        <v>14098</v>
      </c>
      <c r="Z752" t="s">
        <v>14099</v>
      </c>
      <c r="AA752" t="s">
        <v>14100</v>
      </c>
      <c r="AB752" t="s">
        <v>14101</v>
      </c>
      <c r="AC752" t="s">
        <v>74</v>
      </c>
      <c r="AD752" t="s">
        <v>74</v>
      </c>
      <c r="AE752" t="s">
        <v>74</v>
      </c>
      <c r="AF752" t="s">
        <v>74</v>
      </c>
      <c r="AG752">
        <v>93</v>
      </c>
      <c r="AH752">
        <v>6</v>
      </c>
      <c r="AI752">
        <v>6</v>
      </c>
      <c r="AJ752">
        <v>5</v>
      </c>
      <c r="AK752">
        <v>23</v>
      </c>
      <c r="AL752" t="s">
        <v>4005</v>
      </c>
      <c r="AM752" t="s">
        <v>4006</v>
      </c>
      <c r="AN752" t="s">
        <v>4007</v>
      </c>
      <c r="AO752" t="s">
        <v>4487</v>
      </c>
      <c r="AP752" t="s">
        <v>4488</v>
      </c>
      <c r="AQ752" t="s">
        <v>74</v>
      </c>
      <c r="AR752" t="s">
        <v>4489</v>
      </c>
      <c r="AS752" t="s">
        <v>4490</v>
      </c>
      <c r="AT752" t="s">
        <v>216</v>
      </c>
      <c r="AU752">
        <v>2022</v>
      </c>
      <c r="AV752">
        <v>29</v>
      </c>
      <c r="AW752">
        <v>56</v>
      </c>
      <c r="AX752" t="s">
        <v>74</v>
      </c>
      <c r="AY752" t="s">
        <v>74</v>
      </c>
      <c r="AZ752" t="s">
        <v>74</v>
      </c>
      <c r="BA752" t="s">
        <v>74</v>
      </c>
      <c r="BB752">
        <v>84916</v>
      </c>
      <c r="BC752">
        <v>84935</v>
      </c>
      <c r="BD752" t="s">
        <v>74</v>
      </c>
      <c r="BE752" t="s">
        <v>14102</v>
      </c>
      <c r="BF752" t="str">
        <f>HYPERLINK("http://dx.doi.org/10.1007/s11356-022-21471-9","http://dx.doi.org/10.1007/s11356-022-21471-9")</f>
        <v>http://dx.doi.org/10.1007/s11356-022-21471-9</v>
      </c>
      <c r="BG752" t="s">
        <v>74</v>
      </c>
      <c r="BH752" t="s">
        <v>698</v>
      </c>
      <c r="BI752">
        <v>20</v>
      </c>
      <c r="BJ752" t="s">
        <v>674</v>
      </c>
      <c r="BK752" t="s">
        <v>98</v>
      </c>
      <c r="BL752" t="s">
        <v>675</v>
      </c>
      <c r="BM752" t="s">
        <v>14103</v>
      </c>
      <c r="BN752">
        <v>35790632</v>
      </c>
      <c r="BO752" t="s">
        <v>1138</v>
      </c>
      <c r="BP752" t="s">
        <v>74</v>
      </c>
      <c r="BQ752" t="s">
        <v>74</v>
      </c>
      <c r="BR752" t="s">
        <v>102</v>
      </c>
      <c r="BS752" t="s">
        <v>14104</v>
      </c>
      <c r="BT752" t="str">
        <f>HYPERLINK("https%3A%2F%2Fwww.webofscience.com%2Fwos%2Fwoscc%2Ffull-record%2FWOS:000821984800020","View Full Record in Web of Science")</f>
        <v>View Full Record in Web of Science</v>
      </c>
    </row>
    <row r="753" spans="1:72" x14ac:dyDescent="0.2">
      <c r="A753" t="s">
        <v>72</v>
      </c>
      <c r="B753" t="s">
        <v>14105</v>
      </c>
      <c r="C753" t="s">
        <v>74</v>
      </c>
      <c r="D753" t="s">
        <v>74</v>
      </c>
      <c r="E753" t="s">
        <v>74</v>
      </c>
      <c r="F753" t="s">
        <v>14106</v>
      </c>
      <c r="G753" t="s">
        <v>74</v>
      </c>
      <c r="H753" t="s">
        <v>74</v>
      </c>
      <c r="I753" t="s">
        <v>14107</v>
      </c>
      <c r="J753" t="s">
        <v>14108</v>
      </c>
      <c r="K753" t="s">
        <v>74</v>
      </c>
      <c r="L753" t="s">
        <v>74</v>
      </c>
      <c r="M753" t="s">
        <v>78</v>
      </c>
      <c r="N753" t="s">
        <v>108</v>
      </c>
      <c r="O753" t="s">
        <v>74</v>
      </c>
      <c r="P753" t="s">
        <v>74</v>
      </c>
      <c r="Q753" t="s">
        <v>74</v>
      </c>
      <c r="R753" t="s">
        <v>74</v>
      </c>
      <c r="S753" t="s">
        <v>74</v>
      </c>
      <c r="T753" t="s">
        <v>14109</v>
      </c>
      <c r="U753" t="s">
        <v>74</v>
      </c>
      <c r="V753" t="s">
        <v>14110</v>
      </c>
      <c r="W753" t="s">
        <v>14111</v>
      </c>
      <c r="X753" t="s">
        <v>14112</v>
      </c>
      <c r="Y753" t="s">
        <v>14113</v>
      </c>
      <c r="Z753" t="s">
        <v>14114</v>
      </c>
      <c r="AA753" t="s">
        <v>14115</v>
      </c>
      <c r="AB753" t="s">
        <v>14116</v>
      </c>
      <c r="AC753" t="s">
        <v>74</v>
      </c>
      <c r="AD753" t="s">
        <v>74</v>
      </c>
      <c r="AE753" t="s">
        <v>74</v>
      </c>
      <c r="AF753" t="s">
        <v>74</v>
      </c>
      <c r="AG753">
        <v>66</v>
      </c>
      <c r="AH753">
        <v>28</v>
      </c>
      <c r="AI753">
        <v>28</v>
      </c>
      <c r="AJ753">
        <v>5</v>
      </c>
      <c r="AK753">
        <v>31</v>
      </c>
      <c r="AL753" t="s">
        <v>209</v>
      </c>
      <c r="AM753" t="s">
        <v>210</v>
      </c>
      <c r="AN753" t="s">
        <v>211</v>
      </c>
      <c r="AO753" t="s">
        <v>14117</v>
      </c>
      <c r="AP753" t="s">
        <v>14118</v>
      </c>
      <c r="AQ753" t="s">
        <v>74</v>
      </c>
      <c r="AR753" t="s">
        <v>14119</v>
      </c>
      <c r="AS753" t="s">
        <v>14120</v>
      </c>
      <c r="AT753" t="s">
        <v>216</v>
      </c>
      <c r="AU753">
        <v>2020</v>
      </c>
      <c r="AV753">
        <v>20</v>
      </c>
      <c r="AW753" t="s">
        <v>74</v>
      </c>
      <c r="AX753" t="s">
        <v>74</v>
      </c>
      <c r="AY753" t="s">
        <v>74</v>
      </c>
      <c r="AZ753" t="s">
        <v>74</v>
      </c>
      <c r="BA753" t="s">
        <v>74</v>
      </c>
      <c r="BB753" t="s">
        <v>74</v>
      </c>
      <c r="BC753" t="s">
        <v>74</v>
      </c>
      <c r="BD753">
        <v>100177</v>
      </c>
      <c r="BE753" t="s">
        <v>14121</v>
      </c>
      <c r="BF753" t="str">
        <f>HYPERLINK("http://dx.doi.org/10.1016/j.jii.2020.100177","http://dx.doi.org/10.1016/j.jii.2020.100177")</f>
        <v>http://dx.doi.org/10.1016/j.jii.2020.100177</v>
      </c>
      <c r="BG753" t="s">
        <v>74</v>
      </c>
      <c r="BH753" t="s">
        <v>74</v>
      </c>
      <c r="BI753">
        <v>9</v>
      </c>
      <c r="BJ753" t="s">
        <v>550</v>
      </c>
      <c r="BK753" t="s">
        <v>147</v>
      </c>
      <c r="BL753" t="s">
        <v>269</v>
      </c>
      <c r="BM753" t="s">
        <v>14122</v>
      </c>
      <c r="BN753" t="s">
        <v>74</v>
      </c>
      <c r="BO753" t="s">
        <v>74</v>
      </c>
      <c r="BP753" t="s">
        <v>74</v>
      </c>
      <c r="BQ753" t="s">
        <v>74</v>
      </c>
      <c r="BR753" t="s">
        <v>102</v>
      </c>
      <c r="BS753" t="s">
        <v>14123</v>
      </c>
      <c r="BT753" t="str">
        <f>HYPERLINK("https%3A%2F%2Fwww.webofscience.com%2Fwos%2Fwoscc%2Ffull-record%2FWOS:000595313300003","View Full Record in Web of Science")</f>
        <v>View Full Record in Web of Science</v>
      </c>
    </row>
    <row r="754" spans="1:72" x14ac:dyDescent="0.2">
      <c r="A754" t="s">
        <v>72</v>
      </c>
      <c r="B754" t="s">
        <v>14124</v>
      </c>
      <c r="C754" t="s">
        <v>74</v>
      </c>
      <c r="D754" t="s">
        <v>74</v>
      </c>
      <c r="E754" t="s">
        <v>74</v>
      </c>
      <c r="F754" t="s">
        <v>14124</v>
      </c>
      <c r="G754" t="s">
        <v>74</v>
      </c>
      <c r="H754" t="s">
        <v>74</v>
      </c>
      <c r="I754" t="s">
        <v>14125</v>
      </c>
      <c r="J754" t="s">
        <v>2491</v>
      </c>
      <c r="K754" t="s">
        <v>74</v>
      </c>
      <c r="L754" t="s">
        <v>74</v>
      </c>
      <c r="M754" t="s">
        <v>78</v>
      </c>
      <c r="N754" t="s">
        <v>108</v>
      </c>
      <c r="O754" t="s">
        <v>74</v>
      </c>
      <c r="P754" t="s">
        <v>74</v>
      </c>
      <c r="Q754" t="s">
        <v>74</v>
      </c>
      <c r="R754" t="s">
        <v>74</v>
      </c>
      <c r="S754" t="s">
        <v>74</v>
      </c>
      <c r="T754" t="s">
        <v>14126</v>
      </c>
      <c r="U754" t="s">
        <v>74</v>
      </c>
      <c r="V754" t="s">
        <v>14127</v>
      </c>
      <c r="W754" t="s">
        <v>14128</v>
      </c>
      <c r="X754" t="s">
        <v>14129</v>
      </c>
      <c r="Y754" t="s">
        <v>14130</v>
      </c>
      <c r="Z754" t="s">
        <v>74</v>
      </c>
      <c r="AA754" t="s">
        <v>14131</v>
      </c>
      <c r="AB754" t="s">
        <v>14132</v>
      </c>
      <c r="AC754" t="s">
        <v>74</v>
      </c>
      <c r="AD754" t="s">
        <v>74</v>
      </c>
      <c r="AE754" t="s">
        <v>74</v>
      </c>
      <c r="AF754" t="s">
        <v>74</v>
      </c>
      <c r="AG754">
        <v>26</v>
      </c>
      <c r="AH754">
        <v>32</v>
      </c>
      <c r="AI754">
        <v>33</v>
      </c>
      <c r="AJ754">
        <v>1</v>
      </c>
      <c r="AK754">
        <v>12</v>
      </c>
      <c r="AL754" t="s">
        <v>347</v>
      </c>
      <c r="AM754" t="s">
        <v>348</v>
      </c>
      <c r="AN754" t="s">
        <v>14133</v>
      </c>
      <c r="AO754" t="s">
        <v>2499</v>
      </c>
      <c r="AP754" t="s">
        <v>74</v>
      </c>
      <c r="AQ754" t="s">
        <v>74</v>
      </c>
      <c r="AR754" t="s">
        <v>2501</v>
      </c>
      <c r="AS754" t="s">
        <v>2502</v>
      </c>
      <c r="AT754" t="s">
        <v>5137</v>
      </c>
      <c r="AU754">
        <v>2000</v>
      </c>
      <c r="AV754">
        <v>127</v>
      </c>
      <c r="AW754" t="s">
        <v>1459</v>
      </c>
      <c r="AX754" t="s">
        <v>74</v>
      </c>
      <c r="AY754" t="s">
        <v>74</v>
      </c>
      <c r="AZ754" t="s">
        <v>74</v>
      </c>
      <c r="BA754" t="s">
        <v>74</v>
      </c>
      <c r="BB754">
        <v>3</v>
      </c>
      <c r="BC754">
        <v>21</v>
      </c>
      <c r="BD754" t="s">
        <v>74</v>
      </c>
      <c r="BE754" t="s">
        <v>14134</v>
      </c>
      <c r="BF754" t="str">
        <f>HYPERLINK("http://dx.doi.org/10.1016/S0020-0255(00)00026-8","http://dx.doi.org/10.1016/S0020-0255(00)00026-8")</f>
        <v>http://dx.doi.org/10.1016/S0020-0255(00)00026-8</v>
      </c>
      <c r="BG754" t="s">
        <v>74</v>
      </c>
      <c r="BH754" t="s">
        <v>74</v>
      </c>
      <c r="BI754">
        <v>19</v>
      </c>
      <c r="BJ754" t="s">
        <v>123</v>
      </c>
      <c r="BK754" t="s">
        <v>98</v>
      </c>
      <c r="BL754" t="s">
        <v>99</v>
      </c>
      <c r="BM754" t="s">
        <v>14135</v>
      </c>
      <c r="BN754" t="s">
        <v>74</v>
      </c>
      <c r="BO754" t="s">
        <v>74</v>
      </c>
      <c r="BP754" t="s">
        <v>74</v>
      </c>
      <c r="BQ754" t="s">
        <v>74</v>
      </c>
      <c r="BR754" t="s">
        <v>102</v>
      </c>
      <c r="BS754" t="s">
        <v>14136</v>
      </c>
      <c r="BT754" t="str">
        <f>HYPERLINK("https%3A%2F%2Fwww.webofscience.com%2Fwos%2Fwoscc%2Ffull-record%2FWOS:000088779400002","View Full Record in Web of Science")</f>
        <v>View Full Record in Web of Science</v>
      </c>
    </row>
    <row r="755" spans="1:72" x14ac:dyDescent="0.2">
      <c r="A755" t="s">
        <v>72</v>
      </c>
      <c r="B755" t="s">
        <v>14137</v>
      </c>
      <c r="C755" t="s">
        <v>74</v>
      </c>
      <c r="D755" t="s">
        <v>74</v>
      </c>
      <c r="E755" t="s">
        <v>74</v>
      </c>
      <c r="F755" t="s">
        <v>14138</v>
      </c>
      <c r="G755" t="s">
        <v>74</v>
      </c>
      <c r="H755" t="s">
        <v>74</v>
      </c>
      <c r="I755" t="s">
        <v>14139</v>
      </c>
      <c r="J755" t="s">
        <v>337</v>
      </c>
      <c r="K755" t="s">
        <v>74</v>
      </c>
      <c r="L755" t="s">
        <v>74</v>
      </c>
      <c r="M755" t="s">
        <v>78</v>
      </c>
      <c r="N755" t="s">
        <v>108</v>
      </c>
      <c r="O755" t="s">
        <v>74</v>
      </c>
      <c r="P755" t="s">
        <v>74</v>
      </c>
      <c r="Q755" t="s">
        <v>74</v>
      </c>
      <c r="R755" t="s">
        <v>74</v>
      </c>
      <c r="S755" t="s">
        <v>74</v>
      </c>
      <c r="T755" t="s">
        <v>14140</v>
      </c>
      <c r="U755" t="s">
        <v>14141</v>
      </c>
      <c r="V755" t="s">
        <v>14142</v>
      </c>
      <c r="W755" t="s">
        <v>14143</v>
      </c>
      <c r="X755" t="s">
        <v>14144</v>
      </c>
      <c r="Y755" t="s">
        <v>14145</v>
      </c>
      <c r="Z755" t="s">
        <v>14146</v>
      </c>
      <c r="AA755" t="s">
        <v>14147</v>
      </c>
      <c r="AB755" t="s">
        <v>14148</v>
      </c>
      <c r="AC755" t="s">
        <v>74</v>
      </c>
      <c r="AD755" t="s">
        <v>74</v>
      </c>
      <c r="AE755" t="s">
        <v>74</v>
      </c>
      <c r="AF755" t="s">
        <v>74</v>
      </c>
      <c r="AG755">
        <v>27</v>
      </c>
      <c r="AH755">
        <v>35</v>
      </c>
      <c r="AI755">
        <v>36</v>
      </c>
      <c r="AJ755">
        <v>2</v>
      </c>
      <c r="AK755">
        <v>43</v>
      </c>
      <c r="AL755" t="s">
        <v>347</v>
      </c>
      <c r="AM755" t="s">
        <v>348</v>
      </c>
      <c r="AN755" t="s">
        <v>349</v>
      </c>
      <c r="AO755" t="s">
        <v>350</v>
      </c>
      <c r="AP755" t="s">
        <v>351</v>
      </c>
      <c r="AQ755" t="s">
        <v>74</v>
      </c>
      <c r="AR755" t="s">
        <v>352</v>
      </c>
      <c r="AS755" t="s">
        <v>353</v>
      </c>
      <c r="AT755" t="s">
        <v>174</v>
      </c>
      <c r="AU755">
        <v>2009</v>
      </c>
      <c r="AV755">
        <v>76</v>
      </c>
      <c r="AW755">
        <v>8</v>
      </c>
      <c r="AX755" t="s">
        <v>74</v>
      </c>
      <c r="AY755" t="s">
        <v>74</v>
      </c>
      <c r="AZ755" t="s">
        <v>74</v>
      </c>
      <c r="BA755" t="s">
        <v>74</v>
      </c>
      <c r="BB755">
        <v>1092</v>
      </c>
      <c r="BC755">
        <v>1104</v>
      </c>
      <c r="BD755" t="s">
        <v>74</v>
      </c>
      <c r="BE755" t="s">
        <v>14149</v>
      </c>
      <c r="BF755" t="str">
        <f>HYPERLINK("http://dx.doi.org/10.1016/j.techfore.2009.03.006","http://dx.doi.org/10.1016/j.techfore.2009.03.006")</f>
        <v>http://dx.doi.org/10.1016/j.techfore.2009.03.006</v>
      </c>
      <c r="BG755" t="s">
        <v>74</v>
      </c>
      <c r="BH755" t="s">
        <v>74</v>
      </c>
      <c r="BI755">
        <v>13</v>
      </c>
      <c r="BJ755" t="s">
        <v>356</v>
      </c>
      <c r="BK755" t="s">
        <v>242</v>
      </c>
      <c r="BL755" t="s">
        <v>357</v>
      </c>
      <c r="BM755" t="s">
        <v>14150</v>
      </c>
      <c r="BN755" t="s">
        <v>74</v>
      </c>
      <c r="BO755" t="s">
        <v>74</v>
      </c>
      <c r="BP755" t="s">
        <v>74</v>
      </c>
      <c r="BQ755" t="s">
        <v>74</v>
      </c>
      <c r="BR755" t="s">
        <v>102</v>
      </c>
      <c r="BS755" t="s">
        <v>14151</v>
      </c>
      <c r="BT755" t="str">
        <f>HYPERLINK("https%3A%2F%2Fwww.webofscience.com%2Fwos%2Fwoscc%2Ffull-record%2FWOS:000270344000007","View Full Record in Web of Science")</f>
        <v>View Full Record in Web of Science</v>
      </c>
    </row>
    <row r="756" spans="1:72" x14ac:dyDescent="0.2">
      <c r="A756" t="s">
        <v>72</v>
      </c>
      <c r="B756" t="s">
        <v>14152</v>
      </c>
      <c r="C756" t="s">
        <v>74</v>
      </c>
      <c r="D756" t="s">
        <v>74</v>
      </c>
      <c r="E756" t="s">
        <v>74</v>
      </c>
      <c r="F756" t="s">
        <v>14153</v>
      </c>
      <c r="G756" t="s">
        <v>74</v>
      </c>
      <c r="H756" t="s">
        <v>74</v>
      </c>
      <c r="I756" t="s">
        <v>14154</v>
      </c>
      <c r="J756" t="s">
        <v>762</v>
      </c>
      <c r="K756" t="s">
        <v>74</v>
      </c>
      <c r="L756" t="s">
        <v>74</v>
      </c>
      <c r="M756" t="s">
        <v>78</v>
      </c>
      <c r="N756" t="s">
        <v>482</v>
      </c>
      <c r="O756" t="s">
        <v>14155</v>
      </c>
      <c r="P756" t="s">
        <v>14156</v>
      </c>
      <c r="Q756" t="s">
        <v>14157</v>
      </c>
      <c r="R756" t="s">
        <v>14158</v>
      </c>
      <c r="S756" t="s">
        <v>74</v>
      </c>
      <c r="T756" t="s">
        <v>14159</v>
      </c>
      <c r="U756" t="s">
        <v>74</v>
      </c>
      <c r="V756" t="s">
        <v>14160</v>
      </c>
      <c r="W756" t="s">
        <v>14161</v>
      </c>
      <c r="X756" t="s">
        <v>14162</v>
      </c>
      <c r="Y756" t="s">
        <v>14163</v>
      </c>
      <c r="Z756" t="s">
        <v>14164</v>
      </c>
      <c r="AA756" t="s">
        <v>74</v>
      </c>
      <c r="AB756" t="s">
        <v>74</v>
      </c>
      <c r="AC756" t="s">
        <v>74</v>
      </c>
      <c r="AD756" t="s">
        <v>74</v>
      </c>
      <c r="AE756" t="s">
        <v>74</v>
      </c>
      <c r="AF756" t="s">
        <v>74</v>
      </c>
      <c r="AG756">
        <v>31</v>
      </c>
      <c r="AH756">
        <v>2</v>
      </c>
      <c r="AI756">
        <v>2</v>
      </c>
      <c r="AJ756">
        <v>0</v>
      </c>
      <c r="AK756">
        <v>5</v>
      </c>
      <c r="AL756" t="s">
        <v>279</v>
      </c>
      <c r="AM756" t="s">
        <v>280</v>
      </c>
      <c r="AN756" t="s">
        <v>281</v>
      </c>
      <c r="AO756" t="s">
        <v>773</v>
      </c>
      <c r="AP756" t="s">
        <v>774</v>
      </c>
      <c r="AQ756" t="s">
        <v>74</v>
      </c>
      <c r="AR756" t="s">
        <v>775</v>
      </c>
      <c r="AS756" t="s">
        <v>776</v>
      </c>
      <c r="AT756" t="s">
        <v>74</v>
      </c>
      <c r="AU756">
        <v>2008</v>
      </c>
      <c r="AV756">
        <v>46</v>
      </c>
      <c r="AW756">
        <v>9</v>
      </c>
      <c r="AX756" t="s">
        <v>74</v>
      </c>
      <c r="AY756" t="s">
        <v>74</v>
      </c>
      <c r="AZ756" t="s">
        <v>74</v>
      </c>
      <c r="BA756" t="s">
        <v>74</v>
      </c>
      <c r="BB756">
        <v>2531</v>
      </c>
      <c r="BC756">
        <v>2546</v>
      </c>
      <c r="BD756" t="s">
        <v>74</v>
      </c>
      <c r="BE756" t="s">
        <v>14165</v>
      </c>
      <c r="BF756" t="str">
        <f>HYPERLINK("http://dx.doi.org/10.1080/00207540701738128","http://dx.doi.org/10.1080/00207540701738128")</f>
        <v>http://dx.doi.org/10.1080/00207540701738128</v>
      </c>
      <c r="BG756" t="s">
        <v>74</v>
      </c>
      <c r="BH756" t="s">
        <v>74</v>
      </c>
      <c r="BI756">
        <v>16</v>
      </c>
      <c r="BJ756" t="s">
        <v>780</v>
      </c>
      <c r="BK756" t="s">
        <v>3093</v>
      </c>
      <c r="BL756" t="s">
        <v>781</v>
      </c>
      <c r="BM756" t="s">
        <v>14166</v>
      </c>
      <c r="BN756" t="s">
        <v>74</v>
      </c>
      <c r="BO756" t="s">
        <v>74</v>
      </c>
      <c r="BP756" t="s">
        <v>74</v>
      </c>
      <c r="BQ756" t="s">
        <v>74</v>
      </c>
      <c r="BR756" t="s">
        <v>102</v>
      </c>
      <c r="BS756" t="s">
        <v>14167</v>
      </c>
      <c r="BT756" t="str">
        <f>HYPERLINK("https%3A%2F%2Fwww.webofscience.com%2Fwos%2Fwoscc%2Ffull-record%2FWOS:000254069800014","View Full Record in Web of Science")</f>
        <v>View Full Record in Web of Science</v>
      </c>
    </row>
    <row r="757" spans="1:72" x14ac:dyDescent="0.2">
      <c r="A757" t="s">
        <v>72</v>
      </c>
      <c r="B757" t="s">
        <v>14168</v>
      </c>
      <c r="C757" t="s">
        <v>74</v>
      </c>
      <c r="D757" t="s">
        <v>74</v>
      </c>
      <c r="E757" t="s">
        <v>74</v>
      </c>
      <c r="F757" t="s">
        <v>14169</v>
      </c>
      <c r="G757" t="s">
        <v>74</v>
      </c>
      <c r="H757" t="s">
        <v>74</v>
      </c>
      <c r="I757" t="s">
        <v>14170</v>
      </c>
      <c r="J757" t="s">
        <v>2700</v>
      </c>
      <c r="K757" t="s">
        <v>74</v>
      </c>
      <c r="L757" t="s">
        <v>74</v>
      </c>
      <c r="M757" t="s">
        <v>78</v>
      </c>
      <c r="N757" t="s">
        <v>108</v>
      </c>
      <c r="O757" t="s">
        <v>74</v>
      </c>
      <c r="P757" t="s">
        <v>74</v>
      </c>
      <c r="Q757" t="s">
        <v>74</v>
      </c>
      <c r="R757" t="s">
        <v>74</v>
      </c>
      <c r="S757" t="s">
        <v>74</v>
      </c>
      <c r="T757" t="s">
        <v>14171</v>
      </c>
      <c r="U757" t="s">
        <v>14172</v>
      </c>
      <c r="V757" t="s">
        <v>14173</v>
      </c>
      <c r="W757" t="s">
        <v>14174</v>
      </c>
      <c r="X757" t="s">
        <v>14175</v>
      </c>
      <c r="Y757" t="s">
        <v>14176</v>
      </c>
      <c r="Z757" t="s">
        <v>14177</v>
      </c>
      <c r="AA757" t="s">
        <v>14178</v>
      </c>
      <c r="AB757" t="s">
        <v>14179</v>
      </c>
      <c r="AC757" t="s">
        <v>74</v>
      </c>
      <c r="AD757" t="s">
        <v>74</v>
      </c>
      <c r="AE757" t="s">
        <v>74</v>
      </c>
      <c r="AF757" t="s">
        <v>74</v>
      </c>
      <c r="AG757">
        <v>66</v>
      </c>
      <c r="AH757">
        <v>0</v>
      </c>
      <c r="AI757">
        <v>0</v>
      </c>
      <c r="AJ757">
        <v>1</v>
      </c>
      <c r="AK757">
        <v>4</v>
      </c>
      <c r="AL757" t="s">
        <v>347</v>
      </c>
      <c r="AM757" t="s">
        <v>348</v>
      </c>
      <c r="AN757" t="s">
        <v>349</v>
      </c>
      <c r="AO757" t="s">
        <v>2710</v>
      </c>
      <c r="AP757" t="s">
        <v>2711</v>
      </c>
      <c r="AQ757" t="s">
        <v>74</v>
      </c>
      <c r="AR757" t="s">
        <v>2712</v>
      </c>
      <c r="AS757" t="s">
        <v>2713</v>
      </c>
      <c r="AT757" t="s">
        <v>239</v>
      </c>
      <c r="AU757">
        <v>2022</v>
      </c>
      <c r="AV757">
        <v>82</v>
      </c>
      <c r="AW757" t="s">
        <v>74</v>
      </c>
      <c r="AX757" t="s">
        <v>2738</v>
      </c>
      <c r="AY757" t="s">
        <v>74</v>
      </c>
      <c r="AZ757" t="s">
        <v>74</v>
      </c>
      <c r="BA757" t="s">
        <v>74</v>
      </c>
      <c r="BB757" t="s">
        <v>74</v>
      </c>
      <c r="BC757" t="s">
        <v>74</v>
      </c>
      <c r="BD757">
        <v>101169</v>
      </c>
      <c r="BE757" t="s">
        <v>14180</v>
      </c>
      <c r="BF757" t="str">
        <f>HYPERLINK("http://dx.doi.org/10.1016/j.seps.2021.101169","http://dx.doi.org/10.1016/j.seps.2021.101169")</f>
        <v>http://dx.doi.org/10.1016/j.seps.2021.101169</v>
      </c>
      <c r="BG757" t="s">
        <v>74</v>
      </c>
      <c r="BH757" t="s">
        <v>867</v>
      </c>
      <c r="BI757">
        <v>10</v>
      </c>
      <c r="BJ757" t="s">
        <v>2715</v>
      </c>
      <c r="BK757" t="s">
        <v>147</v>
      </c>
      <c r="BL757" t="s">
        <v>525</v>
      </c>
      <c r="BM757" t="s">
        <v>14181</v>
      </c>
      <c r="BN757" t="s">
        <v>74</v>
      </c>
      <c r="BO757" t="s">
        <v>702</v>
      </c>
      <c r="BP757" t="s">
        <v>74</v>
      </c>
      <c r="BQ757" t="s">
        <v>74</v>
      </c>
      <c r="BR757" t="s">
        <v>102</v>
      </c>
      <c r="BS757" t="s">
        <v>14182</v>
      </c>
      <c r="BT757" t="str">
        <f>HYPERLINK("https%3A%2F%2Fwww.webofscience.com%2Fwos%2Fwoscc%2Ffull-record%2FWOS:000833547600002","View Full Record in Web of Science")</f>
        <v>View Full Record in Web of Science</v>
      </c>
    </row>
    <row r="758" spans="1:72" x14ac:dyDescent="0.2">
      <c r="A758" t="s">
        <v>72</v>
      </c>
      <c r="B758" t="s">
        <v>14183</v>
      </c>
      <c r="C758" t="s">
        <v>74</v>
      </c>
      <c r="D758" t="s">
        <v>74</v>
      </c>
      <c r="E758" t="s">
        <v>74</v>
      </c>
      <c r="F758" t="s">
        <v>14184</v>
      </c>
      <c r="G758" t="s">
        <v>74</v>
      </c>
      <c r="H758" t="s">
        <v>74</v>
      </c>
      <c r="I758" t="s">
        <v>14185</v>
      </c>
      <c r="J758" t="s">
        <v>6228</v>
      </c>
      <c r="K758" t="s">
        <v>74</v>
      </c>
      <c r="L758" t="s">
        <v>74</v>
      </c>
      <c r="M758" t="s">
        <v>78</v>
      </c>
      <c r="N758" t="s">
        <v>108</v>
      </c>
      <c r="O758" t="s">
        <v>74</v>
      </c>
      <c r="P758" t="s">
        <v>74</v>
      </c>
      <c r="Q758" t="s">
        <v>74</v>
      </c>
      <c r="R758" t="s">
        <v>74</v>
      </c>
      <c r="S758" t="s">
        <v>74</v>
      </c>
      <c r="T758" t="s">
        <v>14186</v>
      </c>
      <c r="U758" t="s">
        <v>14187</v>
      </c>
      <c r="V758" t="s">
        <v>14188</v>
      </c>
      <c r="W758" t="s">
        <v>14189</v>
      </c>
      <c r="X758" t="s">
        <v>14190</v>
      </c>
      <c r="Y758" t="s">
        <v>14191</v>
      </c>
      <c r="Z758" t="s">
        <v>14192</v>
      </c>
      <c r="AA758" t="s">
        <v>14193</v>
      </c>
      <c r="AB758" t="s">
        <v>14194</v>
      </c>
      <c r="AC758" t="s">
        <v>14195</v>
      </c>
      <c r="AD758" t="s">
        <v>14196</v>
      </c>
      <c r="AE758" t="s">
        <v>14197</v>
      </c>
      <c r="AF758" t="s">
        <v>74</v>
      </c>
      <c r="AG758">
        <v>45</v>
      </c>
      <c r="AH758">
        <v>0</v>
      </c>
      <c r="AI758">
        <v>0</v>
      </c>
      <c r="AJ758">
        <v>9</v>
      </c>
      <c r="AK758">
        <v>10</v>
      </c>
      <c r="AL758" t="s">
        <v>209</v>
      </c>
      <c r="AM758" t="s">
        <v>210</v>
      </c>
      <c r="AN758" t="s">
        <v>211</v>
      </c>
      <c r="AO758" t="s">
        <v>6239</v>
      </c>
      <c r="AP758" t="s">
        <v>6240</v>
      </c>
      <c r="AQ758" t="s">
        <v>74</v>
      </c>
      <c r="AR758" t="s">
        <v>6241</v>
      </c>
      <c r="AS758" t="s">
        <v>6242</v>
      </c>
      <c r="AT758" t="s">
        <v>416</v>
      </c>
      <c r="AU758">
        <v>2022</v>
      </c>
      <c r="AV758">
        <v>182</v>
      </c>
      <c r="AW758" t="s">
        <v>74</v>
      </c>
      <c r="AX758" t="s">
        <v>74</v>
      </c>
      <c r="AY758" t="s">
        <v>74</v>
      </c>
      <c r="AZ758" t="s">
        <v>74</v>
      </c>
      <c r="BA758" t="s">
        <v>74</v>
      </c>
      <c r="BB758">
        <v>172</v>
      </c>
      <c r="BC758">
        <v>181</v>
      </c>
      <c r="BD758" t="s">
        <v>74</v>
      </c>
      <c r="BE758" t="s">
        <v>14198</v>
      </c>
      <c r="BF758" t="str">
        <f>HYPERLINK("http://dx.doi.org/10.1016/j.cherd.2022.03.038","http://dx.doi.org/10.1016/j.cherd.2022.03.038")</f>
        <v>http://dx.doi.org/10.1016/j.cherd.2022.03.038</v>
      </c>
      <c r="BG758" t="s">
        <v>74</v>
      </c>
      <c r="BH758" t="s">
        <v>1099</v>
      </c>
      <c r="BI758">
        <v>10</v>
      </c>
      <c r="BJ758" t="s">
        <v>1291</v>
      </c>
      <c r="BK758" t="s">
        <v>98</v>
      </c>
      <c r="BL758" t="s">
        <v>1292</v>
      </c>
      <c r="BM758" t="s">
        <v>14199</v>
      </c>
      <c r="BN758" t="s">
        <v>74</v>
      </c>
      <c r="BO758" t="s">
        <v>74</v>
      </c>
      <c r="BP758" t="s">
        <v>74</v>
      </c>
      <c r="BQ758" t="s">
        <v>74</v>
      </c>
      <c r="BR758" t="s">
        <v>102</v>
      </c>
      <c r="BS758" t="s">
        <v>14200</v>
      </c>
      <c r="BT758" t="str">
        <f>HYPERLINK("https%3A%2F%2Fwww.webofscience.com%2Fwos%2Fwoscc%2Ffull-record%2FWOS:000793519800002","View Full Record in Web of Science")</f>
        <v>View Full Record in Web of Science</v>
      </c>
    </row>
    <row r="759" spans="1:72" x14ac:dyDescent="0.2">
      <c r="A759" t="s">
        <v>72</v>
      </c>
      <c r="B759" t="s">
        <v>14201</v>
      </c>
      <c r="C759" t="s">
        <v>74</v>
      </c>
      <c r="D759" t="s">
        <v>74</v>
      </c>
      <c r="E759" t="s">
        <v>74</v>
      </c>
      <c r="F759" t="s">
        <v>14202</v>
      </c>
      <c r="G759" t="s">
        <v>74</v>
      </c>
      <c r="H759" t="s">
        <v>74</v>
      </c>
      <c r="I759" t="s">
        <v>14203</v>
      </c>
      <c r="J759" t="s">
        <v>4945</v>
      </c>
      <c r="K759" t="s">
        <v>74</v>
      </c>
      <c r="L759" t="s">
        <v>74</v>
      </c>
      <c r="M759" t="s">
        <v>78</v>
      </c>
      <c r="N759" t="s">
        <v>108</v>
      </c>
      <c r="O759" t="s">
        <v>74</v>
      </c>
      <c r="P759" t="s">
        <v>74</v>
      </c>
      <c r="Q759" t="s">
        <v>74</v>
      </c>
      <c r="R759" t="s">
        <v>74</v>
      </c>
      <c r="S759" t="s">
        <v>74</v>
      </c>
      <c r="T759" t="s">
        <v>14204</v>
      </c>
      <c r="U759" t="s">
        <v>14205</v>
      </c>
      <c r="V759" t="s">
        <v>14206</v>
      </c>
      <c r="W759" t="s">
        <v>14207</v>
      </c>
      <c r="X759" t="s">
        <v>4950</v>
      </c>
      <c r="Y759" t="s">
        <v>14208</v>
      </c>
      <c r="Z759" t="s">
        <v>14209</v>
      </c>
      <c r="AA759" t="s">
        <v>14210</v>
      </c>
      <c r="AB759" t="s">
        <v>74</v>
      </c>
      <c r="AC759" t="s">
        <v>74</v>
      </c>
      <c r="AD759" t="s">
        <v>74</v>
      </c>
      <c r="AE759" t="s">
        <v>74</v>
      </c>
      <c r="AF759" t="s">
        <v>74</v>
      </c>
      <c r="AG759">
        <v>78</v>
      </c>
      <c r="AH759">
        <v>0</v>
      </c>
      <c r="AI759">
        <v>0</v>
      </c>
      <c r="AJ759">
        <v>2</v>
      </c>
      <c r="AK759">
        <v>10</v>
      </c>
      <c r="AL759" t="s">
        <v>279</v>
      </c>
      <c r="AM759" t="s">
        <v>280</v>
      </c>
      <c r="AN759" t="s">
        <v>281</v>
      </c>
      <c r="AO759" t="s">
        <v>4955</v>
      </c>
      <c r="AP759" t="s">
        <v>4956</v>
      </c>
      <c r="AQ759" t="s">
        <v>74</v>
      </c>
      <c r="AR759" t="s">
        <v>4957</v>
      </c>
      <c r="AS759" t="s">
        <v>4958</v>
      </c>
      <c r="AT759" t="s">
        <v>1213</v>
      </c>
      <c r="AU759">
        <v>2023</v>
      </c>
      <c r="AV759">
        <v>18</v>
      </c>
      <c r="AW759">
        <v>3</v>
      </c>
      <c r="AX759" t="s">
        <v>74</v>
      </c>
      <c r="AY759" t="s">
        <v>74</v>
      </c>
      <c r="AZ759" t="s">
        <v>74</v>
      </c>
      <c r="BA759" t="s">
        <v>74</v>
      </c>
      <c r="BB759">
        <v>225</v>
      </c>
      <c r="BC759">
        <v>235</v>
      </c>
      <c r="BD759" t="s">
        <v>74</v>
      </c>
      <c r="BE759" t="s">
        <v>14211</v>
      </c>
      <c r="BF759" t="str">
        <f>HYPERLINK("http://dx.doi.org/10.1080/17509653.2022.2116733","http://dx.doi.org/10.1080/17509653.2022.2116733")</f>
        <v>http://dx.doi.org/10.1080/17509653.2022.2116733</v>
      </c>
      <c r="BG759" t="s">
        <v>74</v>
      </c>
      <c r="BH759" t="s">
        <v>572</v>
      </c>
      <c r="BI759">
        <v>11</v>
      </c>
      <c r="BJ759" t="s">
        <v>330</v>
      </c>
      <c r="BK759" t="s">
        <v>124</v>
      </c>
      <c r="BL759" t="s">
        <v>330</v>
      </c>
      <c r="BM759" t="s">
        <v>14212</v>
      </c>
      <c r="BN759" t="s">
        <v>74</v>
      </c>
      <c r="BO759" t="s">
        <v>74</v>
      </c>
      <c r="BP759" t="s">
        <v>74</v>
      </c>
      <c r="BQ759" t="s">
        <v>74</v>
      </c>
      <c r="BR759" t="s">
        <v>102</v>
      </c>
      <c r="BS759" t="s">
        <v>14213</v>
      </c>
      <c r="BT759" t="str">
        <f>HYPERLINK("https%3A%2F%2Fwww.webofscience.com%2Fwos%2Fwoscc%2Ffull-record%2FWOS:000846812000001","View Full Record in Web of Science")</f>
        <v>View Full Record in Web of Science</v>
      </c>
    </row>
    <row r="760" spans="1:72" x14ac:dyDescent="0.2">
      <c r="A760" t="s">
        <v>72</v>
      </c>
      <c r="B760" t="s">
        <v>14214</v>
      </c>
      <c r="C760" t="s">
        <v>74</v>
      </c>
      <c r="D760" t="s">
        <v>74</v>
      </c>
      <c r="E760" t="s">
        <v>74</v>
      </c>
      <c r="F760" t="s">
        <v>14215</v>
      </c>
      <c r="G760" t="s">
        <v>74</v>
      </c>
      <c r="H760" t="s">
        <v>74</v>
      </c>
      <c r="I760" t="s">
        <v>14216</v>
      </c>
      <c r="J760" t="s">
        <v>7913</v>
      </c>
      <c r="K760" t="s">
        <v>74</v>
      </c>
      <c r="L760" t="s">
        <v>74</v>
      </c>
      <c r="M760" t="s">
        <v>78</v>
      </c>
      <c r="N760" t="s">
        <v>108</v>
      </c>
      <c r="O760" t="s">
        <v>74</v>
      </c>
      <c r="P760" t="s">
        <v>74</v>
      </c>
      <c r="Q760" t="s">
        <v>74</v>
      </c>
      <c r="R760" t="s">
        <v>74</v>
      </c>
      <c r="S760" t="s">
        <v>74</v>
      </c>
      <c r="T760" t="s">
        <v>14217</v>
      </c>
      <c r="U760" t="s">
        <v>2570</v>
      </c>
      <c r="V760" t="s">
        <v>14218</v>
      </c>
      <c r="W760" t="s">
        <v>14219</v>
      </c>
      <c r="X760" t="s">
        <v>11182</v>
      </c>
      <c r="Y760" t="s">
        <v>14220</v>
      </c>
      <c r="Z760" t="s">
        <v>14221</v>
      </c>
      <c r="AA760" t="s">
        <v>14222</v>
      </c>
      <c r="AB760" t="s">
        <v>14223</v>
      </c>
      <c r="AC760" t="s">
        <v>14224</v>
      </c>
      <c r="AD760" t="s">
        <v>14225</v>
      </c>
      <c r="AE760" t="s">
        <v>14226</v>
      </c>
      <c r="AF760" t="s">
        <v>74</v>
      </c>
      <c r="AG760">
        <v>36</v>
      </c>
      <c r="AH760">
        <v>12</v>
      </c>
      <c r="AI760">
        <v>13</v>
      </c>
      <c r="AJ760">
        <v>3</v>
      </c>
      <c r="AK760">
        <v>40</v>
      </c>
      <c r="AL760" t="s">
        <v>321</v>
      </c>
      <c r="AM760" t="s">
        <v>348</v>
      </c>
      <c r="AN760" t="s">
        <v>1454</v>
      </c>
      <c r="AO760" t="s">
        <v>7923</v>
      </c>
      <c r="AP760" t="s">
        <v>7924</v>
      </c>
      <c r="AQ760" t="s">
        <v>74</v>
      </c>
      <c r="AR760" t="s">
        <v>7925</v>
      </c>
      <c r="AS760" t="s">
        <v>7926</v>
      </c>
      <c r="AT760" t="s">
        <v>846</v>
      </c>
      <c r="AU760">
        <v>2021</v>
      </c>
      <c r="AV760">
        <v>23</v>
      </c>
      <c r="AW760">
        <v>4</v>
      </c>
      <c r="AX760" t="s">
        <v>74</v>
      </c>
      <c r="AY760" t="s">
        <v>74</v>
      </c>
      <c r="AZ760" t="s">
        <v>570</v>
      </c>
      <c r="BA760" t="s">
        <v>74</v>
      </c>
      <c r="BB760">
        <v>1215</v>
      </c>
      <c r="BC760">
        <v>1231</v>
      </c>
      <c r="BD760" t="s">
        <v>74</v>
      </c>
      <c r="BE760" t="s">
        <v>14227</v>
      </c>
      <c r="BF760" t="str">
        <f>HYPERLINK("http://dx.doi.org/10.1007/s10098-020-02000-z","http://dx.doi.org/10.1007/s10098-020-02000-z")</f>
        <v>http://dx.doi.org/10.1007/s10098-020-02000-z</v>
      </c>
      <c r="BG760" t="s">
        <v>74</v>
      </c>
      <c r="BH760" t="s">
        <v>1882</v>
      </c>
      <c r="BI760">
        <v>17</v>
      </c>
      <c r="BJ760" t="s">
        <v>995</v>
      </c>
      <c r="BK760" t="s">
        <v>147</v>
      </c>
      <c r="BL760" t="s">
        <v>996</v>
      </c>
      <c r="BM760" t="s">
        <v>14228</v>
      </c>
      <c r="BN760" t="s">
        <v>74</v>
      </c>
      <c r="BO760" t="s">
        <v>2335</v>
      </c>
      <c r="BP760" t="s">
        <v>74</v>
      </c>
      <c r="BQ760" t="s">
        <v>74</v>
      </c>
      <c r="BR760" t="s">
        <v>102</v>
      </c>
      <c r="BS760" t="s">
        <v>14229</v>
      </c>
      <c r="BT760" t="str">
        <f>HYPERLINK("https%3A%2F%2Fwww.webofscience.com%2Fwos%2Fwoscc%2Ffull-record%2FWOS:000599055100001","View Full Record in Web of Science")</f>
        <v>View Full Record in Web of Science</v>
      </c>
    </row>
    <row r="761" spans="1:72" x14ac:dyDescent="0.2">
      <c r="A761" t="s">
        <v>72</v>
      </c>
      <c r="B761" t="s">
        <v>14230</v>
      </c>
      <c r="C761" t="s">
        <v>74</v>
      </c>
      <c r="D761" t="s">
        <v>74</v>
      </c>
      <c r="E761" t="s">
        <v>74</v>
      </c>
      <c r="F761" t="s">
        <v>14231</v>
      </c>
      <c r="G761" t="s">
        <v>74</v>
      </c>
      <c r="H761" t="s">
        <v>74</v>
      </c>
      <c r="I761" t="s">
        <v>14232</v>
      </c>
      <c r="J761" t="s">
        <v>4172</v>
      </c>
      <c r="K761" t="s">
        <v>74</v>
      </c>
      <c r="L761" t="s">
        <v>74</v>
      </c>
      <c r="M761" t="s">
        <v>78</v>
      </c>
      <c r="N761" t="s">
        <v>108</v>
      </c>
      <c r="O761" t="s">
        <v>74</v>
      </c>
      <c r="P761" t="s">
        <v>74</v>
      </c>
      <c r="Q761" t="s">
        <v>74</v>
      </c>
      <c r="R761" t="s">
        <v>74</v>
      </c>
      <c r="S761" t="s">
        <v>74</v>
      </c>
      <c r="T761" t="s">
        <v>14233</v>
      </c>
      <c r="U761" t="s">
        <v>14234</v>
      </c>
      <c r="V761" t="s">
        <v>14235</v>
      </c>
      <c r="W761" t="s">
        <v>14236</v>
      </c>
      <c r="X761" t="s">
        <v>14237</v>
      </c>
      <c r="Y761" t="s">
        <v>14238</v>
      </c>
      <c r="Z761" t="s">
        <v>14239</v>
      </c>
      <c r="AA761" t="s">
        <v>14240</v>
      </c>
      <c r="AB761" t="s">
        <v>14241</v>
      </c>
      <c r="AC761" t="s">
        <v>74</v>
      </c>
      <c r="AD761" t="s">
        <v>74</v>
      </c>
      <c r="AE761" t="s">
        <v>74</v>
      </c>
      <c r="AF761" t="s">
        <v>74</v>
      </c>
      <c r="AG761">
        <v>76</v>
      </c>
      <c r="AH761">
        <v>17</v>
      </c>
      <c r="AI761">
        <v>19</v>
      </c>
      <c r="AJ761">
        <v>1</v>
      </c>
      <c r="AK761">
        <v>122</v>
      </c>
      <c r="AL761" t="s">
        <v>543</v>
      </c>
      <c r="AM761" t="s">
        <v>260</v>
      </c>
      <c r="AN761" t="s">
        <v>544</v>
      </c>
      <c r="AO761" t="s">
        <v>4180</v>
      </c>
      <c r="AP761" t="s">
        <v>4181</v>
      </c>
      <c r="AQ761" t="s">
        <v>74</v>
      </c>
      <c r="AR761" t="s">
        <v>4182</v>
      </c>
      <c r="AS761" t="s">
        <v>4183</v>
      </c>
      <c r="AT761" t="s">
        <v>174</v>
      </c>
      <c r="AU761">
        <v>2018</v>
      </c>
      <c r="AV761">
        <v>98</v>
      </c>
      <c r="AW761" t="s">
        <v>74</v>
      </c>
      <c r="AX761" t="s">
        <v>74</v>
      </c>
      <c r="AY761" t="s">
        <v>74</v>
      </c>
      <c r="AZ761" t="s">
        <v>74</v>
      </c>
      <c r="BA761" t="s">
        <v>74</v>
      </c>
      <c r="BB761">
        <v>343</v>
      </c>
      <c r="BC761">
        <v>354</v>
      </c>
      <c r="BD761" t="s">
        <v>74</v>
      </c>
      <c r="BE761" t="s">
        <v>14242</v>
      </c>
      <c r="BF761" t="str">
        <f>HYPERLINK("http://dx.doi.org/10.1016/j.cor.2017.08.009","http://dx.doi.org/10.1016/j.cor.2017.08.009")</f>
        <v>http://dx.doi.org/10.1016/j.cor.2017.08.009</v>
      </c>
      <c r="BG761" t="s">
        <v>74</v>
      </c>
      <c r="BH761" t="s">
        <v>74</v>
      </c>
      <c r="BI761">
        <v>12</v>
      </c>
      <c r="BJ761" t="s">
        <v>4185</v>
      </c>
      <c r="BK761" t="s">
        <v>147</v>
      </c>
      <c r="BL761" t="s">
        <v>2060</v>
      </c>
      <c r="BM761" t="s">
        <v>7261</v>
      </c>
      <c r="BN761" t="s">
        <v>74</v>
      </c>
      <c r="BO761" t="s">
        <v>2821</v>
      </c>
      <c r="BP761" t="s">
        <v>74</v>
      </c>
      <c r="BQ761" t="s">
        <v>74</v>
      </c>
      <c r="BR761" t="s">
        <v>102</v>
      </c>
      <c r="BS761" t="s">
        <v>14243</v>
      </c>
      <c r="BT761" t="str">
        <f>HYPERLINK("https%3A%2F%2Fwww.webofscience.com%2Fwos%2Fwoscc%2Ffull-record%2FWOS:000440526800027","View Full Record in Web of Science")</f>
        <v>View Full Record in Web of Science</v>
      </c>
    </row>
    <row r="762" spans="1:72" x14ac:dyDescent="0.2">
      <c r="A762" t="s">
        <v>72</v>
      </c>
      <c r="B762" t="s">
        <v>1708</v>
      </c>
      <c r="C762" t="s">
        <v>74</v>
      </c>
      <c r="D762" t="s">
        <v>74</v>
      </c>
      <c r="E762" t="s">
        <v>74</v>
      </c>
      <c r="F762" t="s">
        <v>1709</v>
      </c>
      <c r="G762" t="s">
        <v>74</v>
      </c>
      <c r="H762" t="s">
        <v>74</v>
      </c>
      <c r="I762" t="s">
        <v>14244</v>
      </c>
      <c r="J762" t="s">
        <v>762</v>
      </c>
      <c r="K762" t="s">
        <v>74</v>
      </c>
      <c r="L762" t="s">
        <v>74</v>
      </c>
      <c r="M762" t="s">
        <v>78</v>
      </c>
      <c r="N762" t="s">
        <v>108</v>
      </c>
      <c r="O762" t="s">
        <v>74</v>
      </c>
      <c r="P762" t="s">
        <v>74</v>
      </c>
      <c r="Q762" t="s">
        <v>74</v>
      </c>
      <c r="R762" t="s">
        <v>74</v>
      </c>
      <c r="S762" t="s">
        <v>74</v>
      </c>
      <c r="T762" t="s">
        <v>14245</v>
      </c>
      <c r="U762" t="s">
        <v>14246</v>
      </c>
      <c r="V762" t="s">
        <v>14247</v>
      </c>
      <c r="W762" t="s">
        <v>14248</v>
      </c>
      <c r="X762" t="s">
        <v>1715</v>
      </c>
      <c r="Y762" t="s">
        <v>1045</v>
      </c>
      <c r="Z762" t="s">
        <v>1046</v>
      </c>
      <c r="AA762" t="s">
        <v>74</v>
      </c>
      <c r="AB762" t="s">
        <v>74</v>
      </c>
      <c r="AC762" t="s">
        <v>74</v>
      </c>
      <c r="AD762" t="s">
        <v>74</v>
      </c>
      <c r="AE762" t="s">
        <v>74</v>
      </c>
      <c r="AF762" t="s">
        <v>74</v>
      </c>
      <c r="AG762">
        <v>82</v>
      </c>
      <c r="AH762">
        <v>6</v>
      </c>
      <c r="AI762">
        <v>6</v>
      </c>
      <c r="AJ762">
        <v>13</v>
      </c>
      <c r="AK762">
        <v>39</v>
      </c>
      <c r="AL762" t="s">
        <v>279</v>
      </c>
      <c r="AM762" t="s">
        <v>280</v>
      </c>
      <c r="AN762" t="s">
        <v>281</v>
      </c>
      <c r="AO762" t="s">
        <v>773</v>
      </c>
      <c r="AP762" t="s">
        <v>774</v>
      </c>
      <c r="AQ762" t="s">
        <v>74</v>
      </c>
      <c r="AR762" t="s">
        <v>775</v>
      </c>
      <c r="AS762" t="s">
        <v>776</v>
      </c>
      <c r="AT762" t="s">
        <v>14249</v>
      </c>
      <c r="AU762">
        <v>2022</v>
      </c>
      <c r="AV762">
        <v>60</v>
      </c>
      <c r="AW762">
        <v>21</v>
      </c>
      <c r="AX762" t="s">
        <v>74</v>
      </c>
      <c r="AY762" t="s">
        <v>74</v>
      </c>
      <c r="AZ762" t="s">
        <v>74</v>
      </c>
      <c r="BA762" t="s">
        <v>74</v>
      </c>
      <c r="BB762">
        <v>6637</v>
      </c>
      <c r="BC762">
        <v>6658</v>
      </c>
      <c r="BD762" t="s">
        <v>74</v>
      </c>
      <c r="BE762" t="s">
        <v>14250</v>
      </c>
      <c r="BF762" t="str">
        <f>HYPERLINK("http://dx.doi.org/10.1080/00207543.2021.1998697","http://dx.doi.org/10.1080/00207543.2021.1998697")</f>
        <v>http://dx.doi.org/10.1080/00207543.2021.1998697</v>
      </c>
      <c r="BG762" t="s">
        <v>74</v>
      </c>
      <c r="BH762" t="s">
        <v>5793</v>
      </c>
      <c r="BI762">
        <v>22</v>
      </c>
      <c r="BJ762" t="s">
        <v>780</v>
      </c>
      <c r="BK762" t="s">
        <v>98</v>
      </c>
      <c r="BL762" t="s">
        <v>781</v>
      </c>
      <c r="BM762" t="s">
        <v>14251</v>
      </c>
      <c r="BN762" t="s">
        <v>74</v>
      </c>
      <c r="BO762" t="s">
        <v>74</v>
      </c>
      <c r="BP762" t="s">
        <v>74</v>
      </c>
      <c r="BQ762" t="s">
        <v>74</v>
      </c>
      <c r="BR762" t="s">
        <v>102</v>
      </c>
      <c r="BS762" t="s">
        <v>14252</v>
      </c>
      <c r="BT762" t="str">
        <f>HYPERLINK("https%3A%2F%2Fwww.webofscience.com%2Fwos%2Fwoscc%2Ffull-record%2FWOS:000719245600001","View Full Record in Web of Science")</f>
        <v>View Full Record in Web of Science</v>
      </c>
    </row>
    <row r="763" spans="1:72" x14ac:dyDescent="0.2">
      <c r="A763" t="s">
        <v>72</v>
      </c>
      <c r="B763" t="s">
        <v>14253</v>
      </c>
      <c r="C763" t="s">
        <v>74</v>
      </c>
      <c r="D763" t="s">
        <v>74</v>
      </c>
      <c r="E763" t="s">
        <v>74</v>
      </c>
      <c r="F763" t="s">
        <v>14254</v>
      </c>
      <c r="G763" t="s">
        <v>74</v>
      </c>
      <c r="H763" t="s">
        <v>74</v>
      </c>
      <c r="I763" t="s">
        <v>14255</v>
      </c>
      <c r="J763" t="s">
        <v>6887</v>
      </c>
      <c r="K763" t="s">
        <v>74</v>
      </c>
      <c r="L763" t="s">
        <v>74</v>
      </c>
      <c r="M763" t="s">
        <v>78</v>
      </c>
      <c r="N763" t="s">
        <v>108</v>
      </c>
      <c r="O763" t="s">
        <v>74</v>
      </c>
      <c r="P763" t="s">
        <v>74</v>
      </c>
      <c r="Q763" t="s">
        <v>74</v>
      </c>
      <c r="R763" t="s">
        <v>74</v>
      </c>
      <c r="S763" t="s">
        <v>74</v>
      </c>
      <c r="T763" t="s">
        <v>14256</v>
      </c>
      <c r="U763" t="s">
        <v>14257</v>
      </c>
      <c r="V763" t="s">
        <v>14258</v>
      </c>
      <c r="W763" t="s">
        <v>14259</v>
      </c>
      <c r="X763" t="s">
        <v>14260</v>
      </c>
      <c r="Y763" t="s">
        <v>14261</v>
      </c>
      <c r="Z763" t="s">
        <v>14262</v>
      </c>
      <c r="AA763" t="s">
        <v>14263</v>
      </c>
      <c r="AB763" t="s">
        <v>14264</v>
      </c>
      <c r="AC763" t="s">
        <v>14265</v>
      </c>
      <c r="AD763" t="s">
        <v>14266</v>
      </c>
      <c r="AE763" t="s">
        <v>14267</v>
      </c>
      <c r="AF763" t="s">
        <v>74</v>
      </c>
      <c r="AG763">
        <v>54</v>
      </c>
      <c r="AH763">
        <v>48</v>
      </c>
      <c r="AI763">
        <v>48</v>
      </c>
      <c r="AJ763">
        <v>6</v>
      </c>
      <c r="AK763">
        <v>62</v>
      </c>
      <c r="AL763" t="s">
        <v>4901</v>
      </c>
      <c r="AM763" t="s">
        <v>4902</v>
      </c>
      <c r="AN763" t="s">
        <v>4903</v>
      </c>
      <c r="AO763" t="s">
        <v>6898</v>
      </c>
      <c r="AP763" t="s">
        <v>6899</v>
      </c>
      <c r="AQ763" t="s">
        <v>74</v>
      </c>
      <c r="AR763" t="s">
        <v>6900</v>
      </c>
      <c r="AS763" t="s">
        <v>6901</v>
      </c>
      <c r="AT763" t="s">
        <v>74</v>
      </c>
      <c r="AU763">
        <v>2020</v>
      </c>
      <c r="AV763">
        <v>26</v>
      </c>
      <c r="AW763">
        <v>3</v>
      </c>
      <c r="AX763" t="s">
        <v>74</v>
      </c>
      <c r="AY763" t="s">
        <v>74</v>
      </c>
      <c r="AZ763" t="s">
        <v>570</v>
      </c>
      <c r="BA763" t="s">
        <v>74</v>
      </c>
      <c r="BB763">
        <v>573</v>
      </c>
      <c r="BC763">
        <v>598</v>
      </c>
      <c r="BD763" t="s">
        <v>74</v>
      </c>
      <c r="BE763" t="s">
        <v>14268</v>
      </c>
      <c r="BF763" t="str">
        <f>HYPERLINK("http://dx.doi.org/10.3846/tede.2020.12110","http://dx.doi.org/10.3846/tede.2020.12110")</f>
        <v>http://dx.doi.org/10.3846/tede.2020.12110</v>
      </c>
      <c r="BG763" t="s">
        <v>74</v>
      </c>
      <c r="BH763" t="s">
        <v>74</v>
      </c>
      <c r="BI763">
        <v>26</v>
      </c>
      <c r="BJ763" t="s">
        <v>1661</v>
      </c>
      <c r="BK763" t="s">
        <v>242</v>
      </c>
      <c r="BL763" t="s">
        <v>419</v>
      </c>
      <c r="BM763" t="s">
        <v>14269</v>
      </c>
      <c r="BN763" t="s">
        <v>74</v>
      </c>
      <c r="BO763" t="s">
        <v>126</v>
      </c>
      <c r="BP763" t="s">
        <v>74</v>
      </c>
      <c r="BQ763" t="s">
        <v>74</v>
      </c>
      <c r="BR763" t="s">
        <v>102</v>
      </c>
      <c r="BS763" t="s">
        <v>14270</v>
      </c>
      <c r="BT763" t="str">
        <f>HYPERLINK("https%3A%2F%2Fwww.webofscience.com%2Fwos%2Fwoscc%2Ffull-record%2FWOS:000546133500003","View Full Record in Web of Science")</f>
        <v>View Full Record in Web of Science</v>
      </c>
    </row>
    <row r="764" spans="1:72" x14ac:dyDescent="0.2">
      <c r="A764" t="s">
        <v>72</v>
      </c>
      <c r="B764" t="s">
        <v>14271</v>
      </c>
      <c r="C764" t="s">
        <v>74</v>
      </c>
      <c r="D764" t="s">
        <v>74</v>
      </c>
      <c r="E764" t="s">
        <v>74</v>
      </c>
      <c r="F764" t="s">
        <v>14272</v>
      </c>
      <c r="G764" t="s">
        <v>74</v>
      </c>
      <c r="H764" t="s">
        <v>74</v>
      </c>
      <c r="I764" t="s">
        <v>14273</v>
      </c>
      <c r="J764" t="s">
        <v>4384</v>
      </c>
      <c r="K764" t="s">
        <v>74</v>
      </c>
      <c r="L764" t="s">
        <v>74</v>
      </c>
      <c r="M764" t="s">
        <v>78</v>
      </c>
      <c r="N764" t="s">
        <v>108</v>
      </c>
      <c r="O764" t="s">
        <v>74</v>
      </c>
      <c r="P764" t="s">
        <v>74</v>
      </c>
      <c r="Q764" t="s">
        <v>74</v>
      </c>
      <c r="R764" t="s">
        <v>74</v>
      </c>
      <c r="S764" t="s">
        <v>74</v>
      </c>
      <c r="T764" t="s">
        <v>14274</v>
      </c>
      <c r="U764" t="s">
        <v>14275</v>
      </c>
      <c r="V764" t="s">
        <v>14276</v>
      </c>
      <c r="W764" t="s">
        <v>14277</v>
      </c>
      <c r="X764" t="s">
        <v>14278</v>
      </c>
      <c r="Y764" t="s">
        <v>14279</v>
      </c>
      <c r="Z764" t="s">
        <v>14280</v>
      </c>
      <c r="AA764" t="s">
        <v>74</v>
      </c>
      <c r="AB764" t="s">
        <v>74</v>
      </c>
      <c r="AC764" t="s">
        <v>14281</v>
      </c>
      <c r="AD764" t="s">
        <v>14282</v>
      </c>
      <c r="AE764" t="s">
        <v>14283</v>
      </c>
      <c r="AF764" t="s">
        <v>74</v>
      </c>
      <c r="AG764">
        <v>54</v>
      </c>
      <c r="AH764">
        <v>0</v>
      </c>
      <c r="AI764">
        <v>0</v>
      </c>
      <c r="AJ764">
        <v>27</v>
      </c>
      <c r="AK764">
        <v>27</v>
      </c>
      <c r="AL764" t="s">
        <v>167</v>
      </c>
      <c r="AM764" t="s">
        <v>168</v>
      </c>
      <c r="AN764" t="s">
        <v>169</v>
      </c>
      <c r="AO764" t="s">
        <v>4393</v>
      </c>
      <c r="AP764" t="s">
        <v>74</v>
      </c>
      <c r="AQ764" t="s">
        <v>74</v>
      </c>
      <c r="AR764" t="s">
        <v>4384</v>
      </c>
      <c r="AS764" t="s">
        <v>4394</v>
      </c>
      <c r="AT764" t="s">
        <v>74</v>
      </c>
      <c r="AU764">
        <v>2023</v>
      </c>
      <c r="AV764">
        <v>11</v>
      </c>
      <c r="AW764" t="s">
        <v>74</v>
      </c>
      <c r="AX764" t="s">
        <v>74</v>
      </c>
      <c r="AY764" t="s">
        <v>74</v>
      </c>
      <c r="AZ764" t="s">
        <v>74</v>
      </c>
      <c r="BA764" t="s">
        <v>74</v>
      </c>
      <c r="BB764">
        <v>37108</v>
      </c>
      <c r="BC764">
        <v>37122</v>
      </c>
      <c r="BD764" t="s">
        <v>74</v>
      </c>
      <c r="BE764" t="s">
        <v>14284</v>
      </c>
      <c r="BF764" t="str">
        <f>HYPERLINK("http://dx.doi.org/10.1109/ACCESS.2023.3266513","http://dx.doi.org/10.1109/ACCESS.2023.3266513")</f>
        <v>http://dx.doi.org/10.1109/ACCESS.2023.3266513</v>
      </c>
      <c r="BG764" t="s">
        <v>74</v>
      </c>
      <c r="BH764" t="s">
        <v>74</v>
      </c>
      <c r="BI764">
        <v>15</v>
      </c>
      <c r="BJ764" t="s">
        <v>2959</v>
      </c>
      <c r="BK764" t="s">
        <v>98</v>
      </c>
      <c r="BL764" t="s">
        <v>2960</v>
      </c>
      <c r="BM764" t="s">
        <v>14285</v>
      </c>
      <c r="BN764" t="s">
        <v>74</v>
      </c>
      <c r="BO764" t="s">
        <v>126</v>
      </c>
      <c r="BP764" t="s">
        <v>74</v>
      </c>
      <c r="BQ764" t="s">
        <v>74</v>
      </c>
      <c r="BR764" t="s">
        <v>102</v>
      </c>
      <c r="BS764" t="s">
        <v>14286</v>
      </c>
      <c r="BT764" t="str">
        <f>HYPERLINK("https%3A%2F%2Fwww.webofscience.com%2Fwos%2Fwoscc%2Ffull-record%2FWOS:000979284900001","View Full Record in Web of Science")</f>
        <v>View Full Record in Web of Science</v>
      </c>
    </row>
    <row r="765" spans="1:72" x14ac:dyDescent="0.2">
      <c r="A765" t="s">
        <v>72</v>
      </c>
      <c r="B765" t="s">
        <v>14287</v>
      </c>
      <c r="C765" t="s">
        <v>74</v>
      </c>
      <c r="D765" t="s">
        <v>74</v>
      </c>
      <c r="E765" t="s">
        <v>74</v>
      </c>
      <c r="F765" t="s">
        <v>14288</v>
      </c>
      <c r="G765" t="s">
        <v>74</v>
      </c>
      <c r="H765" t="s">
        <v>74</v>
      </c>
      <c r="I765" t="s">
        <v>14289</v>
      </c>
      <c r="J765" t="s">
        <v>4384</v>
      </c>
      <c r="K765" t="s">
        <v>74</v>
      </c>
      <c r="L765" t="s">
        <v>74</v>
      </c>
      <c r="M765" t="s">
        <v>78</v>
      </c>
      <c r="N765" t="s">
        <v>108</v>
      </c>
      <c r="O765" t="s">
        <v>74</v>
      </c>
      <c r="P765" t="s">
        <v>74</v>
      </c>
      <c r="Q765" t="s">
        <v>74</v>
      </c>
      <c r="R765" t="s">
        <v>74</v>
      </c>
      <c r="S765" t="s">
        <v>74</v>
      </c>
      <c r="T765" t="s">
        <v>14290</v>
      </c>
      <c r="U765" t="s">
        <v>14291</v>
      </c>
      <c r="V765" t="s">
        <v>14292</v>
      </c>
      <c r="W765" t="s">
        <v>14293</v>
      </c>
      <c r="X765" t="s">
        <v>74</v>
      </c>
      <c r="Y765" t="s">
        <v>14294</v>
      </c>
      <c r="Z765" t="s">
        <v>14295</v>
      </c>
      <c r="AA765" t="s">
        <v>74</v>
      </c>
      <c r="AB765" t="s">
        <v>74</v>
      </c>
      <c r="AC765" t="s">
        <v>14296</v>
      </c>
      <c r="AD765" t="s">
        <v>14297</v>
      </c>
      <c r="AE765" t="s">
        <v>14298</v>
      </c>
      <c r="AF765" t="s">
        <v>74</v>
      </c>
      <c r="AG765">
        <v>21</v>
      </c>
      <c r="AH765">
        <v>3</v>
      </c>
      <c r="AI765">
        <v>3</v>
      </c>
      <c r="AJ765">
        <v>14</v>
      </c>
      <c r="AK765">
        <v>50</v>
      </c>
      <c r="AL765" t="s">
        <v>167</v>
      </c>
      <c r="AM765" t="s">
        <v>168</v>
      </c>
      <c r="AN765" t="s">
        <v>169</v>
      </c>
      <c r="AO765" t="s">
        <v>4393</v>
      </c>
      <c r="AP765" t="s">
        <v>74</v>
      </c>
      <c r="AQ765" t="s">
        <v>74</v>
      </c>
      <c r="AR765" t="s">
        <v>4384</v>
      </c>
      <c r="AS765" t="s">
        <v>4394</v>
      </c>
      <c r="AT765" t="s">
        <v>74</v>
      </c>
      <c r="AU765">
        <v>2021</v>
      </c>
      <c r="AV765">
        <v>9</v>
      </c>
      <c r="AW765" t="s">
        <v>74</v>
      </c>
      <c r="AX765" t="s">
        <v>74</v>
      </c>
      <c r="AY765" t="s">
        <v>74</v>
      </c>
      <c r="AZ765" t="s">
        <v>74</v>
      </c>
      <c r="BA765" t="s">
        <v>74</v>
      </c>
      <c r="BB765">
        <v>120274</v>
      </c>
      <c r="BC765">
        <v>120284</v>
      </c>
      <c r="BD765" t="s">
        <v>74</v>
      </c>
      <c r="BE765" t="s">
        <v>14299</v>
      </c>
      <c r="BF765" t="str">
        <f>HYPERLINK("http://dx.doi.org/10.1109/ACCESS.2021.3104147","http://dx.doi.org/10.1109/ACCESS.2021.3104147")</f>
        <v>http://dx.doi.org/10.1109/ACCESS.2021.3104147</v>
      </c>
      <c r="BG765" t="s">
        <v>74</v>
      </c>
      <c r="BH765" t="s">
        <v>74</v>
      </c>
      <c r="BI765">
        <v>11</v>
      </c>
      <c r="BJ765" t="s">
        <v>2959</v>
      </c>
      <c r="BK765" t="s">
        <v>147</v>
      </c>
      <c r="BL765" t="s">
        <v>2960</v>
      </c>
      <c r="BM765" t="s">
        <v>14300</v>
      </c>
      <c r="BN765" t="s">
        <v>74</v>
      </c>
      <c r="BO765" t="s">
        <v>126</v>
      </c>
      <c r="BP765" t="s">
        <v>74</v>
      </c>
      <c r="BQ765" t="s">
        <v>74</v>
      </c>
      <c r="BR765" t="s">
        <v>102</v>
      </c>
      <c r="BS765" t="s">
        <v>14301</v>
      </c>
      <c r="BT765" t="str">
        <f>HYPERLINK("https%3A%2F%2Fwww.webofscience.com%2Fwos%2Fwoscc%2Ffull-record%2FWOS:000692566600001","View Full Record in Web of Science")</f>
        <v>View Full Record in Web of Science</v>
      </c>
    </row>
    <row r="766" spans="1:72" x14ac:dyDescent="0.2">
      <c r="A766" t="s">
        <v>72</v>
      </c>
      <c r="B766" t="s">
        <v>14302</v>
      </c>
      <c r="C766" t="s">
        <v>74</v>
      </c>
      <c r="D766" t="s">
        <v>74</v>
      </c>
      <c r="E766" t="s">
        <v>74</v>
      </c>
      <c r="F766" t="s">
        <v>14303</v>
      </c>
      <c r="G766" t="s">
        <v>74</v>
      </c>
      <c r="H766" t="s">
        <v>74</v>
      </c>
      <c r="I766" t="s">
        <v>14304</v>
      </c>
      <c r="J766" t="s">
        <v>14305</v>
      </c>
      <c r="K766" t="s">
        <v>74</v>
      </c>
      <c r="L766" t="s">
        <v>74</v>
      </c>
      <c r="M766" t="s">
        <v>78</v>
      </c>
      <c r="N766" t="s">
        <v>108</v>
      </c>
      <c r="O766" t="s">
        <v>74</v>
      </c>
      <c r="P766" t="s">
        <v>74</v>
      </c>
      <c r="Q766" t="s">
        <v>74</v>
      </c>
      <c r="R766" t="s">
        <v>74</v>
      </c>
      <c r="S766" t="s">
        <v>74</v>
      </c>
      <c r="T766" t="s">
        <v>14306</v>
      </c>
      <c r="U766" t="s">
        <v>14307</v>
      </c>
      <c r="V766" t="s">
        <v>14308</v>
      </c>
      <c r="W766" t="s">
        <v>14309</v>
      </c>
      <c r="X766" t="s">
        <v>14310</v>
      </c>
      <c r="Y766" t="s">
        <v>14311</v>
      </c>
      <c r="Z766" t="s">
        <v>14312</v>
      </c>
      <c r="AA766" t="s">
        <v>74</v>
      </c>
      <c r="AB766" t="s">
        <v>74</v>
      </c>
      <c r="AC766" t="s">
        <v>14313</v>
      </c>
      <c r="AD766" t="s">
        <v>14314</v>
      </c>
      <c r="AE766" t="s">
        <v>14315</v>
      </c>
      <c r="AF766" t="s">
        <v>74</v>
      </c>
      <c r="AG766">
        <v>56</v>
      </c>
      <c r="AH766">
        <v>0</v>
      </c>
      <c r="AI766">
        <v>0</v>
      </c>
      <c r="AJ766">
        <v>0</v>
      </c>
      <c r="AK766">
        <v>0</v>
      </c>
      <c r="AL766" t="s">
        <v>14316</v>
      </c>
      <c r="AM766" t="s">
        <v>7483</v>
      </c>
      <c r="AN766" t="s">
        <v>14317</v>
      </c>
      <c r="AO766" t="s">
        <v>14318</v>
      </c>
      <c r="AP766" t="s">
        <v>14319</v>
      </c>
      <c r="AQ766" t="s">
        <v>74</v>
      </c>
      <c r="AR766" t="s">
        <v>14320</v>
      </c>
      <c r="AS766" t="s">
        <v>14321</v>
      </c>
      <c r="AT766" t="s">
        <v>74</v>
      </c>
      <c r="AU766">
        <v>2023</v>
      </c>
      <c r="AV766">
        <v>41</v>
      </c>
      <c r="AW766">
        <v>1</v>
      </c>
      <c r="AX766" t="s">
        <v>74</v>
      </c>
      <c r="AY766" t="s">
        <v>74</v>
      </c>
      <c r="AZ766" t="s">
        <v>74</v>
      </c>
      <c r="BA766" t="s">
        <v>74</v>
      </c>
      <c r="BB766">
        <v>157</v>
      </c>
      <c r="BC766">
        <v>181</v>
      </c>
      <c r="BD766" t="s">
        <v>74</v>
      </c>
      <c r="BE766" t="s">
        <v>14322</v>
      </c>
      <c r="BF766" t="str">
        <f>HYPERLINK("http://dx.doi.org/10.18045/zbefri.2023.1.157","http://dx.doi.org/10.18045/zbefri.2023.1.157")</f>
        <v>http://dx.doi.org/10.18045/zbefri.2023.1.157</v>
      </c>
      <c r="BG766" t="s">
        <v>74</v>
      </c>
      <c r="BH766" t="s">
        <v>74</v>
      </c>
      <c r="BI766">
        <v>25</v>
      </c>
      <c r="BJ766" t="s">
        <v>4909</v>
      </c>
      <c r="BK766" t="s">
        <v>124</v>
      </c>
      <c r="BL766" t="s">
        <v>419</v>
      </c>
      <c r="BM766" t="s">
        <v>14323</v>
      </c>
      <c r="BN766" t="s">
        <v>74</v>
      </c>
      <c r="BO766" t="s">
        <v>101</v>
      </c>
      <c r="BP766" t="s">
        <v>74</v>
      </c>
      <c r="BQ766" t="s">
        <v>74</v>
      </c>
      <c r="BR766" t="s">
        <v>102</v>
      </c>
      <c r="BS766" t="s">
        <v>14324</v>
      </c>
      <c r="BT766" t="str">
        <f>HYPERLINK("https%3A%2F%2Fwww.webofscience.com%2Fwos%2Fwoscc%2Ffull-record%2FWOS:001024159300006","View Full Record in Web of Science")</f>
        <v>View Full Record in Web of Science</v>
      </c>
    </row>
    <row r="767" spans="1:72" x14ac:dyDescent="0.2">
      <c r="A767" t="s">
        <v>72</v>
      </c>
      <c r="B767" t="s">
        <v>14325</v>
      </c>
      <c r="C767" t="s">
        <v>74</v>
      </c>
      <c r="D767" t="s">
        <v>74</v>
      </c>
      <c r="E767" t="s">
        <v>74</v>
      </c>
      <c r="F767" t="s">
        <v>14326</v>
      </c>
      <c r="G767" t="s">
        <v>74</v>
      </c>
      <c r="H767" t="s">
        <v>74</v>
      </c>
      <c r="I767" t="s">
        <v>14327</v>
      </c>
      <c r="J767" t="s">
        <v>14328</v>
      </c>
      <c r="K767" t="s">
        <v>74</v>
      </c>
      <c r="L767" t="s">
        <v>74</v>
      </c>
      <c r="M767" t="s">
        <v>78</v>
      </c>
      <c r="N767" t="s">
        <v>108</v>
      </c>
      <c r="O767" t="s">
        <v>74</v>
      </c>
      <c r="P767" t="s">
        <v>74</v>
      </c>
      <c r="Q767" t="s">
        <v>74</v>
      </c>
      <c r="R767" t="s">
        <v>74</v>
      </c>
      <c r="S767" t="s">
        <v>74</v>
      </c>
      <c r="T767" t="s">
        <v>14329</v>
      </c>
      <c r="U767" t="s">
        <v>14330</v>
      </c>
      <c r="V767" t="s">
        <v>14331</v>
      </c>
      <c r="W767" t="s">
        <v>14332</v>
      </c>
      <c r="X767" t="s">
        <v>14333</v>
      </c>
      <c r="Y767" t="s">
        <v>14334</v>
      </c>
      <c r="Z767" t="s">
        <v>14335</v>
      </c>
      <c r="AA767" t="s">
        <v>74</v>
      </c>
      <c r="AB767" t="s">
        <v>74</v>
      </c>
      <c r="AC767" t="s">
        <v>74</v>
      </c>
      <c r="AD767" t="s">
        <v>74</v>
      </c>
      <c r="AE767" t="s">
        <v>74</v>
      </c>
      <c r="AF767" t="s">
        <v>74</v>
      </c>
      <c r="AG767">
        <v>16</v>
      </c>
      <c r="AH767">
        <v>0</v>
      </c>
      <c r="AI767">
        <v>0</v>
      </c>
      <c r="AJ767">
        <v>4</v>
      </c>
      <c r="AK767">
        <v>9</v>
      </c>
      <c r="AL767" t="s">
        <v>3128</v>
      </c>
      <c r="AM767" t="s">
        <v>3129</v>
      </c>
      <c r="AN767" t="s">
        <v>3130</v>
      </c>
      <c r="AO767" t="s">
        <v>14336</v>
      </c>
      <c r="AP767" t="s">
        <v>14337</v>
      </c>
      <c r="AQ767" t="s">
        <v>74</v>
      </c>
      <c r="AR767" t="s">
        <v>14338</v>
      </c>
      <c r="AS767" t="s">
        <v>14339</v>
      </c>
      <c r="AT767" t="s">
        <v>74</v>
      </c>
      <c r="AU767">
        <v>2023</v>
      </c>
      <c r="AV767">
        <v>36</v>
      </c>
      <c r="AW767">
        <v>1</v>
      </c>
      <c r="AX767" t="s">
        <v>74</v>
      </c>
      <c r="AY767" t="s">
        <v>74</v>
      </c>
      <c r="AZ767" t="s">
        <v>74</v>
      </c>
      <c r="BA767" t="s">
        <v>74</v>
      </c>
      <c r="BB767">
        <v>589</v>
      </c>
      <c r="BC767">
        <v>600</v>
      </c>
      <c r="BD767" t="s">
        <v>74</v>
      </c>
      <c r="BE767" t="s">
        <v>14340</v>
      </c>
      <c r="BF767" t="str">
        <f>HYPERLINK("http://dx.doi.org/10.32604/iasc.2023.032030","http://dx.doi.org/10.32604/iasc.2023.032030")</f>
        <v>http://dx.doi.org/10.32604/iasc.2023.032030</v>
      </c>
      <c r="BG767" t="s">
        <v>74</v>
      </c>
      <c r="BH767" t="s">
        <v>74</v>
      </c>
      <c r="BI767">
        <v>12</v>
      </c>
      <c r="BJ767" t="s">
        <v>3376</v>
      </c>
      <c r="BK767" t="s">
        <v>98</v>
      </c>
      <c r="BL767" t="s">
        <v>1929</v>
      </c>
      <c r="BM767" t="s">
        <v>14341</v>
      </c>
      <c r="BN767" t="s">
        <v>74</v>
      </c>
      <c r="BO767" t="s">
        <v>702</v>
      </c>
      <c r="BP767" t="s">
        <v>74</v>
      </c>
      <c r="BQ767" t="s">
        <v>74</v>
      </c>
      <c r="BR767" t="s">
        <v>102</v>
      </c>
      <c r="BS767" t="s">
        <v>14342</v>
      </c>
      <c r="BT767" t="str">
        <f>HYPERLINK("https%3A%2F%2Fwww.webofscience.com%2Fwos%2Fwoscc%2Ffull-record%2FWOS:000875708100013","View Full Record in Web of Science")</f>
        <v>View Full Record in Web of Science</v>
      </c>
    </row>
    <row r="768" spans="1:72" x14ac:dyDescent="0.2">
      <c r="A768" t="s">
        <v>72</v>
      </c>
      <c r="B768" t="s">
        <v>14343</v>
      </c>
      <c r="C768" t="s">
        <v>74</v>
      </c>
      <c r="D768" t="s">
        <v>74</v>
      </c>
      <c r="E768" t="s">
        <v>74</v>
      </c>
      <c r="F768" t="s">
        <v>14344</v>
      </c>
      <c r="G768" t="s">
        <v>74</v>
      </c>
      <c r="H768" t="s">
        <v>74</v>
      </c>
      <c r="I768" t="s">
        <v>14345</v>
      </c>
      <c r="J768" t="s">
        <v>14346</v>
      </c>
      <c r="K768" t="s">
        <v>74</v>
      </c>
      <c r="L768" t="s">
        <v>74</v>
      </c>
      <c r="M768" t="s">
        <v>78</v>
      </c>
      <c r="N768" t="s">
        <v>108</v>
      </c>
      <c r="O768" t="s">
        <v>74</v>
      </c>
      <c r="P768" t="s">
        <v>74</v>
      </c>
      <c r="Q768" t="s">
        <v>74</v>
      </c>
      <c r="R768" t="s">
        <v>74</v>
      </c>
      <c r="S768" t="s">
        <v>74</v>
      </c>
      <c r="T768" t="s">
        <v>14347</v>
      </c>
      <c r="U768" t="s">
        <v>14348</v>
      </c>
      <c r="V768" t="s">
        <v>14349</v>
      </c>
      <c r="W768" t="s">
        <v>14350</v>
      </c>
      <c r="X768" t="s">
        <v>14351</v>
      </c>
      <c r="Y768" t="s">
        <v>14352</v>
      </c>
      <c r="Z768" t="s">
        <v>14353</v>
      </c>
      <c r="AA768" t="s">
        <v>14354</v>
      </c>
      <c r="AB768" t="s">
        <v>14355</v>
      </c>
      <c r="AC768" t="s">
        <v>74</v>
      </c>
      <c r="AD768" t="s">
        <v>74</v>
      </c>
      <c r="AE768" t="s">
        <v>74</v>
      </c>
      <c r="AF768" t="s">
        <v>74</v>
      </c>
      <c r="AG768">
        <v>63</v>
      </c>
      <c r="AH768">
        <v>8</v>
      </c>
      <c r="AI768">
        <v>8</v>
      </c>
      <c r="AJ768">
        <v>2</v>
      </c>
      <c r="AK768">
        <v>16</v>
      </c>
      <c r="AL768" t="s">
        <v>437</v>
      </c>
      <c r="AM768" t="s">
        <v>438</v>
      </c>
      <c r="AN768" t="s">
        <v>439</v>
      </c>
      <c r="AO768" t="s">
        <v>14356</v>
      </c>
      <c r="AP768" t="s">
        <v>14357</v>
      </c>
      <c r="AQ768" t="s">
        <v>74</v>
      </c>
      <c r="AR768" t="s">
        <v>14358</v>
      </c>
      <c r="AS768" t="s">
        <v>14359</v>
      </c>
      <c r="AT768" t="s">
        <v>14360</v>
      </c>
      <c r="AU768">
        <v>2020</v>
      </c>
      <c r="AV768">
        <v>31</v>
      </c>
      <c r="AW768">
        <v>1</v>
      </c>
      <c r="AX768" t="s">
        <v>74</v>
      </c>
      <c r="AY768" t="s">
        <v>74</v>
      </c>
      <c r="AZ768" t="s">
        <v>74</v>
      </c>
      <c r="BA768" t="s">
        <v>74</v>
      </c>
      <c r="BB768">
        <v>146</v>
      </c>
      <c r="BC768">
        <v>166</v>
      </c>
      <c r="BD768" t="s">
        <v>74</v>
      </c>
      <c r="BE768" t="s">
        <v>14361</v>
      </c>
      <c r="BF768" t="str">
        <f>HYPERLINK("http://dx.doi.org/10.1108/MEQ-03-2019-0067","http://dx.doi.org/10.1108/MEQ-03-2019-0067")</f>
        <v>http://dx.doi.org/10.1108/MEQ-03-2019-0067</v>
      </c>
      <c r="BG768" t="s">
        <v>74</v>
      </c>
      <c r="BH768" t="s">
        <v>74</v>
      </c>
      <c r="BI768">
        <v>21</v>
      </c>
      <c r="BJ768" t="s">
        <v>3022</v>
      </c>
      <c r="BK768" t="s">
        <v>124</v>
      </c>
      <c r="BL768" t="s">
        <v>675</v>
      </c>
      <c r="BM768" t="s">
        <v>14362</v>
      </c>
      <c r="BN768" t="s">
        <v>74</v>
      </c>
      <c r="BO768" t="s">
        <v>1833</v>
      </c>
      <c r="BP768" t="s">
        <v>74</v>
      </c>
      <c r="BQ768" t="s">
        <v>74</v>
      </c>
      <c r="BR768" t="s">
        <v>102</v>
      </c>
      <c r="BS768" t="s">
        <v>14363</v>
      </c>
      <c r="BT768" t="str">
        <f>HYPERLINK("https%3A%2F%2Fwww.webofscience.com%2Fwos%2Fwoscc%2Ffull-record%2FWOS:000506251000009","View Full Record in Web of Science")</f>
        <v>View Full Record in Web of Science</v>
      </c>
    </row>
    <row r="769" spans="1:72" x14ac:dyDescent="0.2">
      <c r="A769" t="s">
        <v>72</v>
      </c>
      <c r="B769" t="s">
        <v>14364</v>
      </c>
      <c r="C769" t="s">
        <v>74</v>
      </c>
      <c r="D769" t="s">
        <v>74</v>
      </c>
      <c r="E769" t="s">
        <v>74</v>
      </c>
      <c r="F769" t="s">
        <v>14365</v>
      </c>
      <c r="G769" t="s">
        <v>74</v>
      </c>
      <c r="H769" t="s">
        <v>74</v>
      </c>
      <c r="I769" t="s">
        <v>14366</v>
      </c>
      <c r="J769" t="s">
        <v>14367</v>
      </c>
      <c r="K769" t="s">
        <v>74</v>
      </c>
      <c r="L769" t="s">
        <v>74</v>
      </c>
      <c r="M769" t="s">
        <v>78</v>
      </c>
      <c r="N769" t="s">
        <v>108</v>
      </c>
      <c r="O769" t="s">
        <v>74</v>
      </c>
      <c r="P769" t="s">
        <v>74</v>
      </c>
      <c r="Q769" t="s">
        <v>74</v>
      </c>
      <c r="R769" t="s">
        <v>74</v>
      </c>
      <c r="S769" t="s">
        <v>74</v>
      </c>
      <c r="T769" t="s">
        <v>14368</v>
      </c>
      <c r="U769" t="s">
        <v>14369</v>
      </c>
      <c r="V769" t="s">
        <v>14370</v>
      </c>
      <c r="W769" t="s">
        <v>14371</v>
      </c>
      <c r="X769" t="s">
        <v>14372</v>
      </c>
      <c r="Y769" t="s">
        <v>14373</v>
      </c>
      <c r="Z769" t="s">
        <v>14374</v>
      </c>
      <c r="AA769" t="s">
        <v>14375</v>
      </c>
      <c r="AB769" t="s">
        <v>14376</v>
      </c>
      <c r="AC769" t="s">
        <v>14377</v>
      </c>
      <c r="AD769" t="s">
        <v>14378</v>
      </c>
      <c r="AE769" t="s">
        <v>14379</v>
      </c>
      <c r="AF769" t="s">
        <v>74</v>
      </c>
      <c r="AG769">
        <v>42</v>
      </c>
      <c r="AH769">
        <v>60</v>
      </c>
      <c r="AI769">
        <v>62</v>
      </c>
      <c r="AJ769">
        <v>3</v>
      </c>
      <c r="AK769">
        <v>47</v>
      </c>
      <c r="AL769" t="s">
        <v>259</v>
      </c>
      <c r="AM769" t="s">
        <v>260</v>
      </c>
      <c r="AN769" t="s">
        <v>261</v>
      </c>
      <c r="AO769" t="s">
        <v>14380</v>
      </c>
      <c r="AP769" t="s">
        <v>14381</v>
      </c>
      <c r="AQ769" t="s">
        <v>74</v>
      </c>
      <c r="AR769" t="s">
        <v>14382</v>
      </c>
      <c r="AS769" t="s">
        <v>14383</v>
      </c>
      <c r="AT769" t="s">
        <v>174</v>
      </c>
      <c r="AU769">
        <v>2016</v>
      </c>
      <c r="AV769">
        <v>128</v>
      </c>
      <c r="AW769" t="s">
        <v>74</v>
      </c>
      <c r="AX769" t="s">
        <v>74</v>
      </c>
      <c r="AY769" t="s">
        <v>74</v>
      </c>
      <c r="AZ769" t="s">
        <v>74</v>
      </c>
      <c r="BA769" t="s">
        <v>74</v>
      </c>
      <c r="BB769">
        <v>67</v>
      </c>
      <c r="BC769">
        <v>76</v>
      </c>
      <c r="BD769" t="s">
        <v>74</v>
      </c>
      <c r="BE769" t="s">
        <v>14384</v>
      </c>
      <c r="BF769" t="str">
        <f>HYPERLINK("http://dx.doi.org/10.1016/j.compag.2016.08.015","http://dx.doi.org/10.1016/j.compag.2016.08.015")</f>
        <v>http://dx.doi.org/10.1016/j.compag.2016.08.015</v>
      </c>
      <c r="BG769" t="s">
        <v>74</v>
      </c>
      <c r="BH769" t="s">
        <v>74</v>
      </c>
      <c r="BI769">
        <v>10</v>
      </c>
      <c r="BJ769" t="s">
        <v>14385</v>
      </c>
      <c r="BK769" t="s">
        <v>98</v>
      </c>
      <c r="BL769" t="s">
        <v>14386</v>
      </c>
      <c r="BM769" t="s">
        <v>14387</v>
      </c>
      <c r="BN769" t="s">
        <v>74</v>
      </c>
      <c r="BO769" t="s">
        <v>74</v>
      </c>
      <c r="BP769" t="s">
        <v>74</v>
      </c>
      <c r="BQ769" t="s">
        <v>74</v>
      </c>
      <c r="BR769" t="s">
        <v>102</v>
      </c>
      <c r="BS769" t="s">
        <v>14388</v>
      </c>
      <c r="BT769" t="str">
        <f>HYPERLINK("https%3A%2F%2Fwww.webofscience.com%2Fwos%2Fwoscc%2Ffull-record%2FWOS:000385473300009","View Full Record in Web of Science")</f>
        <v>View Full Record in Web of Science</v>
      </c>
    </row>
    <row r="770" spans="1:72" x14ac:dyDescent="0.2">
      <c r="A770" t="s">
        <v>72</v>
      </c>
      <c r="B770" t="s">
        <v>14389</v>
      </c>
      <c r="C770" t="s">
        <v>74</v>
      </c>
      <c r="D770" t="s">
        <v>74</v>
      </c>
      <c r="E770" t="s">
        <v>74</v>
      </c>
      <c r="F770" t="s">
        <v>14390</v>
      </c>
      <c r="G770" t="s">
        <v>74</v>
      </c>
      <c r="H770" t="s">
        <v>74</v>
      </c>
      <c r="I770" t="s">
        <v>14391</v>
      </c>
      <c r="J770" t="s">
        <v>937</v>
      </c>
      <c r="K770" t="s">
        <v>74</v>
      </c>
      <c r="L770" t="s">
        <v>74</v>
      </c>
      <c r="M770" t="s">
        <v>78</v>
      </c>
      <c r="N770" t="s">
        <v>108</v>
      </c>
      <c r="O770" t="s">
        <v>74</v>
      </c>
      <c r="P770" t="s">
        <v>74</v>
      </c>
      <c r="Q770" t="s">
        <v>74</v>
      </c>
      <c r="R770" t="s">
        <v>74</v>
      </c>
      <c r="S770" t="s">
        <v>74</v>
      </c>
      <c r="T770" t="s">
        <v>74</v>
      </c>
      <c r="U770" t="s">
        <v>74</v>
      </c>
      <c r="V770" t="s">
        <v>14392</v>
      </c>
      <c r="W770" t="s">
        <v>14393</v>
      </c>
      <c r="X770" t="s">
        <v>12273</v>
      </c>
      <c r="Y770" t="s">
        <v>14394</v>
      </c>
      <c r="Z770" t="s">
        <v>14395</v>
      </c>
      <c r="AA770" t="s">
        <v>14396</v>
      </c>
      <c r="AB770" t="s">
        <v>14397</v>
      </c>
      <c r="AC770" t="s">
        <v>14398</v>
      </c>
      <c r="AD770" t="s">
        <v>14399</v>
      </c>
      <c r="AE770" t="s">
        <v>14400</v>
      </c>
      <c r="AF770" t="s">
        <v>74</v>
      </c>
      <c r="AG770">
        <v>49</v>
      </c>
      <c r="AH770">
        <v>3</v>
      </c>
      <c r="AI770">
        <v>4</v>
      </c>
      <c r="AJ770">
        <v>9</v>
      </c>
      <c r="AK770">
        <v>70</v>
      </c>
      <c r="AL770" t="s">
        <v>948</v>
      </c>
      <c r="AM770" t="s">
        <v>949</v>
      </c>
      <c r="AN770" t="s">
        <v>950</v>
      </c>
      <c r="AO770" t="s">
        <v>951</v>
      </c>
      <c r="AP770" t="s">
        <v>74</v>
      </c>
      <c r="AQ770" t="s">
        <v>74</v>
      </c>
      <c r="AR770" t="s">
        <v>937</v>
      </c>
      <c r="AS770" t="s">
        <v>952</v>
      </c>
      <c r="AT770" t="s">
        <v>14401</v>
      </c>
      <c r="AU770">
        <v>2021</v>
      </c>
      <c r="AV770">
        <v>16</v>
      </c>
      <c r="AW770">
        <v>2</v>
      </c>
      <c r="AX770" t="s">
        <v>74</v>
      </c>
      <c r="AY770" t="s">
        <v>74</v>
      </c>
      <c r="AZ770" t="s">
        <v>74</v>
      </c>
      <c r="BA770" t="s">
        <v>74</v>
      </c>
      <c r="BB770" t="s">
        <v>74</v>
      </c>
      <c r="BC770" t="s">
        <v>74</v>
      </c>
      <c r="BD770" t="s">
        <v>14402</v>
      </c>
      <c r="BE770" t="s">
        <v>14403</v>
      </c>
      <c r="BF770" t="str">
        <f>HYPERLINK("http://dx.doi.org/10.1371/journal.pone.0246250","http://dx.doi.org/10.1371/journal.pone.0246250")</f>
        <v>http://dx.doi.org/10.1371/journal.pone.0246250</v>
      </c>
      <c r="BG770" t="s">
        <v>74</v>
      </c>
      <c r="BH770" t="s">
        <v>74</v>
      </c>
      <c r="BI770">
        <v>24</v>
      </c>
      <c r="BJ770" t="s">
        <v>620</v>
      </c>
      <c r="BK770" t="s">
        <v>147</v>
      </c>
      <c r="BL770" t="s">
        <v>621</v>
      </c>
      <c r="BM770" t="s">
        <v>14404</v>
      </c>
      <c r="BN770">
        <v>33606719</v>
      </c>
      <c r="BO770" t="s">
        <v>101</v>
      </c>
      <c r="BP770" t="s">
        <v>74</v>
      </c>
      <c r="BQ770" t="s">
        <v>74</v>
      </c>
      <c r="BR770" t="s">
        <v>102</v>
      </c>
      <c r="BS770" t="s">
        <v>14405</v>
      </c>
      <c r="BT770" t="str">
        <f>HYPERLINK("https%3A%2F%2Fwww.webofscience.com%2Fwos%2Fwoscc%2Ffull-record%2FWOS:000620629200013","View Full Record in Web of Science")</f>
        <v>View Full Record in Web of Science</v>
      </c>
    </row>
    <row r="771" spans="1:72" x14ac:dyDescent="0.2">
      <c r="A771" t="s">
        <v>72</v>
      </c>
      <c r="B771" t="s">
        <v>14406</v>
      </c>
      <c r="C771" t="s">
        <v>74</v>
      </c>
      <c r="D771" t="s">
        <v>74</v>
      </c>
      <c r="E771" t="s">
        <v>74</v>
      </c>
      <c r="F771" t="s">
        <v>14407</v>
      </c>
      <c r="G771" t="s">
        <v>74</v>
      </c>
      <c r="H771" t="s">
        <v>74</v>
      </c>
      <c r="I771" t="s">
        <v>14408</v>
      </c>
      <c r="J771" t="s">
        <v>2249</v>
      </c>
      <c r="K771" t="s">
        <v>74</v>
      </c>
      <c r="L771" t="s">
        <v>74</v>
      </c>
      <c r="M771" t="s">
        <v>78</v>
      </c>
      <c r="N771" t="s">
        <v>108</v>
      </c>
      <c r="O771" t="s">
        <v>74</v>
      </c>
      <c r="P771" t="s">
        <v>74</v>
      </c>
      <c r="Q771" t="s">
        <v>74</v>
      </c>
      <c r="R771" t="s">
        <v>74</v>
      </c>
      <c r="S771" t="s">
        <v>74</v>
      </c>
      <c r="T771" t="s">
        <v>14409</v>
      </c>
      <c r="U771" t="s">
        <v>14410</v>
      </c>
      <c r="V771" t="s">
        <v>14411</v>
      </c>
      <c r="W771" t="s">
        <v>14412</v>
      </c>
      <c r="X771" t="s">
        <v>14413</v>
      </c>
      <c r="Y771" t="s">
        <v>14414</v>
      </c>
      <c r="Z771" t="s">
        <v>14415</v>
      </c>
      <c r="AA771" t="s">
        <v>14416</v>
      </c>
      <c r="AB771" t="s">
        <v>14417</v>
      </c>
      <c r="AC771" t="s">
        <v>74</v>
      </c>
      <c r="AD771" t="s">
        <v>74</v>
      </c>
      <c r="AE771" t="s">
        <v>74</v>
      </c>
      <c r="AF771" t="s">
        <v>74</v>
      </c>
      <c r="AG771">
        <v>48</v>
      </c>
      <c r="AH771">
        <v>81</v>
      </c>
      <c r="AI771">
        <v>82</v>
      </c>
      <c r="AJ771">
        <v>3</v>
      </c>
      <c r="AK771">
        <v>37</v>
      </c>
      <c r="AL771" t="s">
        <v>543</v>
      </c>
      <c r="AM771" t="s">
        <v>260</v>
      </c>
      <c r="AN771" t="s">
        <v>544</v>
      </c>
      <c r="AO771" t="s">
        <v>2257</v>
      </c>
      <c r="AP771" t="s">
        <v>74</v>
      </c>
      <c r="AQ771" t="s">
        <v>74</v>
      </c>
      <c r="AR771" t="s">
        <v>2258</v>
      </c>
      <c r="AS771" t="s">
        <v>2259</v>
      </c>
      <c r="AT771" t="s">
        <v>239</v>
      </c>
      <c r="AU771">
        <v>2009</v>
      </c>
      <c r="AV771">
        <v>37</v>
      </c>
      <c r="AW771">
        <v>4</v>
      </c>
      <c r="AX771" t="s">
        <v>74</v>
      </c>
      <c r="AY771" t="s">
        <v>74</v>
      </c>
      <c r="AZ771" t="s">
        <v>74</v>
      </c>
      <c r="BA771" t="s">
        <v>74</v>
      </c>
      <c r="BB771">
        <v>746</v>
      </c>
      <c r="BC771">
        <v>756</v>
      </c>
      <c r="BD771" t="s">
        <v>74</v>
      </c>
      <c r="BE771" t="s">
        <v>14418</v>
      </c>
      <c r="BF771" t="str">
        <f>HYPERLINK("http://dx.doi.org/10.1016/j.omega.2008.07.004","http://dx.doi.org/10.1016/j.omega.2008.07.004")</f>
        <v>http://dx.doi.org/10.1016/j.omega.2008.07.004</v>
      </c>
      <c r="BG771" t="s">
        <v>74</v>
      </c>
      <c r="BH771" t="s">
        <v>74</v>
      </c>
      <c r="BI771">
        <v>11</v>
      </c>
      <c r="BJ771" t="s">
        <v>524</v>
      </c>
      <c r="BK771" t="s">
        <v>147</v>
      </c>
      <c r="BL771" t="s">
        <v>525</v>
      </c>
      <c r="BM771" t="s">
        <v>14419</v>
      </c>
      <c r="BN771" t="s">
        <v>74</v>
      </c>
      <c r="BO771" t="s">
        <v>1833</v>
      </c>
      <c r="BP771" t="s">
        <v>74</v>
      </c>
      <c r="BQ771" t="s">
        <v>74</v>
      </c>
      <c r="BR771" t="s">
        <v>102</v>
      </c>
      <c r="BS771" t="s">
        <v>14420</v>
      </c>
      <c r="BT771" t="str">
        <f>HYPERLINK("https%3A%2F%2Fwww.webofscience.com%2Fwos%2Fwoscc%2Ffull-record%2FWOS:000262063700002","View Full Record in Web of Science")</f>
        <v>View Full Record in Web of Science</v>
      </c>
    </row>
    <row r="772" spans="1:72" x14ac:dyDescent="0.2">
      <c r="A772" t="s">
        <v>72</v>
      </c>
      <c r="B772" t="s">
        <v>14421</v>
      </c>
      <c r="C772" t="s">
        <v>74</v>
      </c>
      <c r="D772" t="s">
        <v>74</v>
      </c>
      <c r="E772" t="s">
        <v>74</v>
      </c>
      <c r="F772" t="s">
        <v>14422</v>
      </c>
      <c r="G772" t="s">
        <v>74</v>
      </c>
      <c r="H772" t="s">
        <v>74</v>
      </c>
      <c r="I772" t="s">
        <v>14423</v>
      </c>
      <c r="J772" t="s">
        <v>14424</v>
      </c>
      <c r="K772" t="s">
        <v>74</v>
      </c>
      <c r="L772" t="s">
        <v>74</v>
      </c>
      <c r="M772" t="s">
        <v>78</v>
      </c>
      <c r="N772" t="s">
        <v>108</v>
      </c>
      <c r="O772" t="s">
        <v>74</v>
      </c>
      <c r="P772" t="s">
        <v>74</v>
      </c>
      <c r="Q772" t="s">
        <v>74</v>
      </c>
      <c r="R772" t="s">
        <v>74</v>
      </c>
      <c r="S772" t="s">
        <v>74</v>
      </c>
      <c r="T772" t="s">
        <v>14425</v>
      </c>
      <c r="U772" t="s">
        <v>14426</v>
      </c>
      <c r="V772" t="s">
        <v>14427</v>
      </c>
      <c r="W772" t="s">
        <v>14428</v>
      </c>
      <c r="X772" t="s">
        <v>14429</v>
      </c>
      <c r="Y772" t="s">
        <v>14430</v>
      </c>
      <c r="Z772" t="s">
        <v>14431</v>
      </c>
      <c r="AA772" t="s">
        <v>14432</v>
      </c>
      <c r="AB772" t="s">
        <v>14433</v>
      </c>
      <c r="AC772" t="s">
        <v>74</v>
      </c>
      <c r="AD772" t="s">
        <v>74</v>
      </c>
      <c r="AE772" t="s">
        <v>74</v>
      </c>
      <c r="AF772" t="s">
        <v>74</v>
      </c>
      <c r="AG772">
        <v>61</v>
      </c>
      <c r="AH772">
        <v>20</v>
      </c>
      <c r="AI772">
        <v>20</v>
      </c>
      <c r="AJ772">
        <v>3</v>
      </c>
      <c r="AK772">
        <v>28</v>
      </c>
      <c r="AL772" t="s">
        <v>462</v>
      </c>
      <c r="AM772" t="s">
        <v>280</v>
      </c>
      <c r="AN772" t="s">
        <v>463</v>
      </c>
      <c r="AO772" t="s">
        <v>14434</v>
      </c>
      <c r="AP772" t="s">
        <v>14435</v>
      </c>
      <c r="AQ772" t="s">
        <v>74</v>
      </c>
      <c r="AR772" t="s">
        <v>14436</v>
      </c>
      <c r="AS772" t="s">
        <v>14437</v>
      </c>
      <c r="AT772" t="s">
        <v>14438</v>
      </c>
      <c r="AU772">
        <v>2019</v>
      </c>
      <c r="AV772">
        <v>32</v>
      </c>
      <c r="AW772">
        <v>1</v>
      </c>
      <c r="AX772" t="s">
        <v>74</v>
      </c>
      <c r="AY772" t="s">
        <v>74</v>
      </c>
      <c r="AZ772" t="s">
        <v>74</v>
      </c>
      <c r="BA772" t="s">
        <v>74</v>
      </c>
      <c r="BB772">
        <v>1088</v>
      </c>
      <c r="BC772">
        <v>1113</v>
      </c>
      <c r="BD772" t="s">
        <v>74</v>
      </c>
      <c r="BE772" t="s">
        <v>14439</v>
      </c>
      <c r="BF772" t="str">
        <f>HYPERLINK("http://dx.doi.org/10.1080/1331677X.2019.1613250","http://dx.doi.org/10.1080/1331677X.2019.1613250")</f>
        <v>http://dx.doi.org/10.1080/1331677X.2019.1613250</v>
      </c>
      <c r="BG772" t="s">
        <v>74</v>
      </c>
      <c r="BH772" t="s">
        <v>74</v>
      </c>
      <c r="BI772">
        <v>26</v>
      </c>
      <c r="BJ772" t="s">
        <v>1661</v>
      </c>
      <c r="BK772" t="s">
        <v>242</v>
      </c>
      <c r="BL772" t="s">
        <v>419</v>
      </c>
      <c r="BM772" t="s">
        <v>14440</v>
      </c>
      <c r="BN772" t="s">
        <v>74</v>
      </c>
      <c r="BO772" t="s">
        <v>359</v>
      </c>
      <c r="BP772" t="s">
        <v>74</v>
      </c>
      <c r="BQ772" t="s">
        <v>74</v>
      </c>
      <c r="BR772" t="s">
        <v>102</v>
      </c>
      <c r="BS772" t="s">
        <v>14441</v>
      </c>
      <c r="BT772" t="str">
        <f>HYPERLINK("https%3A%2F%2Fwww.webofscience.com%2Fwos%2Fwoscc%2Ffull-record%2FWOS:000476912300003","View Full Record in Web of Science")</f>
        <v>View Full Record in Web of Science</v>
      </c>
    </row>
    <row r="773" spans="1:72" x14ac:dyDescent="0.2">
      <c r="A773" t="s">
        <v>72</v>
      </c>
      <c r="B773" t="s">
        <v>14442</v>
      </c>
      <c r="C773" t="s">
        <v>74</v>
      </c>
      <c r="D773" t="s">
        <v>74</v>
      </c>
      <c r="E773" t="s">
        <v>74</v>
      </c>
      <c r="F773" t="s">
        <v>14443</v>
      </c>
      <c r="G773" t="s">
        <v>74</v>
      </c>
      <c r="H773" t="s">
        <v>74</v>
      </c>
      <c r="I773" t="s">
        <v>14444</v>
      </c>
      <c r="J773" t="s">
        <v>14445</v>
      </c>
      <c r="K773" t="s">
        <v>74</v>
      </c>
      <c r="L773" t="s">
        <v>74</v>
      </c>
      <c r="M773" t="s">
        <v>78</v>
      </c>
      <c r="N773" t="s">
        <v>108</v>
      </c>
      <c r="O773" t="s">
        <v>74</v>
      </c>
      <c r="P773" t="s">
        <v>74</v>
      </c>
      <c r="Q773" t="s">
        <v>74</v>
      </c>
      <c r="R773" t="s">
        <v>74</v>
      </c>
      <c r="S773" t="s">
        <v>74</v>
      </c>
      <c r="T773" t="s">
        <v>14446</v>
      </c>
      <c r="U773" t="s">
        <v>14447</v>
      </c>
      <c r="V773" t="s">
        <v>14448</v>
      </c>
      <c r="W773" t="s">
        <v>14449</v>
      </c>
      <c r="X773" t="s">
        <v>1006</v>
      </c>
      <c r="Y773" t="s">
        <v>14450</v>
      </c>
      <c r="Z773" t="s">
        <v>14451</v>
      </c>
      <c r="AA773" t="s">
        <v>14452</v>
      </c>
      <c r="AB773" t="s">
        <v>14453</v>
      </c>
      <c r="AC773" t="s">
        <v>14454</v>
      </c>
      <c r="AD773" t="s">
        <v>14455</v>
      </c>
      <c r="AE773" t="s">
        <v>14456</v>
      </c>
      <c r="AF773" t="s">
        <v>74</v>
      </c>
      <c r="AG773">
        <v>50</v>
      </c>
      <c r="AH773">
        <v>0</v>
      </c>
      <c r="AI773">
        <v>0</v>
      </c>
      <c r="AJ773">
        <v>0</v>
      </c>
      <c r="AK773">
        <v>0</v>
      </c>
      <c r="AL773" t="s">
        <v>543</v>
      </c>
      <c r="AM773" t="s">
        <v>260</v>
      </c>
      <c r="AN773" t="s">
        <v>544</v>
      </c>
      <c r="AO773" t="s">
        <v>14457</v>
      </c>
      <c r="AP773" t="s">
        <v>14458</v>
      </c>
      <c r="AQ773" t="s">
        <v>74</v>
      </c>
      <c r="AR773" t="s">
        <v>14459</v>
      </c>
      <c r="AS773" t="s">
        <v>14460</v>
      </c>
      <c r="AT773" t="s">
        <v>394</v>
      </c>
      <c r="AU773">
        <v>2023</v>
      </c>
      <c r="AV773">
        <v>175</v>
      </c>
      <c r="AW773" t="s">
        <v>74</v>
      </c>
      <c r="AX773" t="s">
        <v>74</v>
      </c>
      <c r="AY773" t="s">
        <v>74</v>
      </c>
      <c r="AZ773" t="s">
        <v>74</v>
      </c>
      <c r="BA773" t="s">
        <v>74</v>
      </c>
      <c r="BB773" t="s">
        <v>74</v>
      </c>
      <c r="BC773" t="s">
        <v>74</v>
      </c>
      <c r="BD773">
        <v>103780</v>
      </c>
      <c r="BE773" t="s">
        <v>14461</v>
      </c>
      <c r="BF773" t="str">
        <f>HYPERLINK("http://dx.doi.org/10.1016/j.tra.2023.103780","http://dx.doi.org/10.1016/j.tra.2023.103780")</f>
        <v>http://dx.doi.org/10.1016/j.tra.2023.103780</v>
      </c>
      <c r="BG773" t="s">
        <v>74</v>
      </c>
      <c r="BH773" t="s">
        <v>74</v>
      </c>
      <c r="BI773">
        <v>17</v>
      </c>
      <c r="BJ773" t="s">
        <v>14462</v>
      </c>
      <c r="BK773" t="s">
        <v>147</v>
      </c>
      <c r="BL773" t="s">
        <v>12046</v>
      </c>
      <c r="BM773" t="s">
        <v>14463</v>
      </c>
      <c r="BN773" t="s">
        <v>74</v>
      </c>
      <c r="BO773" t="s">
        <v>74</v>
      </c>
      <c r="BP773" t="s">
        <v>74</v>
      </c>
      <c r="BQ773" t="s">
        <v>74</v>
      </c>
      <c r="BR773" t="s">
        <v>102</v>
      </c>
      <c r="BS773" t="s">
        <v>14464</v>
      </c>
      <c r="BT773" t="str">
        <f>HYPERLINK("https%3A%2F%2Fwww.webofscience.com%2Fwos%2Fwoscc%2Ffull-record%2FWOS:001059403500001","View Full Record in Web of Science")</f>
        <v>View Full Record in Web of Science</v>
      </c>
    </row>
    <row r="774" spans="1:72" x14ac:dyDescent="0.2">
      <c r="A774" t="s">
        <v>72</v>
      </c>
      <c r="B774" t="s">
        <v>14465</v>
      </c>
      <c r="C774" t="s">
        <v>74</v>
      </c>
      <c r="D774" t="s">
        <v>74</v>
      </c>
      <c r="E774" t="s">
        <v>74</v>
      </c>
      <c r="F774" t="s">
        <v>14466</v>
      </c>
      <c r="G774" t="s">
        <v>74</v>
      </c>
      <c r="H774" t="s">
        <v>74</v>
      </c>
      <c r="I774" t="s">
        <v>14467</v>
      </c>
      <c r="J774" t="s">
        <v>531</v>
      </c>
      <c r="K774" t="s">
        <v>74</v>
      </c>
      <c r="L774" t="s">
        <v>74</v>
      </c>
      <c r="M774" t="s">
        <v>78</v>
      </c>
      <c r="N774" t="s">
        <v>108</v>
      </c>
      <c r="O774" t="s">
        <v>74</v>
      </c>
      <c r="P774" t="s">
        <v>74</v>
      </c>
      <c r="Q774" t="s">
        <v>74</v>
      </c>
      <c r="R774" t="s">
        <v>74</v>
      </c>
      <c r="S774" t="s">
        <v>74</v>
      </c>
      <c r="T774" t="s">
        <v>14468</v>
      </c>
      <c r="U774" t="s">
        <v>14469</v>
      </c>
      <c r="V774" t="s">
        <v>14470</v>
      </c>
      <c r="W774" t="s">
        <v>14471</v>
      </c>
      <c r="X774" t="s">
        <v>14472</v>
      </c>
      <c r="Y774" t="s">
        <v>14473</v>
      </c>
      <c r="Z774" t="s">
        <v>14474</v>
      </c>
      <c r="AA774" t="s">
        <v>14475</v>
      </c>
      <c r="AB774" t="s">
        <v>14476</v>
      </c>
      <c r="AC774" t="s">
        <v>74</v>
      </c>
      <c r="AD774" t="s">
        <v>74</v>
      </c>
      <c r="AE774" t="s">
        <v>74</v>
      </c>
      <c r="AF774" t="s">
        <v>74</v>
      </c>
      <c r="AG774">
        <v>49</v>
      </c>
      <c r="AH774">
        <v>13</v>
      </c>
      <c r="AI774">
        <v>16</v>
      </c>
      <c r="AJ774">
        <v>5</v>
      </c>
      <c r="AK774">
        <v>44</v>
      </c>
      <c r="AL774" t="s">
        <v>543</v>
      </c>
      <c r="AM774" t="s">
        <v>260</v>
      </c>
      <c r="AN774" t="s">
        <v>544</v>
      </c>
      <c r="AO774" t="s">
        <v>545</v>
      </c>
      <c r="AP774" t="s">
        <v>546</v>
      </c>
      <c r="AQ774" t="s">
        <v>74</v>
      </c>
      <c r="AR774" t="s">
        <v>547</v>
      </c>
      <c r="AS774" t="s">
        <v>548</v>
      </c>
      <c r="AT774" t="s">
        <v>174</v>
      </c>
      <c r="AU774">
        <v>2021</v>
      </c>
      <c r="AV774">
        <v>160</v>
      </c>
      <c r="AW774" t="s">
        <v>74</v>
      </c>
      <c r="AX774" t="s">
        <v>74</v>
      </c>
      <c r="AY774" t="s">
        <v>74</v>
      </c>
      <c r="AZ774" t="s">
        <v>74</v>
      </c>
      <c r="BA774" t="s">
        <v>74</v>
      </c>
      <c r="BB774" t="s">
        <v>74</v>
      </c>
      <c r="BC774" t="s">
        <v>74</v>
      </c>
      <c r="BD774">
        <v>107580</v>
      </c>
      <c r="BE774" t="s">
        <v>14477</v>
      </c>
      <c r="BF774" t="str">
        <f>HYPERLINK("http://dx.doi.org/10.1016/j.cie.2021.107580","http://dx.doi.org/10.1016/j.cie.2021.107580")</f>
        <v>http://dx.doi.org/10.1016/j.cie.2021.107580</v>
      </c>
      <c r="BG774" t="s">
        <v>74</v>
      </c>
      <c r="BH774" t="s">
        <v>1373</v>
      </c>
      <c r="BI774">
        <v>16</v>
      </c>
      <c r="BJ774" t="s">
        <v>550</v>
      </c>
      <c r="BK774" t="s">
        <v>98</v>
      </c>
      <c r="BL774" t="s">
        <v>269</v>
      </c>
      <c r="BM774" t="s">
        <v>1718</v>
      </c>
      <c r="BN774" t="s">
        <v>74</v>
      </c>
      <c r="BO774" t="s">
        <v>74</v>
      </c>
      <c r="BP774" t="s">
        <v>74</v>
      </c>
      <c r="BQ774" t="s">
        <v>74</v>
      </c>
      <c r="BR774" t="s">
        <v>102</v>
      </c>
      <c r="BS774" t="s">
        <v>14478</v>
      </c>
      <c r="BT774" t="str">
        <f>HYPERLINK("https%3A%2F%2Fwww.webofscience.com%2Fwos%2Fwoscc%2Ffull-record%2FWOS:000696311000013","View Full Record in Web of Science")</f>
        <v>View Full Record in Web of Science</v>
      </c>
    </row>
    <row r="775" spans="1:72" x14ac:dyDescent="0.2">
      <c r="A775" t="s">
        <v>72</v>
      </c>
      <c r="B775" t="s">
        <v>14479</v>
      </c>
      <c r="C775" t="s">
        <v>74</v>
      </c>
      <c r="D775" t="s">
        <v>74</v>
      </c>
      <c r="E775" t="s">
        <v>74</v>
      </c>
      <c r="F775" t="s">
        <v>14480</v>
      </c>
      <c r="G775" t="s">
        <v>74</v>
      </c>
      <c r="H775" t="s">
        <v>74</v>
      </c>
      <c r="I775" t="s">
        <v>14481</v>
      </c>
      <c r="J775" t="s">
        <v>14482</v>
      </c>
      <c r="K775" t="s">
        <v>74</v>
      </c>
      <c r="L775" t="s">
        <v>74</v>
      </c>
      <c r="M775" t="s">
        <v>78</v>
      </c>
      <c r="N775" t="s">
        <v>108</v>
      </c>
      <c r="O775" t="s">
        <v>74</v>
      </c>
      <c r="P775" t="s">
        <v>74</v>
      </c>
      <c r="Q775" t="s">
        <v>74</v>
      </c>
      <c r="R775" t="s">
        <v>74</v>
      </c>
      <c r="S775" t="s">
        <v>74</v>
      </c>
      <c r="T775" t="s">
        <v>14483</v>
      </c>
      <c r="U775" t="s">
        <v>14484</v>
      </c>
      <c r="V775" t="s">
        <v>14485</v>
      </c>
      <c r="W775" t="s">
        <v>14486</v>
      </c>
      <c r="X775" t="s">
        <v>14487</v>
      </c>
      <c r="Y775" t="s">
        <v>14488</v>
      </c>
      <c r="Z775" t="s">
        <v>14489</v>
      </c>
      <c r="AA775" t="s">
        <v>14490</v>
      </c>
      <c r="AB775" t="s">
        <v>14491</v>
      </c>
      <c r="AC775" t="s">
        <v>14492</v>
      </c>
      <c r="AD775" t="s">
        <v>14493</v>
      </c>
      <c r="AE775" t="s">
        <v>14494</v>
      </c>
      <c r="AF775" t="s">
        <v>74</v>
      </c>
      <c r="AG775">
        <v>103</v>
      </c>
      <c r="AH775">
        <v>0</v>
      </c>
      <c r="AI775">
        <v>0</v>
      </c>
      <c r="AJ775">
        <v>4</v>
      </c>
      <c r="AK775">
        <v>9</v>
      </c>
      <c r="AL775" t="s">
        <v>167</v>
      </c>
      <c r="AM775" t="s">
        <v>168</v>
      </c>
      <c r="AN775" t="s">
        <v>169</v>
      </c>
      <c r="AO775" t="s">
        <v>14495</v>
      </c>
      <c r="AP775" t="s">
        <v>14496</v>
      </c>
      <c r="AQ775" t="s">
        <v>74</v>
      </c>
      <c r="AR775" t="s">
        <v>14497</v>
      </c>
      <c r="AS775" t="s">
        <v>14498</v>
      </c>
      <c r="AT775" t="s">
        <v>194</v>
      </c>
      <c r="AU775">
        <v>2022</v>
      </c>
      <c r="AV775">
        <v>41</v>
      </c>
      <c r="AW775">
        <v>11</v>
      </c>
      <c r="AX775" t="s">
        <v>74</v>
      </c>
      <c r="AY775" t="s">
        <v>74</v>
      </c>
      <c r="AZ775" t="s">
        <v>74</v>
      </c>
      <c r="BA775" t="s">
        <v>74</v>
      </c>
      <c r="BB775">
        <v>3128</v>
      </c>
      <c r="BC775">
        <v>3145</v>
      </c>
      <c r="BD775" t="s">
        <v>74</v>
      </c>
      <c r="BE775" t="s">
        <v>14499</v>
      </c>
      <c r="BF775" t="str">
        <f>HYPERLINK("http://dx.doi.org/10.1109/TMI.2022.3178523","http://dx.doi.org/10.1109/TMI.2022.3178523")</f>
        <v>http://dx.doi.org/10.1109/TMI.2022.3178523</v>
      </c>
      <c r="BG775" t="s">
        <v>74</v>
      </c>
      <c r="BH775" t="s">
        <v>74</v>
      </c>
      <c r="BI775">
        <v>18</v>
      </c>
      <c r="BJ775" t="s">
        <v>14500</v>
      </c>
      <c r="BK775" t="s">
        <v>98</v>
      </c>
      <c r="BL775" t="s">
        <v>14501</v>
      </c>
      <c r="BM775" t="s">
        <v>14502</v>
      </c>
      <c r="BN775">
        <v>35622798</v>
      </c>
      <c r="BO775" t="s">
        <v>1833</v>
      </c>
      <c r="BP775" t="s">
        <v>74</v>
      </c>
      <c r="BQ775" t="s">
        <v>74</v>
      </c>
      <c r="BR775" t="s">
        <v>102</v>
      </c>
      <c r="BS775" t="s">
        <v>14503</v>
      </c>
      <c r="BT775" t="str">
        <f>HYPERLINK("https%3A%2F%2Fwww.webofscience.com%2Fwos%2Fwoscc%2Ffull-record%2FWOS:000876061700013","View Full Record in Web of Science")</f>
        <v>View Full Record in Web of Science</v>
      </c>
    </row>
    <row r="776" spans="1:72" x14ac:dyDescent="0.2">
      <c r="A776" t="s">
        <v>72</v>
      </c>
      <c r="B776" t="s">
        <v>14504</v>
      </c>
      <c r="C776" t="s">
        <v>74</v>
      </c>
      <c r="D776" t="s">
        <v>74</v>
      </c>
      <c r="E776" t="s">
        <v>74</v>
      </c>
      <c r="F776" t="s">
        <v>14505</v>
      </c>
      <c r="G776" t="s">
        <v>74</v>
      </c>
      <c r="H776" t="s">
        <v>74</v>
      </c>
      <c r="I776" t="s">
        <v>14506</v>
      </c>
      <c r="J776" t="s">
        <v>14507</v>
      </c>
      <c r="K776" t="s">
        <v>74</v>
      </c>
      <c r="L776" t="s">
        <v>74</v>
      </c>
      <c r="M776" t="s">
        <v>78</v>
      </c>
      <c r="N776" t="s">
        <v>108</v>
      </c>
      <c r="O776" t="s">
        <v>74</v>
      </c>
      <c r="P776" t="s">
        <v>74</v>
      </c>
      <c r="Q776" t="s">
        <v>74</v>
      </c>
      <c r="R776" t="s">
        <v>74</v>
      </c>
      <c r="S776" t="s">
        <v>74</v>
      </c>
      <c r="T776" t="s">
        <v>14508</v>
      </c>
      <c r="U776" t="s">
        <v>74</v>
      </c>
      <c r="V776" t="s">
        <v>14509</v>
      </c>
      <c r="W776" t="s">
        <v>14510</v>
      </c>
      <c r="X776" t="s">
        <v>14511</v>
      </c>
      <c r="Y776" t="s">
        <v>14512</v>
      </c>
      <c r="Z776" t="s">
        <v>14513</v>
      </c>
      <c r="AA776" t="s">
        <v>14514</v>
      </c>
      <c r="AB776" t="s">
        <v>74</v>
      </c>
      <c r="AC776" t="s">
        <v>14515</v>
      </c>
      <c r="AD776" t="s">
        <v>14516</v>
      </c>
      <c r="AE776" t="s">
        <v>14517</v>
      </c>
      <c r="AF776" t="s">
        <v>74</v>
      </c>
      <c r="AG776">
        <v>29</v>
      </c>
      <c r="AH776">
        <v>1</v>
      </c>
      <c r="AI776">
        <v>1</v>
      </c>
      <c r="AJ776">
        <v>1</v>
      </c>
      <c r="AK776">
        <v>11</v>
      </c>
      <c r="AL776" t="s">
        <v>409</v>
      </c>
      <c r="AM776" t="s">
        <v>410</v>
      </c>
      <c r="AN776" t="s">
        <v>411</v>
      </c>
      <c r="AO776" t="s">
        <v>14518</v>
      </c>
      <c r="AP776" t="s">
        <v>14519</v>
      </c>
      <c r="AQ776" t="s">
        <v>74</v>
      </c>
      <c r="AR776" t="s">
        <v>14520</v>
      </c>
      <c r="AS776" t="s">
        <v>14521</v>
      </c>
      <c r="AT776" t="s">
        <v>616</v>
      </c>
      <c r="AU776">
        <v>2023</v>
      </c>
      <c r="AV776">
        <v>39</v>
      </c>
      <c r="AW776">
        <v>2</v>
      </c>
      <c r="AX776" t="s">
        <v>74</v>
      </c>
      <c r="AY776" t="s">
        <v>74</v>
      </c>
      <c r="AZ776" t="s">
        <v>570</v>
      </c>
      <c r="BA776" t="s">
        <v>74</v>
      </c>
      <c r="BB776">
        <v>630</v>
      </c>
      <c r="BC776">
        <v>650</v>
      </c>
      <c r="BD776" t="s">
        <v>74</v>
      </c>
      <c r="BE776" t="s">
        <v>14522</v>
      </c>
      <c r="BF776" t="str">
        <f>HYPERLINK("http://dx.doi.org/10.1002/qre.3223","http://dx.doi.org/10.1002/qre.3223")</f>
        <v>http://dx.doi.org/10.1002/qre.3223</v>
      </c>
      <c r="BG776" t="s">
        <v>74</v>
      </c>
      <c r="BH776" t="s">
        <v>590</v>
      </c>
      <c r="BI776">
        <v>21</v>
      </c>
      <c r="BJ776" t="s">
        <v>11494</v>
      </c>
      <c r="BK776" t="s">
        <v>98</v>
      </c>
      <c r="BL776" t="s">
        <v>781</v>
      </c>
      <c r="BM776" t="s">
        <v>14523</v>
      </c>
      <c r="BN776" t="s">
        <v>74</v>
      </c>
      <c r="BO776" t="s">
        <v>74</v>
      </c>
      <c r="BP776" t="s">
        <v>74</v>
      </c>
      <c r="BQ776" t="s">
        <v>74</v>
      </c>
      <c r="BR776" t="s">
        <v>102</v>
      </c>
      <c r="BS776" t="s">
        <v>14524</v>
      </c>
      <c r="BT776" t="str">
        <f>HYPERLINK("https%3A%2F%2Fwww.webofscience.com%2Fwos%2Fwoscc%2Ffull-record%2FWOS:000872359200001","View Full Record in Web of Science")</f>
        <v>View Full Record in Web of Science</v>
      </c>
    </row>
    <row r="777" spans="1:72" x14ac:dyDescent="0.2">
      <c r="A777" t="s">
        <v>72</v>
      </c>
      <c r="B777" t="s">
        <v>14525</v>
      </c>
      <c r="C777" t="s">
        <v>74</v>
      </c>
      <c r="D777" t="s">
        <v>74</v>
      </c>
      <c r="E777" t="s">
        <v>74</v>
      </c>
      <c r="F777" t="s">
        <v>14526</v>
      </c>
      <c r="G777" t="s">
        <v>74</v>
      </c>
      <c r="H777" t="s">
        <v>74</v>
      </c>
      <c r="I777" t="s">
        <v>14527</v>
      </c>
      <c r="J777" t="s">
        <v>1317</v>
      </c>
      <c r="K777" t="s">
        <v>74</v>
      </c>
      <c r="L777" t="s">
        <v>74</v>
      </c>
      <c r="M777" t="s">
        <v>78</v>
      </c>
      <c r="N777" t="s">
        <v>108</v>
      </c>
      <c r="O777" t="s">
        <v>74</v>
      </c>
      <c r="P777" t="s">
        <v>74</v>
      </c>
      <c r="Q777" t="s">
        <v>74</v>
      </c>
      <c r="R777" t="s">
        <v>74</v>
      </c>
      <c r="S777" t="s">
        <v>74</v>
      </c>
      <c r="T777" t="s">
        <v>14528</v>
      </c>
      <c r="U777" t="s">
        <v>14529</v>
      </c>
      <c r="V777" t="s">
        <v>14530</v>
      </c>
      <c r="W777" t="s">
        <v>14531</v>
      </c>
      <c r="X777" t="s">
        <v>14532</v>
      </c>
      <c r="Y777" t="s">
        <v>14533</v>
      </c>
      <c r="Z777" t="s">
        <v>14534</v>
      </c>
      <c r="AA777" t="s">
        <v>14535</v>
      </c>
      <c r="AB777" t="s">
        <v>14536</v>
      </c>
      <c r="AC777" t="s">
        <v>74</v>
      </c>
      <c r="AD777" t="s">
        <v>74</v>
      </c>
      <c r="AE777" t="s">
        <v>74</v>
      </c>
      <c r="AF777" t="s">
        <v>74</v>
      </c>
      <c r="AG777">
        <v>52</v>
      </c>
      <c r="AH777">
        <v>8</v>
      </c>
      <c r="AI777">
        <v>9</v>
      </c>
      <c r="AJ777">
        <v>1</v>
      </c>
      <c r="AK777">
        <v>16</v>
      </c>
      <c r="AL777" t="s">
        <v>437</v>
      </c>
      <c r="AM777" t="s">
        <v>438</v>
      </c>
      <c r="AN777" t="s">
        <v>439</v>
      </c>
      <c r="AO777" t="s">
        <v>1325</v>
      </c>
      <c r="AP777" t="s">
        <v>1326</v>
      </c>
      <c r="AQ777" t="s">
        <v>74</v>
      </c>
      <c r="AR777" t="s">
        <v>1327</v>
      </c>
      <c r="AS777" t="s">
        <v>1328</v>
      </c>
      <c r="AT777" t="s">
        <v>14537</v>
      </c>
      <c r="AU777">
        <v>2019</v>
      </c>
      <c r="AV777">
        <v>26</v>
      </c>
      <c r="AW777">
        <v>1</v>
      </c>
      <c r="AX777" t="s">
        <v>74</v>
      </c>
      <c r="AY777" t="s">
        <v>74</v>
      </c>
      <c r="AZ777" t="s">
        <v>74</v>
      </c>
      <c r="BA777" t="s">
        <v>74</v>
      </c>
      <c r="BB777">
        <v>73</v>
      </c>
      <c r="BC777">
        <v>96</v>
      </c>
      <c r="BD777" t="s">
        <v>74</v>
      </c>
      <c r="BE777" t="s">
        <v>14538</v>
      </c>
      <c r="BF777" t="str">
        <f>HYPERLINK("http://dx.doi.org/10.1108/BIJ-03-2018-0074","http://dx.doi.org/10.1108/BIJ-03-2018-0074")</f>
        <v>http://dx.doi.org/10.1108/BIJ-03-2018-0074</v>
      </c>
      <c r="BG777" t="s">
        <v>74</v>
      </c>
      <c r="BH777" t="s">
        <v>74</v>
      </c>
      <c r="BI777">
        <v>24</v>
      </c>
      <c r="BJ777" t="s">
        <v>418</v>
      </c>
      <c r="BK777" t="s">
        <v>124</v>
      </c>
      <c r="BL777" t="s">
        <v>419</v>
      </c>
      <c r="BM777" t="s">
        <v>14539</v>
      </c>
      <c r="BN777" t="s">
        <v>74</v>
      </c>
      <c r="BO777" t="s">
        <v>74</v>
      </c>
      <c r="BP777" t="s">
        <v>74</v>
      </c>
      <c r="BQ777" t="s">
        <v>74</v>
      </c>
      <c r="BR777" t="s">
        <v>102</v>
      </c>
      <c r="BS777" t="s">
        <v>14540</v>
      </c>
      <c r="BT777" t="str">
        <f>HYPERLINK("https%3A%2F%2Fwww.webofscience.com%2Fwos%2Fwoscc%2Ffull-record%2FWOS:000458382400004","View Full Record in Web of Science")</f>
        <v>View Full Record in Web of Science</v>
      </c>
    </row>
    <row r="778" spans="1:72" x14ac:dyDescent="0.2">
      <c r="A778" t="s">
        <v>72</v>
      </c>
      <c r="B778" t="s">
        <v>14541</v>
      </c>
      <c r="C778" t="s">
        <v>74</v>
      </c>
      <c r="D778" t="s">
        <v>74</v>
      </c>
      <c r="E778" t="s">
        <v>74</v>
      </c>
      <c r="F778" t="s">
        <v>14542</v>
      </c>
      <c r="G778" t="s">
        <v>74</v>
      </c>
      <c r="H778" t="s">
        <v>74</v>
      </c>
      <c r="I778" t="s">
        <v>14543</v>
      </c>
      <c r="J778" t="s">
        <v>2087</v>
      </c>
      <c r="K778" t="s">
        <v>74</v>
      </c>
      <c r="L778" t="s">
        <v>74</v>
      </c>
      <c r="M778" t="s">
        <v>78</v>
      </c>
      <c r="N778" t="s">
        <v>108</v>
      </c>
      <c r="O778" t="s">
        <v>74</v>
      </c>
      <c r="P778" t="s">
        <v>74</v>
      </c>
      <c r="Q778" t="s">
        <v>74</v>
      </c>
      <c r="R778" t="s">
        <v>74</v>
      </c>
      <c r="S778" t="s">
        <v>74</v>
      </c>
      <c r="T778" t="s">
        <v>14544</v>
      </c>
      <c r="U778" t="s">
        <v>14545</v>
      </c>
      <c r="V778" t="s">
        <v>14546</v>
      </c>
      <c r="W778" t="s">
        <v>14547</v>
      </c>
      <c r="X778" t="s">
        <v>14548</v>
      </c>
      <c r="Y778" t="s">
        <v>14549</v>
      </c>
      <c r="Z778" t="s">
        <v>14550</v>
      </c>
      <c r="AA778" t="s">
        <v>14551</v>
      </c>
      <c r="AB778" t="s">
        <v>14552</v>
      </c>
      <c r="AC778" t="s">
        <v>14553</v>
      </c>
      <c r="AD778" t="s">
        <v>14554</v>
      </c>
      <c r="AE778" t="s">
        <v>14555</v>
      </c>
      <c r="AF778" t="s">
        <v>74</v>
      </c>
      <c r="AG778">
        <v>100</v>
      </c>
      <c r="AH778">
        <v>38</v>
      </c>
      <c r="AI778">
        <v>38</v>
      </c>
      <c r="AJ778">
        <v>16</v>
      </c>
      <c r="AK778">
        <v>113</v>
      </c>
      <c r="AL778" t="s">
        <v>259</v>
      </c>
      <c r="AM778" t="s">
        <v>260</v>
      </c>
      <c r="AN778" t="s">
        <v>261</v>
      </c>
      <c r="AO778" t="s">
        <v>2096</v>
      </c>
      <c r="AP778" t="s">
        <v>2097</v>
      </c>
      <c r="AQ778" t="s">
        <v>74</v>
      </c>
      <c r="AR778" t="s">
        <v>2098</v>
      </c>
      <c r="AS778" t="s">
        <v>2099</v>
      </c>
      <c r="AT778" t="s">
        <v>800</v>
      </c>
      <c r="AU778">
        <v>2021</v>
      </c>
      <c r="AV778">
        <v>57</v>
      </c>
      <c r="AW778" t="s">
        <v>74</v>
      </c>
      <c r="AX778" t="s">
        <v>74</v>
      </c>
      <c r="AY778" t="s">
        <v>74</v>
      </c>
      <c r="AZ778" t="s">
        <v>74</v>
      </c>
      <c r="BA778" t="s">
        <v>74</v>
      </c>
      <c r="BB778" t="s">
        <v>74</v>
      </c>
      <c r="BC778" t="s">
        <v>74</v>
      </c>
      <c r="BD778">
        <v>102165</v>
      </c>
      <c r="BE778" t="s">
        <v>14556</v>
      </c>
      <c r="BF778" t="str">
        <f>HYPERLINK("http://dx.doi.org/10.1016/j.ijinfomgt.2020.102165","http://dx.doi.org/10.1016/j.ijinfomgt.2020.102165")</f>
        <v>http://dx.doi.org/10.1016/j.ijinfomgt.2020.102165</v>
      </c>
      <c r="BG778" t="s">
        <v>74</v>
      </c>
      <c r="BH778" t="s">
        <v>2101</v>
      </c>
      <c r="BI778">
        <v>14</v>
      </c>
      <c r="BJ778" t="s">
        <v>2102</v>
      </c>
      <c r="BK778" t="s">
        <v>242</v>
      </c>
      <c r="BL778" t="s">
        <v>2102</v>
      </c>
      <c r="BM778" t="s">
        <v>2103</v>
      </c>
      <c r="BN778" t="s">
        <v>74</v>
      </c>
      <c r="BO778" t="s">
        <v>74</v>
      </c>
      <c r="BP778" t="s">
        <v>74</v>
      </c>
      <c r="BQ778" t="s">
        <v>74</v>
      </c>
      <c r="BR778" t="s">
        <v>102</v>
      </c>
      <c r="BS778" t="s">
        <v>14557</v>
      </c>
      <c r="BT778" t="str">
        <f>HYPERLINK("https%3A%2F%2Fwww.webofscience.com%2Fwos%2Fwoscc%2Ffull-record%2FWOS:000618806300005","View Full Record in Web of Science")</f>
        <v>View Full Record in Web of Science</v>
      </c>
    </row>
    <row r="779" spans="1:72" x14ac:dyDescent="0.2">
      <c r="A779" t="s">
        <v>72</v>
      </c>
      <c r="B779" t="s">
        <v>14558</v>
      </c>
      <c r="C779" t="s">
        <v>74</v>
      </c>
      <c r="D779" t="s">
        <v>74</v>
      </c>
      <c r="E779" t="s">
        <v>74</v>
      </c>
      <c r="F779" t="s">
        <v>14559</v>
      </c>
      <c r="G779" t="s">
        <v>74</v>
      </c>
      <c r="H779" t="s">
        <v>74</v>
      </c>
      <c r="I779" t="s">
        <v>14560</v>
      </c>
      <c r="J779" t="s">
        <v>1278</v>
      </c>
      <c r="K779" t="s">
        <v>74</v>
      </c>
      <c r="L779" t="s">
        <v>74</v>
      </c>
      <c r="M779" t="s">
        <v>78</v>
      </c>
      <c r="N779" t="s">
        <v>108</v>
      </c>
      <c r="O779" t="s">
        <v>74</v>
      </c>
      <c r="P779" t="s">
        <v>74</v>
      </c>
      <c r="Q779" t="s">
        <v>74</v>
      </c>
      <c r="R779" t="s">
        <v>74</v>
      </c>
      <c r="S779" t="s">
        <v>74</v>
      </c>
      <c r="T779" t="s">
        <v>14561</v>
      </c>
      <c r="U779" t="s">
        <v>14562</v>
      </c>
      <c r="V779" t="s">
        <v>14563</v>
      </c>
      <c r="W779" t="s">
        <v>14564</v>
      </c>
      <c r="X779" t="s">
        <v>14565</v>
      </c>
      <c r="Y779" t="s">
        <v>14566</v>
      </c>
      <c r="Z779" t="s">
        <v>14567</v>
      </c>
      <c r="AA779" t="s">
        <v>14568</v>
      </c>
      <c r="AB779" t="s">
        <v>74</v>
      </c>
      <c r="AC779" t="s">
        <v>14569</v>
      </c>
      <c r="AD779" t="s">
        <v>14570</v>
      </c>
      <c r="AE779" t="s">
        <v>14571</v>
      </c>
      <c r="AF779" t="s">
        <v>74</v>
      </c>
      <c r="AG779">
        <v>66</v>
      </c>
      <c r="AH779">
        <v>15</v>
      </c>
      <c r="AI779">
        <v>15</v>
      </c>
      <c r="AJ779">
        <v>7</v>
      </c>
      <c r="AK779">
        <v>35</v>
      </c>
      <c r="AL779" t="s">
        <v>116</v>
      </c>
      <c r="AM779" t="s">
        <v>117</v>
      </c>
      <c r="AN779" t="s">
        <v>118</v>
      </c>
      <c r="AO779" t="s">
        <v>74</v>
      </c>
      <c r="AP779" t="s">
        <v>1288</v>
      </c>
      <c r="AQ779" t="s">
        <v>74</v>
      </c>
      <c r="AR779" t="s">
        <v>1278</v>
      </c>
      <c r="AS779" t="s">
        <v>1289</v>
      </c>
      <c r="AT779" t="s">
        <v>394</v>
      </c>
      <c r="AU779">
        <v>2019</v>
      </c>
      <c r="AV779">
        <v>7</v>
      </c>
      <c r="AW779">
        <v>9</v>
      </c>
      <c r="AX779" t="s">
        <v>74</v>
      </c>
      <c r="AY779" t="s">
        <v>74</v>
      </c>
      <c r="AZ779" t="s">
        <v>74</v>
      </c>
      <c r="BA779" t="s">
        <v>74</v>
      </c>
      <c r="BB779" t="s">
        <v>74</v>
      </c>
      <c r="BC779" t="s">
        <v>74</v>
      </c>
      <c r="BD779">
        <v>573</v>
      </c>
      <c r="BE779" t="s">
        <v>14572</v>
      </c>
      <c r="BF779" t="str">
        <f>HYPERLINK("http://dx.doi.org/10.3390/pr7090573","http://dx.doi.org/10.3390/pr7090573")</f>
        <v>http://dx.doi.org/10.3390/pr7090573</v>
      </c>
      <c r="BG779" t="s">
        <v>74</v>
      </c>
      <c r="BH779" t="s">
        <v>74</v>
      </c>
      <c r="BI779">
        <v>24</v>
      </c>
      <c r="BJ779" t="s">
        <v>1291</v>
      </c>
      <c r="BK779" t="s">
        <v>98</v>
      </c>
      <c r="BL779" t="s">
        <v>1292</v>
      </c>
      <c r="BM779" t="s">
        <v>14573</v>
      </c>
      <c r="BN779" t="s">
        <v>74</v>
      </c>
      <c r="BO779" t="s">
        <v>150</v>
      </c>
      <c r="BP779" t="s">
        <v>74</v>
      </c>
      <c r="BQ779" t="s">
        <v>74</v>
      </c>
      <c r="BR779" t="s">
        <v>102</v>
      </c>
      <c r="BS779" t="s">
        <v>14574</v>
      </c>
      <c r="BT779" t="str">
        <f>HYPERLINK("https%3A%2F%2Fwww.webofscience.com%2Fwos%2Fwoscc%2Ffull-record%2FWOS:000489121800026","View Full Record in Web of Science")</f>
        <v>View Full Record in Web of Science</v>
      </c>
    </row>
    <row r="780" spans="1:72" x14ac:dyDescent="0.2">
      <c r="A780" t="s">
        <v>72</v>
      </c>
      <c r="B780" t="s">
        <v>14575</v>
      </c>
      <c r="C780" t="s">
        <v>74</v>
      </c>
      <c r="D780" t="s">
        <v>74</v>
      </c>
      <c r="E780" t="s">
        <v>74</v>
      </c>
      <c r="F780" t="s">
        <v>14576</v>
      </c>
      <c r="G780" t="s">
        <v>74</v>
      </c>
      <c r="H780" t="s">
        <v>74</v>
      </c>
      <c r="I780" t="s">
        <v>14577</v>
      </c>
      <c r="J780" t="s">
        <v>4384</v>
      </c>
      <c r="K780" t="s">
        <v>74</v>
      </c>
      <c r="L780" t="s">
        <v>74</v>
      </c>
      <c r="M780" t="s">
        <v>78</v>
      </c>
      <c r="N780" t="s">
        <v>108</v>
      </c>
      <c r="O780" t="s">
        <v>74</v>
      </c>
      <c r="P780" t="s">
        <v>74</v>
      </c>
      <c r="Q780" t="s">
        <v>74</v>
      </c>
      <c r="R780" t="s">
        <v>74</v>
      </c>
      <c r="S780" t="s">
        <v>74</v>
      </c>
      <c r="T780" t="s">
        <v>14578</v>
      </c>
      <c r="U780" t="s">
        <v>14579</v>
      </c>
      <c r="V780" t="s">
        <v>14580</v>
      </c>
      <c r="W780" t="s">
        <v>14581</v>
      </c>
      <c r="X780" t="s">
        <v>14582</v>
      </c>
      <c r="Y780" t="s">
        <v>14583</v>
      </c>
      <c r="Z780" t="s">
        <v>14584</v>
      </c>
      <c r="AA780" t="s">
        <v>14585</v>
      </c>
      <c r="AB780" t="s">
        <v>14586</v>
      </c>
      <c r="AC780" t="s">
        <v>14587</v>
      </c>
      <c r="AD780" t="s">
        <v>14588</v>
      </c>
      <c r="AE780" t="s">
        <v>14589</v>
      </c>
      <c r="AF780" t="s">
        <v>74</v>
      </c>
      <c r="AG780">
        <v>40</v>
      </c>
      <c r="AH780">
        <v>2</v>
      </c>
      <c r="AI780">
        <v>2</v>
      </c>
      <c r="AJ780">
        <v>0</v>
      </c>
      <c r="AK780">
        <v>8</v>
      </c>
      <c r="AL780" t="s">
        <v>167</v>
      </c>
      <c r="AM780" t="s">
        <v>168</v>
      </c>
      <c r="AN780" t="s">
        <v>169</v>
      </c>
      <c r="AO780" t="s">
        <v>4393</v>
      </c>
      <c r="AP780" t="s">
        <v>74</v>
      </c>
      <c r="AQ780" t="s">
        <v>74</v>
      </c>
      <c r="AR780" t="s">
        <v>4384</v>
      </c>
      <c r="AS780" t="s">
        <v>4394</v>
      </c>
      <c r="AT780" t="s">
        <v>74</v>
      </c>
      <c r="AU780">
        <v>2020</v>
      </c>
      <c r="AV780">
        <v>8</v>
      </c>
      <c r="AW780" t="s">
        <v>74</v>
      </c>
      <c r="AX780" t="s">
        <v>74</v>
      </c>
      <c r="AY780" t="s">
        <v>74</v>
      </c>
      <c r="AZ780" t="s">
        <v>74</v>
      </c>
      <c r="BA780" t="s">
        <v>74</v>
      </c>
      <c r="BB780">
        <v>178097</v>
      </c>
      <c r="BC780">
        <v>178107</v>
      </c>
      <c r="BD780" t="s">
        <v>74</v>
      </c>
      <c r="BE780" t="s">
        <v>14590</v>
      </c>
      <c r="BF780" t="str">
        <f>HYPERLINK("http://dx.doi.org/10.1109/ACCESS.2020.3026933","http://dx.doi.org/10.1109/ACCESS.2020.3026933")</f>
        <v>http://dx.doi.org/10.1109/ACCESS.2020.3026933</v>
      </c>
      <c r="BG780" t="s">
        <v>74</v>
      </c>
      <c r="BH780" t="s">
        <v>74</v>
      </c>
      <c r="BI780">
        <v>11</v>
      </c>
      <c r="BJ780" t="s">
        <v>2959</v>
      </c>
      <c r="BK780" t="s">
        <v>98</v>
      </c>
      <c r="BL780" t="s">
        <v>2960</v>
      </c>
      <c r="BM780" t="s">
        <v>14591</v>
      </c>
      <c r="BN780" t="s">
        <v>74</v>
      </c>
      <c r="BO780" t="s">
        <v>126</v>
      </c>
      <c r="BP780" t="s">
        <v>74</v>
      </c>
      <c r="BQ780" t="s">
        <v>74</v>
      </c>
      <c r="BR780" t="s">
        <v>102</v>
      </c>
      <c r="BS780" t="s">
        <v>14592</v>
      </c>
      <c r="BT780" t="str">
        <f>HYPERLINK("https%3A%2F%2Fwww.webofscience.com%2Fwos%2Fwoscc%2Ffull-record%2FWOS:000578851500001","View Full Record in Web of Science")</f>
        <v>View Full Record in Web of Science</v>
      </c>
    </row>
    <row r="781" spans="1:72" x14ac:dyDescent="0.2">
      <c r="A781" t="s">
        <v>72</v>
      </c>
      <c r="B781" t="s">
        <v>14593</v>
      </c>
      <c r="C781" t="s">
        <v>74</v>
      </c>
      <c r="D781" t="s">
        <v>74</v>
      </c>
      <c r="E781" t="s">
        <v>74</v>
      </c>
      <c r="F781" t="s">
        <v>14594</v>
      </c>
      <c r="G781" t="s">
        <v>74</v>
      </c>
      <c r="H781" t="s">
        <v>74</v>
      </c>
      <c r="I781" t="s">
        <v>14595</v>
      </c>
      <c r="J781" t="s">
        <v>14596</v>
      </c>
      <c r="K781" t="s">
        <v>74</v>
      </c>
      <c r="L781" t="s">
        <v>74</v>
      </c>
      <c r="M781" t="s">
        <v>78</v>
      </c>
      <c r="N781" t="s">
        <v>108</v>
      </c>
      <c r="O781" t="s">
        <v>74</v>
      </c>
      <c r="P781" t="s">
        <v>74</v>
      </c>
      <c r="Q781" t="s">
        <v>74</v>
      </c>
      <c r="R781" t="s">
        <v>74</v>
      </c>
      <c r="S781" t="s">
        <v>74</v>
      </c>
      <c r="T781" t="s">
        <v>14597</v>
      </c>
      <c r="U781" t="s">
        <v>14598</v>
      </c>
      <c r="V781" t="s">
        <v>14599</v>
      </c>
      <c r="W781" t="s">
        <v>14600</v>
      </c>
      <c r="X781" t="s">
        <v>1205</v>
      </c>
      <c r="Y781" t="s">
        <v>14601</v>
      </c>
      <c r="Z781" t="s">
        <v>1207</v>
      </c>
      <c r="AA781" t="s">
        <v>14602</v>
      </c>
      <c r="AB781" t="s">
        <v>14603</v>
      </c>
      <c r="AC781" t="s">
        <v>74</v>
      </c>
      <c r="AD781" t="s">
        <v>74</v>
      </c>
      <c r="AE781" t="s">
        <v>74</v>
      </c>
      <c r="AF781" t="s">
        <v>74</v>
      </c>
      <c r="AG781">
        <v>49</v>
      </c>
      <c r="AH781">
        <v>0</v>
      </c>
      <c r="AI781">
        <v>0</v>
      </c>
      <c r="AJ781">
        <v>9</v>
      </c>
      <c r="AK781">
        <v>26</v>
      </c>
      <c r="AL781" t="s">
        <v>462</v>
      </c>
      <c r="AM781" t="s">
        <v>280</v>
      </c>
      <c r="AN781" t="s">
        <v>463</v>
      </c>
      <c r="AO781" t="s">
        <v>14604</v>
      </c>
      <c r="AP781" t="s">
        <v>14605</v>
      </c>
      <c r="AQ781" t="s">
        <v>74</v>
      </c>
      <c r="AR781" t="s">
        <v>14606</v>
      </c>
      <c r="AS781" t="s">
        <v>14607</v>
      </c>
      <c r="AT781" t="s">
        <v>1213</v>
      </c>
      <c r="AU781">
        <v>2022</v>
      </c>
      <c r="AV781">
        <v>9</v>
      </c>
      <c r="AW781">
        <v>3</v>
      </c>
      <c r="AX781" t="s">
        <v>74</v>
      </c>
      <c r="AY781" t="s">
        <v>74</v>
      </c>
      <c r="AZ781" t="s">
        <v>74</v>
      </c>
      <c r="BA781" t="s">
        <v>74</v>
      </c>
      <c r="BB781">
        <v>313</v>
      </c>
      <c r="BC781">
        <v>329</v>
      </c>
      <c r="BD781" t="s">
        <v>74</v>
      </c>
      <c r="BE781" t="s">
        <v>14608</v>
      </c>
      <c r="BF781" t="str">
        <f>HYPERLINK("http://dx.doi.org/10.1080/23270012.2022.2113161","http://dx.doi.org/10.1080/23270012.2022.2113161")</f>
        <v>http://dx.doi.org/10.1080/23270012.2022.2113161</v>
      </c>
      <c r="BG781" t="s">
        <v>74</v>
      </c>
      <c r="BH781" t="s">
        <v>572</v>
      </c>
      <c r="BI781">
        <v>17</v>
      </c>
      <c r="BJ781" t="s">
        <v>14609</v>
      </c>
      <c r="BK781" t="s">
        <v>242</v>
      </c>
      <c r="BL781" t="s">
        <v>12284</v>
      </c>
      <c r="BM781" t="s">
        <v>14610</v>
      </c>
      <c r="BN781" t="s">
        <v>74</v>
      </c>
      <c r="BO781" t="s">
        <v>74</v>
      </c>
      <c r="BP781" t="s">
        <v>74</v>
      </c>
      <c r="BQ781" t="s">
        <v>74</v>
      </c>
      <c r="BR781" t="s">
        <v>102</v>
      </c>
      <c r="BS781" t="s">
        <v>14611</v>
      </c>
      <c r="BT781" t="str">
        <f>HYPERLINK("https%3A%2F%2Fwww.webofscience.com%2Fwos%2Fwoscc%2Ffull-record%2FWOS:000847442300001","View Full Record in Web of Science")</f>
        <v>View Full Record in Web of Science</v>
      </c>
    </row>
    <row r="782" spans="1:72" x14ac:dyDescent="0.2">
      <c r="A782" t="s">
        <v>72</v>
      </c>
      <c r="B782" t="s">
        <v>14612</v>
      </c>
      <c r="C782" t="s">
        <v>74</v>
      </c>
      <c r="D782" t="s">
        <v>74</v>
      </c>
      <c r="E782" t="s">
        <v>74</v>
      </c>
      <c r="F782" t="s">
        <v>14613</v>
      </c>
      <c r="G782" t="s">
        <v>74</v>
      </c>
      <c r="H782" t="s">
        <v>74</v>
      </c>
      <c r="I782" t="s">
        <v>14614</v>
      </c>
      <c r="J782" t="s">
        <v>2621</v>
      </c>
      <c r="K782" t="s">
        <v>74</v>
      </c>
      <c r="L782" t="s">
        <v>74</v>
      </c>
      <c r="M782" t="s">
        <v>78</v>
      </c>
      <c r="N782" t="s">
        <v>108</v>
      </c>
      <c r="O782" t="s">
        <v>74</v>
      </c>
      <c r="P782" t="s">
        <v>74</v>
      </c>
      <c r="Q782" t="s">
        <v>74</v>
      </c>
      <c r="R782" t="s">
        <v>74</v>
      </c>
      <c r="S782" t="s">
        <v>74</v>
      </c>
      <c r="T782" t="s">
        <v>14615</v>
      </c>
      <c r="U782" t="s">
        <v>14616</v>
      </c>
      <c r="V782" t="s">
        <v>14617</v>
      </c>
      <c r="W782" t="s">
        <v>14618</v>
      </c>
      <c r="X782" t="s">
        <v>14619</v>
      </c>
      <c r="Y782" t="s">
        <v>14620</v>
      </c>
      <c r="Z782" t="s">
        <v>14621</v>
      </c>
      <c r="AA782" t="s">
        <v>74</v>
      </c>
      <c r="AB782" t="s">
        <v>74</v>
      </c>
      <c r="AC782" t="s">
        <v>74</v>
      </c>
      <c r="AD782" t="s">
        <v>74</v>
      </c>
      <c r="AE782" t="s">
        <v>74</v>
      </c>
      <c r="AF782" t="s">
        <v>74</v>
      </c>
      <c r="AG782">
        <v>32</v>
      </c>
      <c r="AH782">
        <v>3</v>
      </c>
      <c r="AI782">
        <v>3</v>
      </c>
      <c r="AJ782">
        <v>1</v>
      </c>
      <c r="AK782">
        <v>11</v>
      </c>
      <c r="AL782" t="s">
        <v>2634</v>
      </c>
      <c r="AM782" t="s">
        <v>2635</v>
      </c>
      <c r="AN782" t="s">
        <v>2636</v>
      </c>
      <c r="AO782" t="s">
        <v>2637</v>
      </c>
      <c r="AP782" t="s">
        <v>2638</v>
      </c>
      <c r="AQ782" t="s">
        <v>74</v>
      </c>
      <c r="AR782" t="s">
        <v>2639</v>
      </c>
      <c r="AS782" t="s">
        <v>2640</v>
      </c>
      <c r="AT782" t="s">
        <v>74</v>
      </c>
      <c r="AU782">
        <v>2017</v>
      </c>
      <c r="AV782">
        <v>11</v>
      </c>
      <c r="AW782">
        <v>4</v>
      </c>
      <c r="AX782" t="s">
        <v>74</v>
      </c>
      <c r="AY782" t="s">
        <v>74</v>
      </c>
      <c r="AZ782" t="s">
        <v>74</v>
      </c>
      <c r="BA782" t="s">
        <v>74</v>
      </c>
      <c r="BB782">
        <v>548</v>
      </c>
      <c r="BC782">
        <v>568</v>
      </c>
      <c r="BD782" t="s">
        <v>74</v>
      </c>
      <c r="BE782" t="s">
        <v>14622</v>
      </c>
      <c r="BF782" t="str">
        <f>HYPERLINK("http://dx.doi.org/10.1504/EJIE.2017.086187","http://dx.doi.org/10.1504/EJIE.2017.086187")</f>
        <v>http://dx.doi.org/10.1504/EJIE.2017.086187</v>
      </c>
      <c r="BG782" t="s">
        <v>74</v>
      </c>
      <c r="BH782" t="s">
        <v>74</v>
      </c>
      <c r="BI782">
        <v>21</v>
      </c>
      <c r="BJ782" t="s">
        <v>2642</v>
      </c>
      <c r="BK782" t="s">
        <v>147</v>
      </c>
      <c r="BL782" t="s">
        <v>781</v>
      </c>
      <c r="BM782" t="s">
        <v>8101</v>
      </c>
      <c r="BN782" t="s">
        <v>74</v>
      </c>
      <c r="BO782" t="s">
        <v>74</v>
      </c>
      <c r="BP782" t="s">
        <v>74</v>
      </c>
      <c r="BQ782" t="s">
        <v>74</v>
      </c>
      <c r="BR782" t="s">
        <v>102</v>
      </c>
      <c r="BS782" t="s">
        <v>14623</v>
      </c>
      <c r="BT782" t="str">
        <f>HYPERLINK("https%3A%2F%2Fwww.webofscience.com%2Fwos%2Fwoscc%2Ffull-record%2FWOS:000415107300005","View Full Record in Web of Science")</f>
        <v>View Full Record in Web of Science</v>
      </c>
    </row>
    <row r="783" spans="1:72" x14ac:dyDescent="0.2">
      <c r="A783" t="s">
        <v>72</v>
      </c>
      <c r="B783" t="s">
        <v>9502</v>
      </c>
      <c r="C783" t="s">
        <v>74</v>
      </c>
      <c r="D783" t="s">
        <v>74</v>
      </c>
      <c r="E783" t="s">
        <v>74</v>
      </c>
      <c r="F783" t="s">
        <v>9503</v>
      </c>
      <c r="G783" t="s">
        <v>74</v>
      </c>
      <c r="H783" t="s">
        <v>74</v>
      </c>
      <c r="I783" t="s">
        <v>14624</v>
      </c>
      <c r="J783" t="s">
        <v>14625</v>
      </c>
      <c r="K783" t="s">
        <v>74</v>
      </c>
      <c r="L783" t="s">
        <v>74</v>
      </c>
      <c r="M783" t="s">
        <v>78</v>
      </c>
      <c r="N783" t="s">
        <v>108</v>
      </c>
      <c r="O783" t="s">
        <v>74</v>
      </c>
      <c r="P783" t="s">
        <v>74</v>
      </c>
      <c r="Q783" t="s">
        <v>74</v>
      </c>
      <c r="R783" t="s">
        <v>74</v>
      </c>
      <c r="S783" t="s">
        <v>74</v>
      </c>
      <c r="T783" t="s">
        <v>14626</v>
      </c>
      <c r="U783" t="s">
        <v>14627</v>
      </c>
      <c r="V783" t="s">
        <v>14628</v>
      </c>
      <c r="W783" t="s">
        <v>14629</v>
      </c>
      <c r="X783" t="s">
        <v>9510</v>
      </c>
      <c r="Y783" t="s">
        <v>14630</v>
      </c>
      <c r="Z783" t="s">
        <v>9512</v>
      </c>
      <c r="AA783" t="s">
        <v>74</v>
      </c>
      <c r="AB783" t="s">
        <v>74</v>
      </c>
      <c r="AC783" t="s">
        <v>14631</v>
      </c>
      <c r="AD783" t="s">
        <v>14632</v>
      </c>
      <c r="AE783" t="s">
        <v>14633</v>
      </c>
      <c r="AF783" t="s">
        <v>74</v>
      </c>
      <c r="AG783">
        <v>37</v>
      </c>
      <c r="AH783">
        <v>36</v>
      </c>
      <c r="AI783">
        <v>36</v>
      </c>
      <c r="AJ783">
        <v>2</v>
      </c>
      <c r="AK783">
        <v>65</v>
      </c>
      <c r="AL783" t="s">
        <v>321</v>
      </c>
      <c r="AM783" t="s">
        <v>348</v>
      </c>
      <c r="AN783" t="s">
        <v>1454</v>
      </c>
      <c r="AO783" t="s">
        <v>14634</v>
      </c>
      <c r="AP783" t="s">
        <v>14635</v>
      </c>
      <c r="AQ783" t="s">
        <v>74</v>
      </c>
      <c r="AR783" t="s">
        <v>14636</v>
      </c>
      <c r="AS783" t="s">
        <v>14637</v>
      </c>
      <c r="AT783" t="s">
        <v>416</v>
      </c>
      <c r="AU783">
        <v>2012</v>
      </c>
      <c r="AV783">
        <v>11</v>
      </c>
      <c r="AW783">
        <v>2</v>
      </c>
      <c r="AX783" t="s">
        <v>74</v>
      </c>
      <c r="AY783" t="s">
        <v>74</v>
      </c>
      <c r="AZ783" t="s">
        <v>74</v>
      </c>
      <c r="BA783" t="s">
        <v>74</v>
      </c>
      <c r="BB783">
        <v>147</v>
      </c>
      <c r="BC783">
        <v>176</v>
      </c>
      <c r="BD783" t="s">
        <v>74</v>
      </c>
      <c r="BE783" t="s">
        <v>14638</v>
      </c>
      <c r="BF783" t="str">
        <f>HYPERLINK("http://dx.doi.org/10.1007/s10700-012-9117-x","http://dx.doi.org/10.1007/s10700-012-9117-x")</f>
        <v>http://dx.doi.org/10.1007/s10700-012-9117-x</v>
      </c>
      <c r="BG783" t="s">
        <v>74</v>
      </c>
      <c r="BH783" t="s">
        <v>74</v>
      </c>
      <c r="BI783">
        <v>30</v>
      </c>
      <c r="BJ783" t="s">
        <v>14639</v>
      </c>
      <c r="BK783" t="s">
        <v>98</v>
      </c>
      <c r="BL783" t="s">
        <v>1194</v>
      </c>
      <c r="BM783" t="s">
        <v>14640</v>
      </c>
      <c r="BN783" t="s">
        <v>74</v>
      </c>
      <c r="BO783" t="s">
        <v>74</v>
      </c>
      <c r="BP783" t="s">
        <v>74</v>
      </c>
      <c r="BQ783" t="s">
        <v>74</v>
      </c>
      <c r="BR783" t="s">
        <v>102</v>
      </c>
      <c r="BS783" t="s">
        <v>14641</v>
      </c>
      <c r="BT783" t="str">
        <f>HYPERLINK("https%3A%2F%2Fwww.webofscience.com%2Fwos%2Fwoscc%2Ffull-record%2FWOS:000304103200003","View Full Record in Web of Science")</f>
        <v>View Full Record in Web of Science</v>
      </c>
    </row>
    <row r="784" spans="1:72" x14ac:dyDescent="0.2">
      <c r="A784" t="s">
        <v>72</v>
      </c>
      <c r="B784" t="s">
        <v>14642</v>
      </c>
      <c r="C784" t="s">
        <v>74</v>
      </c>
      <c r="D784" t="s">
        <v>74</v>
      </c>
      <c r="E784" t="s">
        <v>74</v>
      </c>
      <c r="F784" t="s">
        <v>14643</v>
      </c>
      <c r="G784" t="s">
        <v>74</v>
      </c>
      <c r="H784" t="s">
        <v>74</v>
      </c>
      <c r="I784" t="s">
        <v>14644</v>
      </c>
      <c r="J784" t="s">
        <v>10462</v>
      </c>
      <c r="K784" t="s">
        <v>74</v>
      </c>
      <c r="L784" t="s">
        <v>74</v>
      </c>
      <c r="M784" t="s">
        <v>78</v>
      </c>
      <c r="N784" t="s">
        <v>108</v>
      </c>
      <c r="O784" t="s">
        <v>74</v>
      </c>
      <c r="P784" t="s">
        <v>74</v>
      </c>
      <c r="Q784" t="s">
        <v>74</v>
      </c>
      <c r="R784" t="s">
        <v>74</v>
      </c>
      <c r="S784" t="s">
        <v>74</v>
      </c>
      <c r="T784" t="s">
        <v>14645</v>
      </c>
      <c r="U784" t="s">
        <v>14646</v>
      </c>
      <c r="V784" t="s">
        <v>14647</v>
      </c>
      <c r="W784" t="s">
        <v>14648</v>
      </c>
      <c r="X784" t="s">
        <v>14649</v>
      </c>
      <c r="Y784" t="s">
        <v>14650</v>
      </c>
      <c r="Z784" t="s">
        <v>14651</v>
      </c>
      <c r="AA784" t="s">
        <v>14652</v>
      </c>
      <c r="AB784" t="s">
        <v>14653</v>
      </c>
      <c r="AC784" t="s">
        <v>74</v>
      </c>
      <c r="AD784" t="s">
        <v>74</v>
      </c>
      <c r="AE784" t="s">
        <v>74</v>
      </c>
      <c r="AF784" t="s">
        <v>74</v>
      </c>
      <c r="AG784">
        <v>58</v>
      </c>
      <c r="AH784">
        <v>5</v>
      </c>
      <c r="AI784">
        <v>5</v>
      </c>
      <c r="AJ784">
        <v>0</v>
      </c>
      <c r="AK784">
        <v>10</v>
      </c>
      <c r="AL784" t="s">
        <v>437</v>
      </c>
      <c r="AM784" t="s">
        <v>438</v>
      </c>
      <c r="AN784" t="s">
        <v>439</v>
      </c>
      <c r="AO784" t="s">
        <v>10470</v>
      </c>
      <c r="AP784" t="s">
        <v>10471</v>
      </c>
      <c r="AQ784" t="s">
        <v>74</v>
      </c>
      <c r="AR784" t="s">
        <v>10472</v>
      </c>
      <c r="AS784" t="s">
        <v>10473</v>
      </c>
      <c r="AT784" t="s">
        <v>14654</v>
      </c>
      <c r="AU784">
        <v>2020</v>
      </c>
      <c r="AV784">
        <v>31</v>
      </c>
      <c r="AW784">
        <v>1</v>
      </c>
      <c r="AX784" t="s">
        <v>74</v>
      </c>
      <c r="AY784" t="s">
        <v>74</v>
      </c>
      <c r="AZ784" t="s">
        <v>74</v>
      </c>
      <c r="BA784" t="s">
        <v>74</v>
      </c>
      <c r="BB784">
        <v>145</v>
      </c>
      <c r="BC784">
        <v>168</v>
      </c>
      <c r="BD784" t="s">
        <v>74</v>
      </c>
      <c r="BE784" t="s">
        <v>14655</v>
      </c>
      <c r="BF784" t="str">
        <f>HYPERLINK("http://dx.doi.org/10.1108/JMTM-12-2018-0450","http://dx.doi.org/10.1108/JMTM-12-2018-0450")</f>
        <v>http://dx.doi.org/10.1108/JMTM-12-2018-0450</v>
      </c>
      <c r="BG784" t="s">
        <v>74</v>
      </c>
      <c r="BH784" t="s">
        <v>74</v>
      </c>
      <c r="BI784">
        <v>24</v>
      </c>
      <c r="BJ784" t="s">
        <v>10476</v>
      </c>
      <c r="BK784" t="s">
        <v>147</v>
      </c>
      <c r="BL784" t="s">
        <v>1217</v>
      </c>
      <c r="BM784" t="s">
        <v>14656</v>
      </c>
      <c r="BN784" t="s">
        <v>74</v>
      </c>
      <c r="BO784" t="s">
        <v>74</v>
      </c>
      <c r="BP784" t="s">
        <v>74</v>
      </c>
      <c r="BQ784" t="s">
        <v>74</v>
      </c>
      <c r="BR784" t="s">
        <v>102</v>
      </c>
      <c r="BS784" t="s">
        <v>14657</v>
      </c>
      <c r="BT784" t="str">
        <f>HYPERLINK("https%3A%2F%2Fwww.webofscience.com%2Fwos%2Fwoscc%2Ffull-record%2FWOS:000507588500007","View Full Record in Web of Science")</f>
        <v>View Full Record in Web of Science</v>
      </c>
    </row>
    <row r="785" spans="1:72" x14ac:dyDescent="0.2">
      <c r="A785" t="s">
        <v>72</v>
      </c>
      <c r="B785" t="s">
        <v>6442</v>
      </c>
      <c r="C785" t="s">
        <v>74</v>
      </c>
      <c r="D785" t="s">
        <v>74</v>
      </c>
      <c r="E785" t="s">
        <v>74</v>
      </c>
      <c r="F785" t="s">
        <v>6443</v>
      </c>
      <c r="G785" t="s">
        <v>74</v>
      </c>
      <c r="H785" t="s">
        <v>74</v>
      </c>
      <c r="I785" t="s">
        <v>14658</v>
      </c>
      <c r="J785" t="s">
        <v>2700</v>
      </c>
      <c r="K785" t="s">
        <v>74</v>
      </c>
      <c r="L785" t="s">
        <v>74</v>
      </c>
      <c r="M785" t="s">
        <v>78</v>
      </c>
      <c r="N785" t="s">
        <v>108</v>
      </c>
      <c r="O785" t="s">
        <v>74</v>
      </c>
      <c r="P785" t="s">
        <v>74</v>
      </c>
      <c r="Q785" t="s">
        <v>74</v>
      </c>
      <c r="R785" t="s">
        <v>74</v>
      </c>
      <c r="S785" t="s">
        <v>74</v>
      </c>
      <c r="T785" t="s">
        <v>14659</v>
      </c>
      <c r="U785" t="s">
        <v>14660</v>
      </c>
      <c r="V785" t="s">
        <v>14661</v>
      </c>
      <c r="W785" t="s">
        <v>14662</v>
      </c>
      <c r="X785" t="s">
        <v>6449</v>
      </c>
      <c r="Y785" t="s">
        <v>14663</v>
      </c>
      <c r="Z785" t="s">
        <v>6451</v>
      </c>
      <c r="AA785" t="s">
        <v>6452</v>
      </c>
      <c r="AB785" t="s">
        <v>6453</v>
      </c>
      <c r="AC785" t="s">
        <v>14664</v>
      </c>
      <c r="AD785" t="s">
        <v>14665</v>
      </c>
      <c r="AE785" t="s">
        <v>14666</v>
      </c>
      <c r="AF785" t="s">
        <v>74</v>
      </c>
      <c r="AG785">
        <v>34</v>
      </c>
      <c r="AH785">
        <v>11</v>
      </c>
      <c r="AI785">
        <v>11</v>
      </c>
      <c r="AJ785">
        <v>3</v>
      </c>
      <c r="AK785">
        <v>12</v>
      </c>
      <c r="AL785" t="s">
        <v>347</v>
      </c>
      <c r="AM785" t="s">
        <v>348</v>
      </c>
      <c r="AN785" t="s">
        <v>349</v>
      </c>
      <c r="AO785" t="s">
        <v>2710</v>
      </c>
      <c r="AP785" t="s">
        <v>2711</v>
      </c>
      <c r="AQ785" t="s">
        <v>74</v>
      </c>
      <c r="AR785" t="s">
        <v>2712</v>
      </c>
      <c r="AS785" t="s">
        <v>2713</v>
      </c>
      <c r="AT785" t="s">
        <v>239</v>
      </c>
      <c r="AU785">
        <v>2021</v>
      </c>
      <c r="AV785">
        <v>76</v>
      </c>
      <c r="AW785" t="s">
        <v>74</v>
      </c>
      <c r="AX785" t="s">
        <v>74</v>
      </c>
      <c r="AY785" t="s">
        <v>74</v>
      </c>
      <c r="AZ785" t="s">
        <v>74</v>
      </c>
      <c r="BA785" t="s">
        <v>74</v>
      </c>
      <c r="BB785" t="s">
        <v>74</v>
      </c>
      <c r="BC785" t="s">
        <v>74</v>
      </c>
      <c r="BD785">
        <v>100972</v>
      </c>
      <c r="BE785" t="s">
        <v>14667</v>
      </c>
      <c r="BF785" t="str">
        <f>HYPERLINK("http://dx.doi.org/10.1016/j.seps.2020.100972","http://dx.doi.org/10.1016/j.seps.2020.100972")</f>
        <v>http://dx.doi.org/10.1016/j.seps.2020.100972</v>
      </c>
      <c r="BG785" t="s">
        <v>74</v>
      </c>
      <c r="BH785" t="s">
        <v>4013</v>
      </c>
      <c r="BI785">
        <v>9</v>
      </c>
      <c r="BJ785" t="s">
        <v>2715</v>
      </c>
      <c r="BK785" t="s">
        <v>147</v>
      </c>
      <c r="BL785" t="s">
        <v>525</v>
      </c>
      <c r="BM785" t="s">
        <v>14668</v>
      </c>
      <c r="BN785" t="s">
        <v>74</v>
      </c>
      <c r="BO785" t="s">
        <v>74</v>
      </c>
      <c r="BP785" t="s">
        <v>74</v>
      </c>
      <c r="BQ785" t="s">
        <v>74</v>
      </c>
      <c r="BR785" t="s">
        <v>102</v>
      </c>
      <c r="BS785" t="s">
        <v>14669</v>
      </c>
      <c r="BT785" t="str">
        <f>HYPERLINK("https%3A%2F%2Fwww.webofscience.com%2Fwos%2Fwoscc%2Ffull-record%2FWOS:000674471600002","View Full Record in Web of Science")</f>
        <v>View Full Record in Web of Science</v>
      </c>
    </row>
    <row r="786" spans="1:72" x14ac:dyDescent="0.2">
      <c r="A786" t="s">
        <v>72</v>
      </c>
      <c r="B786" t="s">
        <v>14670</v>
      </c>
      <c r="C786" t="s">
        <v>74</v>
      </c>
      <c r="D786" t="s">
        <v>74</v>
      </c>
      <c r="E786" t="s">
        <v>74</v>
      </c>
      <c r="F786" t="s">
        <v>14671</v>
      </c>
      <c r="G786" t="s">
        <v>74</v>
      </c>
      <c r="H786" t="s">
        <v>74</v>
      </c>
      <c r="I786" t="s">
        <v>14672</v>
      </c>
      <c r="J786" t="s">
        <v>1467</v>
      </c>
      <c r="K786" t="s">
        <v>74</v>
      </c>
      <c r="L786" t="s">
        <v>74</v>
      </c>
      <c r="M786" t="s">
        <v>78</v>
      </c>
      <c r="N786" t="s">
        <v>108</v>
      </c>
      <c r="O786" t="s">
        <v>74</v>
      </c>
      <c r="P786" t="s">
        <v>74</v>
      </c>
      <c r="Q786" t="s">
        <v>74</v>
      </c>
      <c r="R786" t="s">
        <v>74</v>
      </c>
      <c r="S786" t="s">
        <v>74</v>
      </c>
      <c r="T786" t="s">
        <v>14673</v>
      </c>
      <c r="U786" t="s">
        <v>14674</v>
      </c>
      <c r="V786" t="s">
        <v>14675</v>
      </c>
      <c r="W786" t="s">
        <v>14676</v>
      </c>
      <c r="X786" t="s">
        <v>5910</v>
      </c>
      <c r="Y786" t="s">
        <v>14677</v>
      </c>
      <c r="Z786" t="s">
        <v>14678</v>
      </c>
      <c r="AA786" t="s">
        <v>74</v>
      </c>
      <c r="AB786" t="s">
        <v>3513</v>
      </c>
      <c r="AC786" t="s">
        <v>14679</v>
      </c>
      <c r="AD786" t="s">
        <v>12300</v>
      </c>
      <c r="AE786" t="s">
        <v>14680</v>
      </c>
      <c r="AF786" t="s">
        <v>74</v>
      </c>
      <c r="AG786">
        <v>41</v>
      </c>
      <c r="AH786">
        <v>26</v>
      </c>
      <c r="AI786">
        <v>31</v>
      </c>
      <c r="AJ786">
        <v>1</v>
      </c>
      <c r="AK786">
        <v>24</v>
      </c>
      <c r="AL786" t="s">
        <v>6345</v>
      </c>
      <c r="AM786" t="s">
        <v>210</v>
      </c>
      <c r="AN786" t="s">
        <v>6346</v>
      </c>
      <c r="AO786" t="s">
        <v>1478</v>
      </c>
      <c r="AP786" t="s">
        <v>1479</v>
      </c>
      <c r="AQ786" t="s">
        <v>74</v>
      </c>
      <c r="AR786" t="s">
        <v>1480</v>
      </c>
      <c r="AS786" t="s">
        <v>1481</v>
      </c>
      <c r="AT786" t="s">
        <v>239</v>
      </c>
      <c r="AU786">
        <v>2012</v>
      </c>
      <c r="AV786">
        <v>63</v>
      </c>
      <c r="AW786">
        <v>6</v>
      </c>
      <c r="AX786" t="s">
        <v>74</v>
      </c>
      <c r="AY786" t="s">
        <v>74</v>
      </c>
      <c r="AZ786" t="s">
        <v>570</v>
      </c>
      <c r="BA786" t="s">
        <v>74</v>
      </c>
      <c r="BB786">
        <v>619</v>
      </c>
      <c r="BC786">
        <v>631</v>
      </c>
      <c r="BD786" t="s">
        <v>74</v>
      </c>
      <c r="BE786" t="s">
        <v>14681</v>
      </c>
      <c r="BF786" t="str">
        <f>HYPERLINK("http://dx.doi.org/10.1016/j.compind.2012.04.003","http://dx.doi.org/10.1016/j.compind.2012.04.003")</f>
        <v>http://dx.doi.org/10.1016/j.compind.2012.04.003</v>
      </c>
      <c r="BG786" t="s">
        <v>74</v>
      </c>
      <c r="BH786" t="s">
        <v>74</v>
      </c>
      <c r="BI786">
        <v>13</v>
      </c>
      <c r="BJ786" t="s">
        <v>1483</v>
      </c>
      <c r="BK786" t="s">
        <v>98</v>
      </c>
      <c r="BL786" t="s">
        <v>99</v>
      </c>
      <c r="BM786" t="s">
        <v>13942</v>
      </c>
      <c r="BN786" t="s">
        <v>74</v>
      </c>
      <c r="BO786" t="s">
        <v>74</v>
      </c>
      <c r="BP786" t="s">
        <v>74</v>
      </c>
      <c r="BQ786" t="s">
        <v>74</v>
      </c>
      <c r="BR786" t="s">
        <v>102</v>
      </c>
      <c r="BS786" t="s">
        <v>14682</v>
      </c>
      <c r="BT786" t="str">
        <f>HYPERLINK("https%3A%2F%2Fwww.webofscience.com%2Fwos%2Fwoscc%2Ffull-record%2FWOS:000306383100008","View Full Record in Web of Science")</f>
        <v>View Full Record in Web of Science</v>
      </c>
    </row>
    <row r="787" spans="1:72" x14ac:dyDescent="0.2">
      <c r="A787" t="s">
        <v>72</v>
      </c>
      <c r="B787" t="s">
        <v>14683</v>
      </c>
      <c r="C787" t="s">
        <v>74</v>
      </c>
      <c r="D787" t="s">
        <v>74</v>
      </c>
      <c r="E787" t="s">
        <v>74</v>
      </c>
      <c r="F787" t="s">
        <v>14684</v>
      </c>
      <c r="G787" t="s">
        <v>74</v>
      </c>
      <c r="H787" t="s">
        <v>74</v>
      </c>
      <c r="I787" t="s">
        <v>14685</v>
      </c>
      <c r="J787" t="s">
        <v>14686</v>
      </c>
      <c r="K787" t="s">
        <v>74</v>
      </c>
      <c r="L787" t="s">
        <v>74</v>
      </c>
      <c r="M787" t="s">
        <v>78</v>
      </c>
      <c r="N787" t="s">
        <v>79</v>
      </c>
      <c r="O787" t="s">
        <v>74</v>
      </c>
      <c r="P787" t="s">
        <v>74</v>
      </c>
      <c r="Q787" t="s">
        <v>74</v>
      </c>
      <c r="R787" t="s">
        <v>74</v>
      </c>
      <c r="S787" t="s">
        <v>74</v>
      </c>
      <c r="T787" t="s">
        <v>14687</v>
      </c>
      <c r="U787" t="s">
        <v>14688</v>
      </c>
      <c r="V787" t="s">
        <v>14689</v>
      </c>
      <c r="W787" t="s">
        <v>14690</v>
      </c>
      <c r="X787" t="s">
        <v>13669</v>
      </c>
      <c r="Y787" t="s">
        <v>14691</v>
      </c>
      <c r="Z787" t="s">
        <v>14692</v>
      </c>
      <c r="AA787" t="s">
        <v>74</v>
      </c>
      <c r="AB787" t="s">
        <v>74</v>
      </c>
      <c r="AC787" t="s">
        <v>14693</v>
      </c>
      <c r="AD787" t="s">
        <v>14694</v>
      </c>
      <c r="AE787" t="s">
        <v>14695</v>
      </c>
      <c r="AF787" t="s">
        <v>74</v>
      </c>
      <c r="AG787">
        <v>57</v>
      </c>
      <c r="AH787">
        <v>0</v>
      </c>
      <c r="AI787">
        <v>0</v>
      </c>
      <c r="AJ787">
        <v>11</v>
      </c>
      <c r="AK787">
        <v>11</v>
      </c>
      <c r="AL787" t="s">
        <v>437</v>
      </c>
      <c r="AM787" t="s">
        <v>438</v>
      </c>
      <c r="AN787" t="s">
        <v>439</v>
      </c>
      <c r="AO787" t="s">
        <v>14696</v>
      </c>
      <c r="AP787" t="s">
        <v>14697</v>
      </c>
      <c r="AQ787" t="s">
        <v>74</v>
      </c>
      <c r="AR787" t="s">
        <v>14698</v>
      </c>
      <c r="AS787" t="s">
        <v>14699</v>
      </c>
      <c r="AT787" t="s">
        <v>14700</v>
      </c>
      <c r="AU787">
        <v>2023</v>
      </c>
      <c r="AV787">
        <v>14</v>
      </c>
      <c r="AW787">
        <v>3</v>
      </c>
      <c r="AX787" t="s">
        <v>74</v>
      </c>
      <c r="AY787" t="s">
        <v>74</v>
      </c>
      <c r="AZ787" t="s">
        <v>74</v>
      </c>
      <c r="BA787" t="s">
        <v>74</v>
      </c>
      <c r="BB787">
        <v>373</v>
      </c>
      <c r="BC787">
        <v>399</v>
      </c>
      <c r="BD787" t="s">
        <v>74</v>
      </c>
      <c r="BE787" t="s">
        <v>14701</v>
      </c>
      <c r="BF787" t="str">
        <f>HYPERLINK("http://dx.doi.org/10.1108/NBRI-08-2022-0080","http://dx.doi.org/10.1108/NBRI-08-2022-0080")</f>
        <v>http://dx.doi.org/10.1108/NBRI-08-2022-0080</v>
      </c>
      <c r="BG787" t="s">
        <v>74</v>
      </c>
      <c r="BH787" t="s">
        <v>930</v>
      </c>
      <c r="BI787">
        <v>27</v>
      </c>
      <c r="BJ787" t="s">
        <v>418</v>
      </c>
      <c r="BK787" t="s">
        <v>124</v>
      </c>
      <c r="BL787" t="s">
        <v>419</v>
      </c>
      <c r="BM787" t="s">
        <v>14702</v>
      </c>
      <c r="BN787" t="s">
        <v>74</v>
      </c>
      <c r="BO787" t="s">
        <v>74</v>
      </c>
      <c r="BP787" t="s">
        <v>74</v>
      </c>
      <c r="BQ787" t="s">
        <v>74</v>
      </c>
      <c r="BR787" t="s">
        <v>102</v>
      </c>
      <c r="BS787" t="s">
        <v>14703</v>
      </c>
      <c r="BT787" t="str">
        <f>HYPERLINK("https%3A%2F%2Fwww.webofscience.com%2Fwos%2Fwoscc%2Ffull-record%2FWOS:000982634700001","View Full Record in Web of Science")</f>
        <v>View Full Record in Web of Science</v>
      </c>
    </row>
    <row r="788" spans="1:72" x14ac:dyDescent="0.2">
      <c r="A788" t="s">
        <v>72</v>
      </c>
      <c r="B788" t="s">
        <v>14704</v>
      </c>
      <c r="C788" t="s">
        <v>74</v>
      </c>
      <c r="D788" t="s">
        <v>74</v>
      </c>
      <c r="E788" t="s">
        <v>74</v>
      </c>
      <c r="F788" t="s">
        <v>14705</v>
      </c>
      <c r="G788" t="s">
        <v>74</v>
      </c>
      <c r="H788" t="s">
        <v>74</v>
      </c>
      <c r="I788" t="s">
        <v>14706</v>
      </c>
      <c r="J788" t="s">
        <v>131</v>
      </c>
      <c r="K788" t="s">
        <v>74</v>
      </c>
      <c r="L788" t="s">
        <v>74</v>
      </c>
      <c r="M788" t="s">
        <v>78</v>
      </c>
      <c r="N788" t="s">
        <v>108</v>
      </c>
      <c r="O788" t="s">
        <v>74</v>
      </c>
      <c r="P788" t="s">
        <v>74</v>
      </c>
      <c r="Q788" t="s">
        <v>74</v>
      </c>
      <c r="R788" t="s">
        <v>74</v>
      </c>
      <c r="S788" t="s">
        <v>74</v>
      </c>
      <c r="T788" t="s">
        <v>14707</v>
      </c>
      <c r="U788" t="s">
        <v>14708</v>
      </c>
      <c r="V788" t="s">
        <v>14709</v>
      </c>
      <c r="W788" t="s">
        <v>14710</v>
      </c>
      <c r="X788" t="s">
        <v>14711</v>
      </c>
      <c r="Y788" t="s">
        <v>14712</v>
      </c>
      <c r="Z788" t="s">
        <v>14713</v>
      </c>
      <c r="AA788" t="s">
        <v>14714</v>
      </c>
      <c r="AB788" t="s">
        <v>14715</v>
      </c>
      <c r="AC788" t="s">
        <v>74</v>
      </c>
      <c r="AD788" t="s">
        <v>74</v>
      </c>
      <c r="AE788" t="s">
        <v>74</v>
      </c>
      <c r="AF788" t="s">
        <v>74</v>
      </c>
      <c r="AG788">
        <v>74</v>
      </c>
      <c r="AH788">
        <v>0</v>
      </c>
      <c r="AI788">
        <v>0</v>
      </c>
      <c r="AJ788">
        <v>3</v>
      </c>
      <c r="AK788">
        <v>3</v>
      </c>
      <c r="AL788" t="s">
        <v>116</v>
      </c>
      <c r="AM788" t="s">
        <v>117</v>
      </c>
      <c r="AN788" t="s">
        <v>118</v>
      </c>
      <c r="AO788" t="s">
        <v>74</v>
      </c>
      <c r="AP788" t="s">
        <v>142</v>
      </c>
      <c r="AQ788" t="s">
        <v>74</v>
      </c>
      <c r="AR788" t="s">
        <v>143</v>
      </c>
      <c r="AS788" t="s">
        <v>144</v>
      </c>
      <c r="AT788" t="s">
        <v>121</v>
      </c>
      <c r="AU788">
        <v>2023</v>
      </c>
      <c r="AV788">
        <v>15</v>
      </c>
      <c r="AW788">
        <v>14</v>
      </c>
      <c r="AX788" t="s">
        <v>74</v>
      </c>
      <c r="AY788" t="s">
        <v>74</v>
      </c>
      <c r="AZ788" t="s">
        <v>74</v>
      </c>
      <c r="BA788" t="s">
        <v>74</v>
      </c>
      <c r="BB788" t="s">
        <v>74</v>
      </c>
      <c r="BC788" t="s">
        <v>74</v>
      </c>
      <c r="BD788">
        <v>11253</v>
      </c>
      <c r="BE788" t="s">
        <v>14716</v>
      </c>
      <c r="BF788" t="str">
        <f>HYPERLINK("http://dx.doi.org/10.3390/su151411253","http://dx.doi.org/10.3390/su151411253")</f>
        <v>http://dx.doi.org/10.3390/su151411253</v>
      </c>
      <c r="BG788" t="s">
        <v>74</v>
      </c>
      <c r="BH788" t="s">
        <v>74</v>
      </c>
      <c r="BI788">
        <v>22</v>
      </c>
      <c r="BJ788" t="s">
        <v>146</v>
      </c>
      <c r="BK788" t="s">
        <v>147</v>
      </c>
      <c r="BL788" t="s">
        <v>148</v>
      </c>
      <c r="BM788" t="s">
        <v>14717</v>
      </c>
      <c r="BN788" t="s">
        <v>74</v>
      </c>
      <c r="BO788" t="s">
        <v>126</v>
      </c>
      <c r="BP788" t="s">
        <v>74</v>
      </c>
      <c r="BQ788" t="s">
        <v>74</v>
      </c>
      <c r="BR788" t="s">
        <v>102</v>
      </c>
      <c r="BS788" t="s">
        <v>14718</v>
      </c>
      <c r="BT788" t="str">
        <f>HYPERLINK("https%3A%2F%2Fwww.webofscience.com%2Fwos%2Fwoscc%2Ffull-record%2FWOS:001037618700001","View Full Record in Web of Science")</f>
        <v>View Full Record in Web of Science</v>
      </c>
    </row>
    <row r="789" spans="1:72" x14ac:dyDescent="0.2">
      <c r="A789" t="s">
        <v>72</v>
      </c>
      <c r="B789" t="s">
        <v>14719</v>
      </c>
      <c r="C789" t="s">
        <v>74</v>
      </c>
      <c r="D789" t="s">
        <v>74</v>
      </c>
      <c r="E789" t="s">
        <v>74</v>
      </c>
      <c r="F789" t="s">
        <v>14720</v>
      </c>
      <c r="G789" t="s">
        <v>74</v>
      </c>
      <c r="H789" t="s">
        <v>74</v>
      </c>
      <c r="I789" t="s">
        <v>14721</v>
      </c>
      <c r="J789" t="s">
        <v>787</v>
      </c>
      <c r="K789" t="s">
        <v>74</v>
      </c>
      <c r="L789" t="s">
        <v>74</v>
      </c>
      <c r="M789" t="s">
        <v>78</v>
      </c>
      <c r="N789" t="s">
        <v>108</v>
      </c>
      <c r="O789" t="s">
        <v>74</v>
      </c>
      <c r="P789" t="s">
        <v>74</v>
      </c>
      <c r="Q789" t="s">
        <v>74</v>
      </c>
      <c r="R789" t="s">
        <v>74</v>
      </c>
      <c r="S789" t="s">
        <v>74</v>
      </c>
      <c r="T789" t="s">
        <v>14722</v>
      </c>
      <c r="U789" t="s">
        <v>14723</v>
      </c>
      <c r="V789" t="s">
        <v>14724</v>
      </c>
      <c r="W789" t="s">
        <v>14725</v>
      </c>
      <c r="X789" t="s">
        <v>14726</v>
      </c>
      <c r="Y789" t="s">
        <v>14727</v>
      </c>
      <c r="Z789" t="s">
        <v>74</v>
      </c>
      <c r="AA789" t="s">
        <v>14728</v>
      </c>
      <c r="AB789" t="s">
        <v>14729</v>
      </c>
      <c r="AC789" t="s">
        <v>74</v>
      </c>
      <c r="AD789" t="s">
        <v>74</v>
      </c>
      <c r="AE789" t="s">
        <v>74</v>
      </c>
      <c r="AF789" t="s">
        <v>74</v>
      </c>
      <c r="AG789">
        <v>104</v>
      </c>
      <c r="AH789">
        <v>27</v>
      </c>
      <c r="AI789">
        <v>27</v>
      </c>
      <c r="AJ789">
        <v>0</v>
      </c>
      <c r="AK789">
        <v>60</v>
      </c>
      <c r="AL789" t="s">
        <v>5930</v>
      </c>
      <c r="AM789" t="s">
        <v>410</v>
      </c>
      <c r="AN789" t="s">
        <v>411</v>
      </c>
      <c r="AO789" t="s">
        <v>796</v>
      </c>
      <c r="AP789" t="s">
        <v>797</v>
      </c>
      <c r="AQ789" t="s">
        <v>74</v>
      </c>
      <c r="AR789" t="s">
        <v>798</v>
      </c>
      <c r="AS789" t="s">
        <v>799</v>
      </c>
      <c r="AT789" t="s">
        <v>174</v>
      </c>
      <c r="AU789">
        <v>2015</v>
      </c>
      <c r="AV789">
        <v>51</v>
      </c>
      <c r="AW789">
        <v>4</v>
      </c>
      <c r="AX789" t="s">
        <v>74</v>
      </c>
      <c r="AY789" t="s">
        <v>74</v>
      </c>
      <c r="AZ789" t="s">
        <v>74</v>
      </c>
      <c r="BA789" t="s">
        <v>74</v>
      </c>
      <c r="BB789">
        <v>73</v>
      </c>
      <c r="BC789">
        <v>93</v>
      </c>
      <c r="BD789" t="s">
        <v>74</v>
      </c>
      <c r="BE789" t="s">
        <v>14730</v>
      </c>
      <c r="BF789" t="str">
        <f>HYPERLINK("http://dx.doi.org/10.1111/jscm.12074","http://dx.doi.org/10.1111/jscm.12074")</f>
        <v>http://dx.doi.org/10.1111/jscm.12074</v>
      </c>
      <c r="BG789" t="s">
        <v>74</v>
      </c>
      <c r="BH789" t="s">
        <v>74</v>
      </c>
      <c r="BI789">
        <v>21</v>
      </c>
      <c r="BJ789" t="s">
        <v>418</v>
      </c>
      <c r="BK789" t="s">
        <v>242</v>
      </c>
      <c r="BL789" t="s">
        <v>419</v>
      </c>
      <c r="BM789" t="s">
        <v>14731</v>
      </c>
      <c r="BN789" t="s">
        <v>74</v>
      </c>
      <c r="BO789" t="s">
        <v>74</v>
      </c>
      <c r="BP789" t="s">
        <v>74</v>
      </c>
      <c r="BQ789" t="s">
        <v>74</v>
      </c>
      <c r="BR789" t="s">
        <v>102</v>
      </c>
      <c r="BS789" t="s">
        <v>14732</v>
      </c>
      <c r="BT789" t="str">
        <f>HYPERLINK("https%3A%2F%2Fwww.webofscience.com%2Fwos%2Fwoscc%2Ffull-record%2FWOS:000362456700004","View Full Record in Web of Science")</f>
        <v>View Full Record in Web of Science</v>
      </c>
    </row>
    <row r="790" spans="1:72" x14ac:dyDescent="0.2">
      <c r="A790" t="s">
        <v>72</v>
      </c>
      <c r="B790" t="s">
        <v>14733</v>
      </c>
      <c r="C790" t="s">
        <v>74</v>
      </c>
      <c r="D790" t="s">
        <v>74</v>
      </c>
      <c r="E790" t="s">
        <v>74</v>
      </c>
      <c r="F790" t="s">
        <v>14734</v>
      </c>
      <c r="G790" t="s">
        <v>74</v>
      </c>
      <c r="H790" t="s">
        <v>74</v>
      </c>
      <c r="I790" t="s">
        <v>14735</v>
      </c>
      <c r="J790" t="s">
        <v>14736</v>
      </c>
      <c r="K790" t="s">
        <v>74</v>
      </c>
      <c r="L790" t="s">
        <v>74</v>
      </c>
      <c r="M790" t="s">
        <v>78</v>
      </c>
      <c r="N790" t="s">
        <v>108</v>
      </c>
      <c r="O790" t="s">
        <v>74</v>
      </c>
      <c r="P790" t="s">
        <v>74</v>
      </c>
      <c r="Q790" t="s">
        <v>74</v>
      </c>
      <c r="R790" t="s">
        <v>74</v>
      </c>
      <c r="S790" t="s">
        <v>74</v>
      </c>
      <c r="T790" t="s">
        <v>14737</v>
      </c>
      <c r="U790" t="s">
        <v>14738</v>
      </c>
      <c r="V790" t="s">
        <v>14739</v>
      </c>
      <c r="W790" t="s">
        <v>14740</v>
      </c>
      <c r="X790" t="s">
        <v>14741</v>
      </c>
      <c r="Y790" t="s">
        <v>14742</v>
      </c>
      <c r="Z790" t="s">
        <v>14743</v>
      </c>
      <c r="AA790" t="s">
        <v>74</v>
      </c>
      <c r="AB790" t="s">
        <v>14744</v>
      </c>
      <c r="AC790" t="s">
        <v>74</v>
      </c>
      <c r="AD790" t="s">
        <v>74</v>
      </c>
      <c r="AE790" t="s">
        <v>74</v>
      </c>
      <c r="AF790" t="s">
        <v>74</v>
      </c>
      <c r="AG790">
        <v>36</v>
      </c>
      <c r="AH790">
        <v>8</v>
      </c>
      <c r="AI790">
        <v>8</v>
      </c>
      <c r="AJ790">
        <v>1</v>
      </c>
      <c r="AK790">
        <v>26</v>
      </c>
      <c r="AL790" t="s">
        <v>14745</v>
      </c>
      <c r="AM790" t="s">
        <v>14746</v>
      </c>
      <c r="AN790" t="s">
        <v>14747</v>
      </c>
      <c r="AO790" t="s">
        <v>14748</v>
      </c>
      <c r="AP790" t="s">
        <v>14749</v>
      </c>
      <c r="AQ790" t="s">
        <v>74</v>
      </c>
      <c r="AR790" t="s">
        <v>14750</v>
      </c>
      <c r="AS790" t="s">
        <v>14751</v>
      </c>
      <c r="AT790" t="s">
        <v>74</v>
      </c>
      <c r="AU790">
        <v>2021</v>
      </c>
      <c r="AV790">
        <v>49</v>
      </c>
      <c r="AW790">
        <v>1</v>
      </c>
      <c r="AX790" t="s">
        <v>74</v>
      </c>
      <c r="AY790" t="s">
        <v>74</v>
      </c>
      <c r="AZ790" t="s">
        <v>74</v>
      </c>
      <c r="BA790" t="s">
        <v>74</v>
      </c>
      <c r="BB790">
        <v>233</v>
      </c>
      <c r="BC790">
        <v>243</v>
      </c>
      <c r="BD790" t="s">
        <v>74</v>
      </c>
      <c r="BE790" t="s">
        <v>14752</v>
      </c>
      <c r="BF790" t="str">
        <f>HYPERLINK("http://dx.doi.org/10.5937/fme2101233L","http://dx.doi.org/10.5937/fme2101233L")</f>
        <v>http://dx.doi.org/10.5937/fme2101233L</v>
      </c>
      <c r="BG790" t="s">
        <v>74</v>
      </c>
      <c r="BH790" t="s">
        <v>74</v>
      </c>
      <c r="BI790">
        <v>11</v>
      </c>
      <c r="BJ790" t="s">
        <v>14753</v>
      </c>
      <c r="BK790" t="s">
        <v>124</v>
      </c>
      <c r="BL790" t="s">
        <v>1292</v>
      </c>
      <c r="BM790" t="s">
        <v>14754</v>
      </c>
      <c r="BN790" t="s">
        <v>74</v>
      </c>
      <c r="BO790" t="s">
        <v>126</v>
      </c>
      <c r="BP790" t="s">
        <v>74</v>
      </c>
      <c r="BQ790" t="s">
        <v>74</v>
      </c>
      <c r="BR790" t="s">
        <v>102</v>
      </c>
      <c r="BS790" t="s">
        <v>14755</v>
      </c>
      <c r="BT790" t="str">
        <f>HYPERLINK("https%3A%2F%2Fwww.webofscience.com%2Fwos%2Fwoscc%2Ffull-record%2FWOS:000595729200027","View Full Record in Web of Science")</f>
        <v>View Full Record in Web of Science</v>
      </c>
    </row>
    <row r="791" spans="1:72" x14ac:dyDescent="0.2">
      <c r="A791" t="s">
        <v>72</v>
      </c>
      <c r="B791" t="s">
        <v>14756</v>
      </c>
      <c r="C791" t="s">
        <v>74</v>
      </c>
      <c r="D791" t="s">
        <v>74</v>
      </c>
      <c r="E791" t="s">
        <v>74</v>
      </c>
      <c r="F791" t="s">
        <v>14757</v>
      </c>
      <c r="G791" t="s">
        <v>74</v>
      </c>
      <c r="H791" t="s">
        <v>74</v>
      </c>
      <c r="I791" t="s">
        <v>14758</v>
      </c>
      <c r="J791" t="s">
        <v>14759</v>
      </c>
      <c r="K791" t="s">
        <v>74</v>
      </c>
      <c r="L791" t="s">
        <v>74</v>
      </c>
      <c r="M791" t="s">
        <v>78</v>
      </c>
      <c r="N791" t="s">
        <v>108</v>
      </c>
      <c r="O791" t="s">
        <v>74</v>
      </c>
      <c r="P791" t="s">
        <v>74</v>
      </c>
      <c r="Q791" t="s">
        <v>74</v>
      </c>
      <c r="R791" t="s">
        <v>74</v>
      </c>
      <c r="S791" t="s">
        <v>74</v>
      </c>
      <c r="T791" t="s">
        <v>14760</v>
      </c>
      <c r="U791" t="s">
        <v>14761</v>
      </c>
      <c r="V791" t="s">
        <v>14762</v>
      </c>
      <c r="W791" t="s">
        <v>14763</v>
      </c>
      <c r="X791" t="s">
        <v>14764</v>
      </c>
      <c r="Y791" t="s">
        <v>14765</v>
      </c>
      <c r="Z791" t="s">
        <v>14766</v>
      </c>
      <c r="AA791" t="s">
        <v>74</v>
      </c>
      <c r="AB791" t="s">
        <v>74</v>
      </c>
      <c r="AC791" t="s">
        <v>14767</v>
      </c>
      <c r="AD791" t="s">
        <v>14768</v>
      </c>
      <c r="AE791" t="s">
        <v>14769</v>
      </c>
      <c r="AF791" t="s">
        <v>74</v>
      </c>
      <c r="AG791">
        <v>56</v>
      </c>
      <c r="AH791">
        <v>0</v>
      </c>
      <c r="AI791">
        <v>0</v>
      </c>
      <c r="AJ791">
        <v>12</v>
      </c>
      <c r="AK791">
        <v>29</v>
      </c>
      <c r="AL791" t="s">
        <v>116</v>
      </c>
      <c r="AM791" t="s">
        <v>117</v>
      </c>
      <c r="AN791" t="s">
        <v>118</v>
      </c>
      <c r="AO791" t="s">
        <v>74</v>
      </c>
      <c r="AP791" t="s">
        <v>14770</v>
      </c>
      <c r="AQ791" t="s">
        <v>74</v>
      </c>
      <c r="AR791" t="s">
        <v>14771</v>
      </c>
      <c r="AS791" t="s">
        <v>14772</v>
      </c>
      <c r="AT791" t="s">
        <v>846</v>
      </c>
      <c r="AU791">
        <v>2022</v>
      </c>
      <c r="AV791">
        <v>11</v>
      </c>
      <c r="AW791">
        <v>5</v>
      </c>
      <c r="AX791" t="s">
        <v>74</v>
      </c>
      <c r="AY791" t="s">
        <v>74</v>
      </c>
      <c r="AZ791" t="s">
        <v>74</v>
      </c>
      <c r="BA791" t="s">
        <v>74</v>
      </c>
      <c r="BB791" t="s">
        <v>74</v>
      </c>
      <c r="BC791" t="s">
        <v>74</v>
      </c>
      <c r="BD791">
        <v>694</v>
      </c>
      <c r="BE791" t="s">
        <v>14773</v>
      </c>
      <c r="BF791" t="str">
        <f>HYPERLINK("http://dx.doi.org/10.3390/land11050694","http://dx.doi.org/10.3390/land11050694")</f>
        <v>http://dx.doi.org/10.3390/land11050694</v>
      </c>
      <c r="BG791" t="s">
        <v>74</v>
      </c>
      <c r="BH791" t="s">
        <v>74</v>
      </c>
      <c r="BI791">
        <v>19</v>
      </c>
      <c r="BJ791" t="s">
        <v>3022</v>
      </c>
      <c r="BK791" t="s">
        <v>242</v>
      </c>
      <c r="BL791" t="s">
        <v>675</v>
      </c>
      <c r="BM791" t="s">
        <v>14774</v>
      </c>
      <c r="BN791" t="s">
        <v>74</v>
      </c>
      <c r="BO791" t="s">
        <v>126</v>
      </c>
      <c r="BP791" t="s">
        <v>74</v>
      </c>
      <c r="BQ791" t="s">
        <v>74</v>
      </c>
      <c r="BR791" t="s">
        <v>102</v>
      </c>
      <c r="BS791" t="s">
        <v>14775</v>
      </c>
      <c r="BT791" t="str">
        <f>HYPERLINK("https%3A%2F%2Fwww.webofscience.com%2Fwos%2Fwoscc%2Ffull-record%2FWOS:000802586700001","View Full Record in Web of Science")</f>
        <v>View Full Record in Web of Science</v>
      </c>
    </row>
    <row r="792" spans="1:72" x14ac:dyDescent="0.2">
      <c r="A792" t="s">
        <v>72</v>
      </c>
      <c r="B792" t="s">
        <v>14776</v>
      </c>
      <c r="C792" t="s">
        <v>74</v>
      </c>
      <c r="D792" t="s">
        <v>74</v>
      </c>
      <c r="E792" t="s">
        <v>74</v>
      </c>
      <c r="F792" t="s">
        <v>14777</v>
      </c>
      <c r="G792" t="s">
        <v>74</v>
      </c>
      <c r="H792" t="s">
        <v>74</v>
      </c>
      <c r="I792" t="s">
        <v>14778</v>
      </c>
      <c r="J792" t="s">
        <v>14779</v>
      </c>
      <c r="K792" t="s">
        <v>74</v>
      </c>
      <c r="L792" t="s">
        <v>74</v>
      </c>
      <c r="M792" t="s">
        <v>78</v>
      </c>
      <c r="N792" t="s">
        <v>108</v>
      </c>
      <c r="O792" t="s">
        <v>74</v>
      </c>
      <c r="P792" t="s">
        <v>74</v>
      </c>
      <c r="Q792" t="s">
        <v>74</v>
      </c>
      <c r="R792" t="s">
        <v>74</v>
      </c>
      <c r="S792" t="s">
        <v>74</v>
      </c>
      <c r="T792" t="s">
        <v>14780</v>
      </c>
      <c r="U792" t="s">
        <v>74</v>
      </c>
      <c r="V792" t="s">
        <v>14781</v>
      </c>
      <c r="W792" t="s">
        <v>14782</v>
      </c>
      <c r="X792" t="s">
        <v>14783</v>
      </c>
      <c r="Y792" t="s">
        <v>14784</v>
      </c>
      <c r="Z792" t="s">
        <v>74</v>
      </c>
      <c r="AA792" t="s">
        <v>74</v>
      </c>
      <c r="AB792" t="s">
        <v>74</v>
      </c>
      <c r="AC792" t="s">
        <v>74</v>
      </c>
      <c r="AD792" t="s">
        <v>74</v>
      </c>
      <c r="AE792" t="s">
        <v>74</v>
      </c>
      <c r="AF792" t="s">
        <v>74</v>
      </c>
      <c r="AG792">
        <v>20</v>
      </c>
      <c r="AH792">
        <v>40</v>
      </c>
      <c r="AI792">
        <v>42</v>
      </c>
      <c r="AJ792">
        <v>3</v>
      </c>
      <c r="AK792">
        <v>127</v>
      </c>
      <c r="AL792" t="s">
        <v>209</v>
      </c>
      <c r="AM792" t="s">
        <v>210</v>
      </c>
      <c r="AN792" t="s">
        <v>211</v>
      </c>
      <c r="AO792" t="s">
        <v>14785</v>
      </c>
      <c r="AP792" t="s">
        <v>74</v>
      </c>
      <c r="AQ792" t="s">
        <v>74</v>
      </c>
      <c r="AR792" t="s">
        <v>14786</v>
      </c>
      <c r="AS792" t="s">
        <v>14787</v>
      </c>
      <c r="AT792" t="s">
        <v>174</v>
      </c>
      <c r="AU792">
        <v>2019</v>
      </c>
      <c r="AV792">
        <v>57</v>
      </c>
      <c r="AW792" t="s">
        <v>74</v>
      </c>
      <c r="AX792" t="s">
        <v>74</v>
      </c>
      <c r="AY792" t="s">
        <v>74</v>
      </c>
      <c r="AZ792" t="s">
        <v>74</v>
      </c>
      <c r="BA792" t="s">
        <v>74</v>
      </c>
      <c r="BB792">
        <v>228</v>
      </c>
      <c r="BC792">
        <v>235</v>
      </c>
      <c r="BD792" t="s">
        <v>74</v>
      </c>
      <c r="BE792" t="s">
        <v>14788</v>
      </c>
      <c r="BF792" t="str">
        <f>HYPERLINK("http://dx.doi.org/10.1016/j.cogsys.2018.10.025","http://dx.doi.org/10.1016/j.cogsys.2018.10.025")</f>
        <v>http://dx.doi.org/10.1016/j.cogsys.2018.10.025</v>
      </c>
      <c r="BG792" t="s">
        <v>74</v>
      </c>
      <c r="BH792" t="s">
        <v>74</v>
      </c>
      <c r="BI792">
        <v>8</v>
      </c>
      <c r="BJ792" t="s">
        <v>14789</v>
      </c>
      <c r="BK792" t="s">
        <v>147</v>
      </c>
      <c r="BL792" t="s">
        <v>14790</v>
      </c>
      <c r="BM792" t="s">
        <v>14791</v>
      </c>
      <c r="BN792" t="s">
        <v>74</v>
      </c>
      <c r="BO792" t="s">
        <v>74</v>
      </c>
      <c r="BP792" t="s">
        <v>74</v>
      </c>
      <c r="BQ792" t="s">
        <v>74</v>
      </c>
      <c r="BR792" t="s">
        <v>102</v>
      </c>
      <c r="BS792" t="s">
        <v>14792</v>
      </c>
      <c r="BT792" t="str">
        <f>HYPERLINK("https%3A%2F%2Fwww.webofscience.com%2Fwos%2Fwoscc%2Ffull-record%2FWOS:000470116200025","View Full Record in Web of Science")</f>
        <v>View Full Record in Web of Science</v>
      </c>
    </row>
    <row r="793" spans="1:72" x14ac:dyDescent="0.2">
      <c r="A793" t="s">
        <v>72</v>
      </c>
      <c r="B793" t="s">
        <v>14793</v>
      </c>
      <c r="C793" t="s">
        <v>74</v>
      </c>
      <c r="D793" t="s">
        <v>74</v>
      </c>
      <c r="E793" t="s">
        <v>74</v>
      </c>
      <c r="F793" t="s">
        <v>14794</v>
      </c>
      <c r="G793" t="s">
        <v>74</v>
      </c>
      <c r="H793" t="s">
        <v>74</v>
      </c>
      <c r="I793" t="s">
        <v>14795</v>
      </c>
      <c r="J793" t="s">
        <v>762</v>
      </c>
      <c r="K793" t="s">
        <v>74</v>
      </c>
      <c r="L793" t="s">
        <v>74</v>
      </c>
      <c r="M793" t="s">
        <v>78</v>
      </c>
      <c r="N793" t="s">
        <v>108</v>
      </c>
      <c r="O793" t="s">
        <v>74</v>
      </c>
      <c r="P793" t="s">
        <v>74</v>
      </c>
      <c r="Q793" t="s">
        <v>74</v>
      </c>
      <c r="R793" t="s">
        <v>74</v>
      </c>
      <c r="S793" t="s">
        <v>74</v>
      </c>
      <c r="T793" t="s">
        <v>14796</v>
      </c>
      <c r="U793" t="s">
        <v>14797</v>
      </c>
      <c r="V793" t="s">
        <v>14798</v>
      </c>
      <c r="W793" t="s">
        <v>14799</v>
      </c>
      <c r="X793" t="s">
        <v>14800</v>
      </c>
      <c r="Y793" t="s">
        <v>14801</v>
      </c>
      <c r="Z793" t="s">
        <v>14802</v>
      </c>
      <c r="AA793" t="s">
        <v>14803</v>
      </c>
      <c r="AB793" t="s">
        <v>14804</v>
      </c>
      <c r="AC793" t="s">
        <v>14805</v>
      </c>
      <c r="AD793" t="s">
        <v>14805</v>
      </c>
      <c r="AE793" t="s">
        <v>14806</v>
      </c>
      <c r="AF793" t="s">
        <v>74</v>
      </c>
      <c r="AG793">
        <v>66</v>
      </c>
      <c r="AH793">
        <v>23</v>
      </c>
      <c r="AI793">
        <v>23</v>
      </c>
      <c r="AJ793">
        <v>2</v>
      </c>
      <c r="AK793">
        <v>43</v>
      </c>
      <c r="AL793" t="s">
        <v>279</v>
      </c>
      <c r="AM793" t="s">
        <v>280</v>
      </c>
      <c r="AN793" t="s">
        <v>281</v>
      </c>
      <c r="AO793" t="s">
        <v>773</v>
      </c>
      <c r="AP793" t="s">
        <v>774</v>
      </c>
      <c r="AQ793" t="s">
        <v>74</v>
      </c>
      <c r="AR793" t="s">
        <v>775</v>
      </c>
      <c r="AS793" t="s">
        <v>776</v>
      </c>
      <c r="AT793" t="s">
        <v>74</v>
      </c>
      <c r="AU793">
        <v>2017</v>
      </c>
      <c r="AV793">
        <v>55</v>
      </c>
      <c r="AW793">
        <v>17</v>
      </c>
      <c r="AX793" t="s">
        <v>74</v>
      </c>
      <c r="AY793" t="s">
        <v>74</v>
      </c>
      <c r="AZ793" t="s">
        <v>74</v>
      </c>
      <c r="BA793" t="s">
        <v>74</v>
      </c>
      <c r="BB793">
        <v>5062</v>
      </c>
      <c r="BC793">
        <v>5078</v>
      </c>
      <c r="BD793" t="s">
        <v>74</v>
      </c>
      <c r="BE793" t="s">
        <v>14807</v>
      </c>
      <c r="BF793" t="str">
        <f>HYPERLINK("http://dx.doi.org/10.1080/00207543.2015.1064183","http://dx.doi.org/10.1080/00207543.2015.1064183")</f>
        <v>http://dx.doi.org/10.1080/00207543.2015.1064183</v>
      </c>
      <c r="BG793" t="s">
        <v>74</v>
      </c>
      <c r="BH793" t="s">
        <v>74</v>
      </c>
      <c r="BI793">
        <v>17</v>
      </c>
      <c r="BJ793" t="s">
        <v>780</v>
      </c>
      <c r="BK793" t="s">
        <v>98</v>
      </c>
      <c r="BL793" t="s">
        <v>781</v>
      </c>
      <c r="BM793" t="s">
        <v>7802</v>
      </c>
      <c r="BN793" t="s">
        <v>74</v>
      </c>
      <c r="BO793" t="s">
        <v>74</v>
      </c>
      <c r="BP793" t="s">
        <v>74</v>
      </c>
      <c r="BQ793" t="s">
        <v>74</v>
      </c>
      <c r="BR793" t="s">
        <v>102</v>
      </c>
      <c r="BS793" t="s">
        <v>14808</v>
      </c>
      <c r="BT793" t="str">
        <f>HYPERLINK("https%3A%2F%2Fwww.webofscience.com%2Fwos%2Fwoscc%2Ffull-record%2FWOS:000404671500017","View Full Record in Web of Science")</f>
        <v>View Full Record in Web of Science</v>
      </c>
    </row>
    <row r="794" spans="1:72" x14ac:dyDescent="0.2">
      <c r="A794" t="s">
        <v>72</v>
      </c>
      <c r="B794" t="s">
        <v>14809</v>
      </c>
      <c r="C794" t="s">
        <v>74</v>
      </c>
      <c r="D794" t="s">
        <v>74</v>
      </c>
      <c r="E794" t="s">
        <v>74</v>
      </c>
      <c r="F794" t="s">
        <v>14810</v>
      </c>
      <c r="G794" t="s">
        <v>74</v>
      </c>
      <c r="H794" t="s">
        <v>74</v>
      </c>
      <c r="I794" t="s">
        <v>14811</v>
      </c>
      <c r="J794" t="s">
        <v>14812</v>
      </c>
      <c r="K794" t="s">
        <v>74</v>
      </c>
      <c r="L794" t="s">
        <v>74</v>
      </c>
      <c r="M794" t="s">
        <v>78</v>
      </c>
      <c r="N794" t="s">
        <v>108</v>
      </c>
      <c r="O794" t="s">
        <v>74</v>
      </c>
      <c r="P794" t="s">
        <v>74</v>
      </c>
      <c r="Q794" t="s">
        <v>74</v>
      </c>
      <c r="R794" t="s">
        <v>74</v>
      </c>
      <c r="S794" t="s">
        <v>74</v>
      </c>
      <c r="T794" t="s">
        <v>14813</v>
      </c>
      <c r="U794" t="s">
        <v>74</v>
      </c>
      <c r="V794" t="s">
        <v>14814</v>
      </c>
      <c r="W794" t="s">
        <v>14815</v>
      </c>
      <c r="X794" t="s">
        <v>14816</v>
      </c>
      <c r="Y794" t="s">
        <v>14817</v>
      </c>
      <c r="Z794" t="s">
        <v>14818</v>
      </c>
      <c r="AA794" t="s">
        <v>74</v>
      </c>
      <c r="AB794" t="s">
        <v>14819</v>
      </c>
      <c r="AC794" t="s">
        <v>14820</v>
      </c>
      <c r="AD794" t="s">
        <v>14821</v>
      </c>
      <c r="AE794" t="s">
        <v>14822</v>
      </c>
      <c r="AF794" t="s">
        <v>74</v>
      </c>
      <c r="AG794">
        <v>27</v>
      </c>
      <c r="AH794">
        <v>0</v>
      </c>
      <c r="AI794">
        <v>0</v>
      </c>
      <c r="AJ794">
        <v>5</v>
      </c>
      <c r="AK794">
        <v>11</v>
      </c>
      <c r="AL794" t="s">
        <v>167</v>
      </c>
      <c r="AM794" t="s">
        <v>168</v>
      </c>
      <c r="AN794" t="s">
        <v>169</v>
      </c>
      <c r="AO794" t="s">
        <v>14823</v>
      </c>
      <c r="AP794" t="s">
        <v>14824</v>
      </c>
      <c r="AQ794" t="s">
        <v>74</v>
      </c>
      <c r="AR794" t="s">
        <v>14825</v>
      </c>
      <c r="AS794" t="s">
        <v>14826</v>
      </c>
      <c r="AT794" t="s">
        <v>74</v>
      </c>
      <c r="AU794">
        <v>2022</v>
      </c>
      <c r="AV794">
        <v>19</v>
      </c>
      <c r="AW794" t="s">
        <v>74</v>
      </c>
      <c r="AX794" t="s">
        <v>74</v>
      </c>
      <c r="AY794" t="s">
        <v>74</v>
      </c>
      <c r="AZ794" t="s">
        <v>74</v>
      </c>
      <c r="BA794" t="s">
        <v>74</v>
      </c>
      <c r="BB794" t="s">
        <v>74</v>
      </c>
      <c r="BC794" t="s">
        <v>74</v>
      </c>
      <c r="BD794">
        <v>5513705</v>
      </c>
      <c r="BE794" t="s">
        <v>14827</v>
      </c>
      <c r="BF794" t="str">
        <f>HYPERLINK("http://dx.doi.org/10.1109/LGRS.2022.3211444","http://dx.doi.org/10.1109/LGRS.2022.3211444")</f>
        <v>http://dx.doi.org/10.1109/LGRS.2022.3211444</v>
      </c>
      <c r="BG794" t="s">
        <v>74</v>
      </c>
      <c r="BH794" t="s">
        <v>74</v>
      </c>
      <c r="BI794">
        <v>5</v>
      </c>
      <c r="BJ794" t="s">
        <v>9624</v>
      </c>
      <c r="BK794" t="s">
        <v>98</v>
      </c>
      <c r="BL794" t="s">
        <v>9625</v>
      </c>
      <c r="BM794" t="s">
        <v>14828</v>
      </c>
      <c r="BN794" t="s">
        <v>74</v>
      </c>
      <c r="BO794" t="s">
        <v>74</v>
      </c>
      <c r="BP794" t="s">
        <v>74</v>
      </c>
      <c r="BQ794" t="s">
        <v>74</v>
      </c>
      <c r="BR794" t="s">
        <v>102</v>
      </c>
      <c r="BS794" t="s">
        <v>14829</v>
      </c>
      <c r="BT794" t="str">
        <f>HYPERLINK("https%3A%2F%2Fwww.webofscience.com%2Fwos%2Fwoscc%2Ffull-record%2FWOS:000871032000001","View Full Record in Web of Science")</f>
        <v>View Full Record in Web of Science</v>
      </c>
    </row>
    <row r="795" spans="1:72" x14ac:dyDescent="0.2">
      <c r="A795" t="s">
        <v>72</v>
      </c>
      <c r="B795" t="s">
        <v>14830</v>
      </c>
      <c r="C795" t="s">
        <v>74</v>
      </c>
      <c r="D795" t="s">
        <v>74</v>
      </c>
      <c r="E795" t="s">
        <v>74</v>
      </c>
      <c r="F795" t="s">
        <v>14831</v>
      </c>
      <c r="G795" t="s">
        <v>74</v>
      </c>
      <c r="H795" t="s">
        <v>74</v>
      </c>
      <c r="I795" t="s">
        <v>14832</v>
      </c>
      <c r="J795" t="s">
        <v>14833</v>
      </c>
      <c r="K795" t="s">
        <v>74</v>
      </c>
      <c r="L795" t="s">
        <v>74</v>
      </c>
      <c r="M795" t="s">
        <v>78</v>
      </c>
      <c r="N795" t="s">
        <v>108</v>
      </c>
      <c r="O795" t="s">
        <v>74</v>
      </c>
      <c r="P795" t="s">
        <v>74</v>
      </c>
      <c r="Q795" t="s">
        <v>74</v>
      </c>
      <c r="R795" t="s">
        <v>74</v>
      </c>
      <c r="S795" t="s">
        <v>74</v>
      </c>
      <c r="T795" t="s">
        <v>14834</v>
      </c>
      <c r="U795" t="s">
        <v>14835</v>
      </c>
      <c r="V795" t="s">
        <v>14836</v>
      </c>
      <c r="W795" t="s">
        <v>14837</v>
      </c>
      <c r="X795" t="s">
        <v>14838</v>
      </c>
      <c r="Y795" t="s">
        <v>14839</v>
      </c>
      <c r="Z795" t="s">
        <v>14840</v>
      </c>
      <c r="AA795" t="s">
        <v>14841</v>
      </c>
      <c r="AB795" t="s">
        <v>14842</v>
      </c>
      <c r="AC795" t="s">
        <v>14843</v>
      </c>
      <c r="AD795" t="s">
        <v>14844</v>
      </c>
      <c r="AE795" t="s">
        <v>14845</v>
      </c>
      <c r="AF795" t="s">
        <v>74</v>
      </c>
      <c r="AG795">
        <v>218</v>
      </c>
      <c r="AH795">
        <v>277</v>
      </c>
      <c r="AI795">
        <v>285</v>
      </c>
      <c r="AJ795">
        <v>49</v>
      </c>
      <c r="AK795">
        <v>888</v>
      </c>
      <c r="AL795" t="s">
        <v>209</v>
      </c>
      <c r="AM795" t="s">
        <v>210</v>
      </c>
      <c r="AN795" t="s">
        <v>211</v>
      </c>
      <c r="AO795" t="s">
        <v>14846</v>
      </c>
      <c r="AP795" t="s">
        <v>14847</v>
      </c>
      <c r="AQ795" t="s">
        <v>74</v>
      </c>
      <c r="AR795" t="s">
        <v>14848</v>
      </c>
      <c r="AS795" t="s">
        <v>14849</v>
      </c>
      <c r="AT795" t="s">
        <v>174</v>
      </c>
      <c r="AU795">
        <v>2019</v>
      </c>
      <c r="AV795">
        <v>50</v>
      </c>
      <c r="AW795" t="s">
        <v>74</v>
      </c>
      <c r="AX795" t="s">
        <v>74</v>
      </c>
      <c r="AY795" t="s">
        <v>74</v>
      </c>
      <c r="AZ795" t="s">
        <v>74</v>
      </c>
      <c r="BA795" t="s">
        <v>74</v>
      </c>
      <c r="BB795">
        <v>92</v>
      </c>
      <c r="BC795">
        <v>111</v>
      </c>
      <c r="BD795" t="s">
        <v>74</v>
      </c>
      <c r="BE795" t="s">
        <v>14850</v>
      </c>
      <c r="BF795" t="str">
        <f>HYPERLINK("http://dx.doi.org/10.1016/j.inffus.2018.10.005","http://dx.doi.org/10.1016/j.inffus.2018.10.005")</f>
        <v>http://dx.doi.org/10.1016/j.inffus.2018.10.005</v>
      </c>
      <c r="BG795" t="s">
        <v>74</v>
      </c>
      <c r="BH795" t="s">
        <v>74</v>
      </c>
      <c r="BI795">
        <v>20</v>
      </c>
      <c r="BJ795" t="s">
        <v>5037</v>
      </c>
      <c r="BK795" t="s">
        <v>98</v>
      </c>
      <c r="BL795" t="s">
        <v>99</v>
      </c>
      <c r="BM795" t="s">
        <v>14851</v>
      </c>
      <c r="BN795" t="s">
        <v>74</v>
      </c>
      <c r="BO795" t="s">
        <v>74</v>
      </c>
      <c r="BP795" t="s">
        <v>2105</v>
      </c>
      <c r="BQ795" t="s">
        <v>2106</v>
      </c>
      <c r="BR795" t="s">
        <v>102</v>
      </c>
      <c r="BS795" t="s">
        <v>14852</v>
      </c>
      <c r="BT795" t="str">
        <f>HYPERLINK("https%3A%2F%2Fwww.webofscience.com%2Fwos%2Fwoscc%2Ffull-record%2FWOS:000466056900008","View Full Record in Web of Science")</f>
        <v>View Full Record in Web of Science</v>
      </c>
    </row>
    <row r="796" spans="1:72" x14ac:dyDescent="0.2">
      <c r="A796" t="s">
        <v>72</v>
      </c>
      <c r="B796" t="s">
        <v>14853</v>
      </c>
      <c r="C796" t="s">
        <v>74</v>
      </c>
      <c r="D796" t="s">
        <v>74</v>
      </c>
      <c r="E796" t="s">
        <v>74</v>
      </c>
      <c r="F796" t="s">
        <v>14854</v>
      </c>
      <c r="G796" t="s">
        <v>74</v>
      </c>
      <c r="H796" t="s">
        <v>74</v>
      </c>
      <c r="I796" t="s">
        <v>14855</v>
      </c>
      <c r="J796" t="s">
        <v>14856</v>
      </c>
      <c r="K796" t="s">
        <v>74</v>
      </c>
      <c r="L796" t="s">
        <v>74</v>
      </c>
      <c r="M796" t="s">
        <v>78</v>
      </c>
      <c r="N796" t="s">
        <v>108</v>
      </c>
      <c r="O796" t="s">
        <v>74</v>
      </c>
      <c r="P796" t="s">
        <v>74</v>
      </c>
      <c r="Q796" t="s">
        <v>74</v>
      </c>
      <c r="R796" t="s">
        <v>74</v>
      </c>
      <c r="S796" t="s">
        <v>74</v>
      </c>
      <c r="T796" t="s">
        <v>14857</v>
      </c>
      <c r="U796" t="s">
        <v>74</v>
      </c>
      <c r="V796" t="s">
        <v>14858</v>
      </c>
      <c r="W796" t="s">
        <v>14859</v>
      </c>
      <c r="X796" t="s">
        <v>14860</v>
      </c>
      <c r="Y796" t="s">
        <v>14861</v>
      </c>
      <c r="Z796" t="s">
        <v>14862</v>
      </c>
      <c r="AA796" t="s">
        <v>74</v>
      </c>
      <c r="AB796" t="s">
        <v>14863</v>
      </c>
      <c r="AC796" t="s">
        <v>74</v>
      </c>
      <c r="AD796" t="s">
        <v>74</v>
      </c>
      <c r="AE796" t="s">
        <v>74</v>
      </c>
      <c r="AF796" t="s">
        <v>74</v>
      </c>
      <c r="AG796">
        <v>30</v>
      </c>
      <c r="AH796">
        <v>0</v>
      </c>
      <c r="AI796">
        <v>0</v>
      </c>
      <c r="AJ796">
        <v>4</v>
      </c>
      <c r="AK796">
        <v>11</v>
      </c>
      <c r="AL796" t="s">
        <v>409</v>
      </c>
      <c r="AM796" t="s">
        <v>410</v>
      </c>
      <c r="AN796" t="s">
        <v>411</v>
      </c>
      <c r="AO796" t="s">
        <v>14864</v>
      </c>
      <c r="AP796" t="s">
        <v>14865</v>
      </c>
      <c r="AQ796" t="s">
        <v>74</v>
      </c>
      <c r="AR796" t="s">
        <v>14866</v>
      </c>
      <c r="AS796" t="s">
        <v>14867</v>
      </c>
      <c r="AT796" t="s">
        <v>800</v>
      </c>
      <c r="AU796">
        <v>2022</v>
      </c>
      <c r="AV796">
        <v>47</v>
      </c>
      <c r="AW796">
        <v>2</v>
      </c>
      <c r="AX796" t="s">
        <v>74</v>
      </c>
      <c r="AY796" t="s">
        <v>74</v>
      </c>
      <c r="AZ796" t="s">
        <v>74</v>
      </c>
      <c r="BA796" t="s">
        <v>74</v>
      </c>
      <c r="BB796">
        <v>388</v>
      </c>
      <c r="BC796">
        <v>400</v>
      </c>
      <c r="BD796" t="s">
        <v>74</v>
      </c>
      <c r="BE796" t="s">
        <v>14868</v>
      </c>
      <c r="BF796" t="str">
        <f>HYPERLINK("http://dx.doi.org/10.1002/col.22741","http://dx.doi.org/10.1002/col.22741")</f>
        <v>http://dx.doi.org/10.1002/col.22741</v>
      </c>
      <c r="BG796" t="s">
        <v>74</v>
      </c>
      <c r="BH796" t="s">
        <v>267</v>
      </c>
      <c r="BI796">
        <v>13</v>
      </c>
      <c r="BJ796" t="s">
        <v>14869</v>
      </c>
      <c r="BK796" t="s">
        <v>98</v>
      </c>
      <c r="BL796" t="s">
        <v>14870</v>
      </c>
      <c r="BM796" t="s">
        <v>14871</v>
      </c>
      <c r="BN796" t="s">
        <v>74</v>
      </c>
      <c r="BO796" t="s">
        <v>74</v>
      </c>
      <c r="BP796" t="s">
        <v>74</v>
      </c>
      <c r="BQ796" t="s">
        <v>74</v>
      </c>
      <c r="BR796" t="s">
        <v>102</v>
      </c>
      <c r="BS796" t="s">
        <v>14872</v>
      </c>
      <c r="BT796" t="str">
        <f>HYPERLINK("https%3A%2F%2Fwww.webofscience.com%2Fwos%2Fwoscc%2Ffull-record%2FWOS:000704045000001","View Full Record in Web of Science")</f>
        <v>View Full Record in Web of Science</v>
      </c>
    </row>
    <row r="797" spans="1:72" x14ac:dyDescent="0.2">
      <c r="A797" t="s">
        <v>72</v>
      </c>
      <c r="B797" t="s">
        <v>14873</v>
      </c>
      <c r="C797" t="s">
        <v>74</v>
      </c>
      <c r="D797" t="s">
        <v>74</v>
      </c>
      <c r="E797" t="s">
        <v>74</v>
      </c>
      <c r="F797" t="s">
        <v>14874</v>
      </c>
      <c r="G797" t="s">
        <v>74</v>
      </c>
      <c r="H797" t="s">
        <v>74</v>
      </c>
      <c r="I797" t="s">
        <v>14875</v>
      </c>
      <c r="J797" t="s">
        <v>1600</v>
      </c>
      <c r="K797" t="s">
        <v>74</v>
      </c>
      <c r="L797" t="s">
        <v>74</v>
      </c>
      <c r="M797" t="s">
        <v>78</v>
      </c>
      <c r="N797" t="s">
        <v>79</v>
      </c>
      <c r="O797" t="s">
        <v>74</v>
      </c>
      <c r="P797" t="s">
        <v>74</v>
      </c>
      <c r="Q797" t="s">
        <v>74</v>
      </c>
      <c r="R797" t="s">
        <v>74</v>
      </c>
      <c r="S797" t="s">
        <v>74</v>
      </c>
      <c r="T797" t="s">
        <v>14876</v>
      </c>
      <c r="U797" t="s">
        <v>14877</v>
      </c>
      <c r="V797" t="s">
        <v>14878</v>
      </c>
      <c r="W797" t="s">
        <v>14879</v>
      </c>
      <c r="X797" t="s">
        <v>74</v>
      </c>
      <c r="Y797" t="s">
        <v>14880</v>
      </c>
      <c r="Z797" t="s">
        <v>14881</v>
      </c>
      <c r="AA797" t="s">
        <v>14882</v>
      </c>
      <c r="AB797" t="s">
        <v>14883</v>
      </c>
      <c r="AC797" t="s">
        <v>14884</v>
      </c>
      <c r="AD797" t="s">
        <v>14885</v>
      </c>
      <c r="AE797" t="s">
        <v>14886</v>
      </c>
      <c r="AF797" t="s">
        <v>74</v>
      </c>
      <c r="AG797">
        <v>87</v>
      </c>
      <c r="AH797">
        <v>0</v>
      </c>
      <c r="AI797">
        <v>0</v>
      </c>
      <c r="AJ797">
        <v>7</v>
      </c>
      <c r="AK797">
        <v>7</v>
      </c>
      <c r="AL797" t="s">
        <v>116</v>
      </c>
      <c r="AM797" t="s">
        <v>117</v>
      </c>
      <c r="AN797" t="s">
        <v>118</v>
      </c>
      <c r="AO797" t="s">
        <v>74</v>
      </c>
      <c r="AP797" t="s">
        <v>1609</v>
      </c>
      <c r="AQ797" t="s">
        <v>74</v>
      </c>
      <c r="AR797" t="s">
        <v>1610</v>
      </c>
      <c r="AS797" t="s">
        <v>1611</v>
      </c>
      <c r="AT797" t="s">
        <v>9170</v>
      </c>
      <c r="AU797">
        <v>2023</v>
      </c>
      <c r="AV797">
        <v>11</v>
      </c>
      <c r="AW797">
        <v>11</v>
      </c>
      <c r="AX797" t="s">
        <v>74</v>
      </c>
      <c r="AY797" t="s">
        <v>74</v>
      </c>
      <c r="AZ797" t="s">
        <v>74</v>
      </c>
      <c r="BA797" t="s">
        <v>74</v>
      </c>
      <c r="BB797" t="s">
        <v>74</v>
      </c>
      <c r="BC797" t="s">
        <v>74</v>
      </c>
      <c r="BD797">
        <v>2420</v>
      </c>
      <c r="BE797" t="s">
        <v>14887</v>
      </c>
      <c r="BF797" t="str">
        <f>HYPERLINK("http://dx.doi.org/10.3390/math11112420","http://dx.doi.org/10.3390/math11112420")</f>
        <v>http://dx.doi.org/10.3390/math11112420</v>
      </c>
      <c r="BG797" t="s">
        <v>74</v>
      </c>
      <c r="BH797" t="s">
        <v>74</v>
      </c>
      <c r="BI797">
        <v>20</v>
      </c>
      <c r="BJ797" t="s">
        <v>1611</v>
      </c>
      <c r="BK797" t="s">
        <v>98</v>
      </c>
      <c r="BL797" t="s">
        <v>1611</v>
      </c>
      <c r="BM797" t="s">
        <v>14888</v>
      </c>
      <c r="BN797" t="s">
        <v>74</v>
      </c>
      <c r="BO797" t="s">
        <v>126</v>
      </c>
      <c r="BP797" t="s">
        <v>74</v>
      </c>
      <c r="BQ797" t="s">
        <v>74</v>
      </c>
      <c r="BR797" t="s">
        <v>102</v>
      </c>
      <c r="BS797" t="s">
        <v>14889</v>
      </c>
      <c r="BT797" t="str">
        <f>HYPERLINK("https%3A%2F%2Fwww.webofscience.com%2Fwos%2Fwoscc%2Ffull-record%2FWOS:001003670600001","View Full Record in Web of Science")</f>
        <v>View Full Record in Web of Science</v>
      </c>
    </row>
    <row r="798" spans="1:72" x14ac:dyDescent="0.2">
      <c r="A798" t="s">
        <v>72</v>
      </c>
      <c r="B798" t="s">
        <v>14890</v>
      </c>
      <c r="C798" t="s">
        <v>74</v>
      </c>
      <c r="D798" t="s">
        <v>74</v>
      </c>
      <c r="E798" t="s">
        <v>74</v>
      </c>
      <c r="F798" t="s">
        <v>14891</v>
      </c>
      <c r="G798" t="s">
        <v>74</v>
      </c>
      <c r="H798" t="s">
        <v>74</v>
      </c>
      <c r="I798" t="s">
        <v>14892</v>
      </c>
      <c r="J798" t="s">
        <v>14893</v>
      </c>
      <c r="K798" t="s">
        <v>74</v>
      </c>
      <c r="L798" t="s">
        <v>74</v>
      </c>
      <c r="M798" t="s">
        <v>78</v>
      </c>
      <c r="N798" t="s">
        <v>108</v>
      </c>
      <c r="O798" t="s">
        <v>74</v>
      </c>
      <c r="P798" t="s">
        <v>74</v>
      </c>
      <c r="Q798" t="s">
        <v>74</v>
      </c>
      <c r="R798" t="s">
        <v>74</v>
      </c>
      <c r="S798" t="s">
        <v>74</v>
      </c>
      <c r="T798" t="s">
        <v>14894</v>
      </c>
      <c r="U798" t="s">
        <v>9023</v>
      </c>
      <c r="V798" t="s">
        <v>14895</v>
      </c>
      <c r="W798" t="s">
        <v>14896</v>
      </c>
      <c r="X798" t="s">
        <v>14897</v>
      </c>
      <c r="Y798" t="s">
        <v>14898</v>
      </c>
      <c r="Z798" t="s">
        <v>14899</v>
      </c>
      <c r="AA798" t="s">
        <v>14900</v>
      </c>
      <c r="AB798" t="s">
        <v>14901</v>
      </c>
      <c r="AC798" t="s">
        <v>74</v>
      </c>
      <c r="AD798" t="s">
        <v>74</v>
      </c>
      <c r="AE798" t="s">
        <v>74</v>
      </c>
      <c r="AF798" t="s">
        <v>74</v>
      </c>
      <c r="AG798">
        <v>29</v>
      </c>
      <c r="AH798">
        <v>1</v>
      </c>
      <c r="AI798">
        <v>1</v>
      </c>
      <c r="AJ798">
        <v>3</v>
      </c>
      <c r="AK798">
        <v>16</v>
      </c>
      <c r="AL798" t="s">
        <v>14902</v>
      </c>
      <c r="AM798" t="s">
        <v>14903</v>
      </c>
      <c r="AN798" t="s">
        <v>14904</v>
      </c>
      <c r="AO798" t="s">
        <v>14905</v>
      </c>
      <c r="AP798" t="s">
        <v>14906</v>
      </c>
      <c r="AQ798" t="s">
        <v>74</v>
      </c>
      <c r="AR798" t="s">
        <v>14907</v>
      </c>
      <c r="AS798" t="s">
        <v>14908</v>
      </c>
      <c r="AT798" t="s">
        <v>14909</v>
      </c>
      <c r="AU798">
        <v>2019</v>
      </c>
      <c r="AV798">
        <v>7</v>
      </c>
      <c r="AW798">
        <v>2</v>
      </c>
      <c r="AX798" t="s">
        <v>74</v>
      </c>
      <c r="AY798" t="s">
        <v>74</v>
      </c>
      <c r="AZ798" t="s">
        <v>74</v>
      </c>
      <c r="BA798" t="s">
        <v>74</v>
      </c>
      <c r="BB798">
        <v>117</v>
      </c>
      <c r="BC798">
        <v>124</v>
      </c>
      <c r="BD798" t="s">
        <v>74</v>
      </c>
      <c r="BE798" t="s">
        <v>14910</v>
      </c>
      <c r="BF798" t="str">
        <f>HYPERLINK("http://dx.doi.org/10.4995/ijpme.2019.11435","http://dx.doi.org/10.4995/ijpme.2019.11435")</f>
        <v>http://dx.doi.org/10.4995/ijpme.2019.11435</v>
      </c>
      <c r="BG798" t="s">
        <v>74</v>
      </c>
      <c r="BH798" t="s">
        <v>74</v>
      </c>
      <c r="BI798">
        <v>8</v>
      </c>
      <c r="BJ798" t="s">
        <v>2462</v>
      </c>
      <c r="BK798" t="s">
        <v>124</v>
      </c>
      <c r="BL798" t="s">
        <v>1292</v>
      </c>
      <c r="BM798" t="s">
        <v>14911</v>
      </c>
      <c r="BN798" t="s">
        <v>74</v>
      </c>
      <c r="BO798" t="s">
        <v>101</v>
      </c>
      <c r="BP798" t="s">
        <v>74</v>
      </c>
      <c r="BQ798" t="s">
        <v>74</v>
      </c>
      <c r="BR798" t="s">
        <v>102</v>
      </c>
      <c r="BS798" t="s">
        <v>14912</v>
      </c>
      <c r="BT798" t="str">
        <f>HYPERLINK("https%3A%2F%2Fwww.webofscience.com%2Fwos%2Fwoscc%2Ffull-record%2FWOS:000478036200001","View Full Record in Web of Science")</f>
        <v>View Full Record in Web of Science</v>
      </c>
    </row>
    <row r="799" spans="1:72" x14ac:dyDescent="0.2">
      <c r="A799" t="s">
        <v>72</v>
      </c>
      <c r="B799" t="s">
        <v>14913</v>
      </c>
      <c r="C799" t="s">
        <v>74</v>
      </c>
      <c r="D799" t="s">
        <v>74</v>
      </c>
      <c r="E799" t="s">
        <v>74</v>
      </c>
      <c r="F799" t="s">
        <v>14914</v>
      </c>
      <c r="G799" t="s">
        <v>74</v>
      </c>
      <c r="H799" t="s">
        <v>74</v>
      </c>
      <c r="I799" t="s">
        <v>14915</v>
      </c>
      <c r="J799" t="s">
        <v>14916</v>
      </c>
      <c r="K799" t="s">
        <v>74</v>
      </c>
      <c r="L799" t="s">
        <v>74</v>
      </c>
      <c r="M799" t="s">
        <v>78</v>
      </c>
      <c r="N799" t="s">
        <v>108</v>
      </c>
      <c r="O799" t="s">
        <v>74</v>
      </c>
      <c r="P799" t="s">
        <v>74</v>
      </c>
      <c r="Q799" t="s">
        <v>74</v>
      </c>
      <c r="R799" t="s">
        <v>74</v>
      </c>
      <c r="S799" t="s">
        <v>74</v>
      </c>
      <c r="T799" t="s">
        <v>14917</v>
      </c>
      <c r="U799" t="s">
        <v>14918</v>
      </c>
      <c r="V799" t="s">
        <v>14919</v>
      </c>
      <c r="W799" t="s">
        <v>14920</v>
      </c>
      <c r="X799" t="s">
        <v>74</v>
      </c>
      <c r="Y799" t="s">
        <v>14921</v>
      </c>
      <c r="Z799" t="s">
        <v>14922</v>
      </c>
      <c r="AA799" t="s">
        <v>74</v>
      </c>
      <c r="AB799" t="s">
        <v>14923</v>
      </c>
      <c r="AC799" t="s">
        <v>74</v>
      </c>
      <c r="AD799" t="s">
        <v>74</v>
      </c>
      <c r="AE799" t="s">
        <v>74</v>
      </c>
      <c r="AF799" t="s">
        <v>74</v>
      </c>
      <c r="AG799">
        <v>36</v>
      </c>
      <c r="AH799">
        <v>2</v>
      </c>
      <c r="AI799">
        <v>2</v>
      </c>
      <c r="AJ799">
        <v>0</v>
      </c>
      <c r="AK799">
        <v>5</v>
      </c>
      <c r="AL799" t="s">
        <v>279</v>
      </c>
      <c r="AM799" t="s">
        <v>280</v>
      </c>
      <c r="AN799" t="s">
        <v>281</v>
      </c>
      <c r="AO799" t="s">
        <v>14924</v>
      </c>
      <c r="AP799" t="s">
        <v>14925</v>
      </c>
      <c r="AQ799" t="s">
        <v>74</v>
      </c>
      <c r="AR799" t="s">
        <v>14926</v>
      </c>
      <c r="AS799" t="s">
        <v>14927</v>
      </c>
      <c r="AT799" t="s">
        <v>12281</v>
      </c>
      <c r="AU799">
        <v>2014</v>
      </c>
      <c r="AV799">
        <v>43</v>
      </c>
      <c r="AW799">
        <v>5</v>
      </c>
      <c r="AX799" t="s">
        <v>74</v>
      </c>
      <c r="AY799" t="s">
        <v>74</v>
      </c>
      <c r="AZ799" t="s">
        <v>74</v>
      </c>
      <c r="BA799" t="s">
        <v>74</v>
      </c>
      <c r="BB799">
        <v>470</v>
      </c>
      <c r="BC799">
        <v>507</v>
      </c>
      <c r="BD799" t="s">
        <v>74</v>
      </c>
      <c r="BE799" t="s">
        <v>14928</v>
      </c>
      <c r="BF799" t="str">
        <f>HYPERLINK("http://dx.doi.org/10.1080/03081079.2014.888551","http://dx.doi.org/10.1080/03081079.2014.888551")</f>
        <v>http://dx.doi.org/10.1080/03081079.2014.888551</v>
      </c>
      <c r="BG799" t="s">
        <v>74</v>
      </c>
      <c r="BH799" t="s">
        <v>74</v>
      </c>
      <c r="BI799">
        <v>38</v>
      </c>
      <c r="BJ799" t="s">
        <v>14929</v>
      </c>
      <c r="BK799" t="s">
        <v>98</v>
      </c>
      <c r="BL799" t="s">
        <v>269</v>
      </c>
      <c r="BM799" t="s">
        <v>14930</v>
      </c>
      <c r="BN799" t="s">
        <v>74</v>
      </c>
      <c r="BO799" t="s">
        <v>74</v>
      </c>
      <c r="BP799" t="s">
        <v>74</v>
      </c>
      <c r="BQ799" t="s">
        <v>74</v>
      </c>
      <c r="BR799" t="s">
        <v>102</v>
      </c>
      <c r="BS799" t="s">
        <v>14931</v>
      </c>
      <c r="BT799" t="str">
        <f>HYPERLINK("https%3A%2F%2Fwww.webofscience.com%2Fwos%2Fwoscc%2Ffull-record%2FWOS:000333941300003","View Full Record in Web of Science")</f>
        <v>View Full Record in Web of Science</v>
      </c>
    </row>
    <row r="800" spans="1:72" x14ac:dyDescent="0.2">
      <c r="A800" t="s">
        <v>72</v>
      </c>
      <c r="B800" t="s">
        <v>14932</v>
      </c>
      <c r="C800" t="s">
        <v>74</v>
      </c>
      <c r="D800" t="s">
        <v>74</v>
      </c>
      <c r="E800" t="s">
        <v>74</v>
      </c>
      <c r="F800" t="s">
        <v>14933</v>
      </c>
      <c r="G800" t="s">
        <v>74</v>
      </c>
      <c r="H800" t="s">
        <v>74</v>
      </c>
      <c r="I800" t="s">
        <v>14934</v>
      </c>
      <c r="J800" t="s">
        <v>5266</v>
      </c>
      <c r="K800" t="s">
        <v>74</v>
      </c>
      <c r="L800" t="s">
        <v>74</v>
      </c>
      <c r="M800" t="s">
        <v>78</v>
      </c>
      <c r="N800" t="s">
        <v>108</v>
      </c>
      <c r="O800" t="s">
        <v>74</v>
      </c>
      <c r="P800" t="s">
        <v>74</v>
      </c>
      <c r="Q800" t="s">
        <v>74</v>
      </c>
      <c r="R800" t="s">
        <v>74</v>
      </c>
      <c r="S800" t="s">
        <v>74</v>
      </c>
      <c r="T800" t="s">
        <v>14935</v>
      </c>
      <c r="U800" t="s">
        <v>14936</v>
      </c>
      <c r="V800" t="s">
        <v>14937</v>
      </c>
      <c r="W800" t="s">
        <v>14938</v>
      </c>
      <c r="X800" t="s">
        <v>14939</v>
      </c>
      <c r="Y800" t="s">
        <v>14940</v>
      </c>
      <c r="Z800" t="s">
        <v>9028</v>
      </c>
      <c r="AA800" t="s">
        <v>74</v>
      </c>
      <c r="AB800" t="s">
        <v>74</v>
      </c>
      <c r="AC800" t="s">
        <v>74</v>
      </c>
      <c r="AD800" t="s">
        <v>74</v>
      </c>
      <c r="AE800" t="s">
        <v>74</v>
      </c>
      <c r="AF800" t="s">
        <v>74</v>
      </c>
      <c r="AG800">
        <v>23</v>
      </c>
      <c r="AH800">
        <v>227</v>
      </c>
      <c r="AI800">
        <v>231</v>
      </c>
      <c r="AJ800">
        <v>12</v>
      </c>
      <c r="AK800">
        <v>253</v>
      </c>
      <c r="AL800" t="s">
        <v>321</v>
      </c>
      <c r="AM800" t="s">
        <v>348</v>
      </c>
      <c r="AN800" t="s">
        <v>2555</v>
      </c>
      <c r="AO800" t="s">
        <v>5277</v>
      </c>
      <c r="AP800" t="s">
        <v>5278</v>
      </c>
      <c r="AQ800" t="s">
        <v>74</v>
      </c>
      <c r="AR800" t="s">
        <v>5279</v>
      </c>
      <c r="AS800" t="s">
        <v>5280</v>
      </c>
      <c r="AT800" t="s">
        <v>216</v>
      </c>
      <c r="AU800">
        <v>2017</v>
      </c>
      <c r="AV800">
        <v>5</v>
      </c>
      <c r="AW800">
        <v>4</v>
      </c>
      <c r="AX800" t="s">
        <v>74</v>
      </c>
      <c r="AY800" t="s">
        <v>74</v>
      </c>
      <c r="AZ800" t="s">
        <v>570</v>
      </c>
      <c r="BA800" t="s">
        <v>74</v>
      </c>
      <c r="BB800">
        <v>311</v>
      </c>
      <c r="BC800">
        <v>320</v>
      </c>
      <c r="BD800" t="s">
        <v>74</v>
      </c>
      <c r="BE800" t="s">
        <v>14941</v>
      </c>
      <c r="BF800" t="str">
        <f>HYPERLINK("http://dx.doi.org/10.1007/s40436-017-0204-7","http://dx.doi.org/10.1007/s40436-017-0204-7")</f>
        <v>http://dx.doi.org/10.1007/s40436-017-0204-7</v>
      </c>
      <c r="BG800" t="s">
        <v>74</v>
      </c>
      <c r="BH800" t="s">
        <v>74</v>
      </c>
      <c r="BI800">
        <v>10</v>
      </c>
      <c r="BJ800" t="s">
        <v>5282</v>
      </c>
      <c r="BK800" t="s">
        <v>98</v>
      </c>
      <c r="BL800" t="s">
        <v>5283</v>
      </c>
      <c r="BM800" t="s">
        <v>14942</v>
      </c>
      <c r="BN800" t="s">
        <v>74</v>
      </c>
      <c r="BO800" t="s">
        <v>74</v>
      </c>
      <c r="BP800" t="s">
        <v>74</v>
      </c>
      <c r="BQ800" t="s">
        <v>74</v>
      </c>
      <c r="BR800" t="s">
        <v>102</v>
      </c>
      <c r="BS800" t="s">
        <v>14943</v>
      </c>
      <c r="BT800" t="str">
        <f>HYPERLINK("https%3A%2F%2Fwww.webofscience.com%2Fwos%2Fwoscc%2Ffull-record%2FWOS:000417945200002","View Full Record in Web of Science")</f>
        <v>View Full Record in Web of Science</v>
      </c>
    </row>
    <row r="801" spans="1:72" x14ac:dyDescent="0.2">
      <c r="A801" t="s">
        <v>72</v>
      </c>
      <c r="B801" t="s">
        <v>14944</v>
      </c>
      <c r="C801" t="s">
        <v>74</v>
      </c>
      <c r="D801" t="s">
        <v>74</v>
      </c>
      <c r="E801" t="s">
        <v>74</v>
      </c>
      <c r="F801" t="s">
        <v>14945</v>
      </c>
      <c r="G801" t="s">
        <v>74</v>
      </c>
      <c r="H801" t="s">
        <v>74</v>
      </c>
      <c r="I801" t="s">
        <v>14946</v>
      </c>
      <c r="J801" t="s">
        <v>14947</v>
      </c>
      <c r="K801" t="s">
        <v>74</v>
      </c>
      <c r="L801" t="s">
        <v>74</v>
      </c>
      <c r="M801" t="s">
        <v>78</v>
      </c>
      <c r="N801" t="s">
        <v>108</v>
      </c>
      <c r="O801" t="s">
        <v>74</v>
      </c>
      <c r="P801" t="s">
        <v>74</v>
      </c>
      <c r="Q801" t="s">
        <v>74</v>
      </c>
      <c r="R801" t="s">
        <v>74</v>
      </c>
      <c r="S801" t="s">
        <v>74</v>
      </c>
      <c r="T801" t="s">
        <v>14948</v>
      </c>
      <c r="U801" t="s">
        <v>74</v>
      </c>
      <c r="V801" t="s">
        <v>14949</v>
      </c>
      <c r="W801" t="s">
        <v>14950</v>
      </c>
      <c r="X801" t="s">
        <v>8855</v>
      </c>
      <c r="Y801" t="s">
        <v>14951</v>
      </c>
      <c r="Z801" t="s">
        <v>14952</v>
      </c>
      <c r="AA801" t="s">
        <v>74</v>
      </c>
      <c r="AB801" t="s">
        <v>74</v>
      </c>
      <c r="AC801" t="s">
        <v>14953</v>
      </c>
      <c r="AD801" t="s">
        <v>14954</v>
      </c>
      <c r="AE801" t="s">
        <v>14955</v>
      </c>
      <c r="AF801" t="s">
        <v>74</v>
      </c>
      <c r="AG801">
        <v>23</v>
      </c>
      <c r="AH801">
        <v>2</v>
      </c>
      <c r="AI801">
        <v>2</v>
      </c>
      <c r="AJ801">
        <v>0</v>
      </c>
      <c r="AK801">
        <v>21</v>
      </c>
      <c r="AL801" t="s">
        <v>14956</v>
      </c>
      <c r="AM801" t="s">
        <v>14957</v>
      </c>
      <c r="AN801" t="s">
        <v>14958</v>
      </c>
      <c r="AO801" t="s">
        <v>14959</v>
      </c>
      <c r="AP801" t="s">
        <v>14960</v>
      </c>
      <c r="AQ801" t="s">
        <v>74</v>
      </c>
      <c r="AR801" t="s">
        <v>14961</v>
      </c>
      <c r="AS801" t="s">
        <v>14962</v>
      </c>
      <c r="AT801" t="s">
        <v>194</v>
      </c>
      <c r="AU801">
        <v>2016</v>
      </c>
      <c r="AV801">
        <v>17</v>
      </c>
      <c r="AW801">
        <v>6</v>
      </c>
      <c r="AX801" t="s">
        <v>74</v>
      </c>
      <c r="AY801" t="s">
        <v>74</v>
      </c>
      <c r="AZ801" t="s">
        <v>74</v>
      </c>
      <c r="BA801" t="s">
        <v>74</v>
      </c>
      <c r="BB801">
        <v>1207</v>
      </c>
      <c r="BC801">
        <v>1219</v>
      </c>
      <c r="BD801" t="s">
        <v>74</v>
      </c>
      <c r="BE801" t="s">
        <v>14963</v>
      </c>
      <c r="BF801" t="str">
        <f>HYPERLINK("http://dx.doi.org/10.6138/JIT.2016.17.6.20160115e","http://dx.doi.org/10.6138/JIT.2016.17.6.20160115e")</f>
        <v>http://dx.doi.org/10.6138/JIT.2016.17.6.20160115e</v>
      </c>
      <c r="BG801" t="s">
        <v>74</v>
      </c>
      <c r="BH801" t="s">
        <v>74</v>
      </c>
      <c r="BI801">
        <v>13</v>
      </c>
      <c r="BJ801" t="s">
        <v>503</v>
      </c>
      <c r="BK801" t="s">
        <v>98</v>
      </c>
      <c r="BL801" t="s">
        <v>505</v>
      </c>
      <c r="BM801" t="s">
        <v>14964</v>
      </c>
      <c r="BN801" t="s">
        <v>74</v>
      </c>
      <c r="BO801" t="s">
        <v>74</v>
      </c>
      <c r="BP801" t="s">
        <v>74</v>
      </c>
      <c r="BQ801" t="s">
        <v>74</v>
      </c>
      <c r="BR801" t="s">
        <v>102</v>
      </c>
      <c r="BS801" t="s">
        <v>14965</v>
      </c>
      <c r="BT801" t="str">
        <f>HYPERLINK("https%3A%2F%2Fwww.webofscience.com%2Fwos%2Fwoscc%2Ffull-record%2FWOS:000389625000016","View Full Record in Web of Science")</f>
        <v>View Full Record in Web of Science</v>
      </c>
    </row>
    <row r="802" spans="1:72" x14ac:dyDescent="0.2">
      <c r="A802" t="s">
        <v>72</v>
      </c>
      <c r="B802" t="s">
        <v>14966</v>
      </c>
      <c r="C802" t="s">
        <v>74</v>
      </c>
      <c r="D802" t="s">
        <v>74</v>
      </c>
      <c r="E802" t="s">
        <v>74</v>
      </c>
      <c r="F802" t="s">
        <v>14967</v>
      </c>
      <c r="G802" t="s">
        <v>74</v>
      </c>
      <c r="H802" t="s">
        <v>74</v>
      </c>
      <c r="I802" t="s">
        <v>14968</v>
      </c>
      <c r="J802" t="s">
        <v>14969</v>
      </c>
      <c r="K802" t="s">
        <v>74</v>
      </c>
      <c r="L802" t="s">
        <v>74</v>
      </c>
      <c r="M802" t="s">
        <v>78</v>
      </c>
      <c r="N802" t="s">
        <v>108</v>
      </c>
      <c r="O802" t="s">
        <v>74</v>
      </c>
      <c r="P802" t="s">
        <v>74</v>
      </c>
      <c r="Q802" t="s">
        <v>74</v>
      </c>
      <c r="R802" t="s">
        <v>74</v>
      </c>
      <c r="S802" t="s">
        <v>74</v>
      </c>
      <c r="T802" t="s">
        <v>14970</v>
      </c>
      <c r="U802" t="s">
        <v>14330</v>
      </c>
      <c r="V802" t="s">
        <v>14971</v>
      </c>
      <c r="W802" t="s">
        <v>14972</v>
      </c>
      <c r="X802" t="s">
        <v>14973</v>
      </c>
      <c r="Y802" t="s">
        <v>14974</v>
      </c>
      <c r="Z802" t="s">
        <v>14975</v>
      </c>
      <c r="AA802" t="s">
        <v>74</v>
      </c>
      <c r="AB802" t="s">
        <v>74</v>
      </c>
      <c r="AC802" t="s">
        <v>74</v>
      </c>
      <c r="AD802" t="s">
        <v>74</v>
      </c>
      <c r="AE802" t="s">
        <v>74</v>
      </c>
      <c r="AF802" t="s">
        <v>74</v>
      </c>
      <c r="AG802">
        <v>18</v>
      </c>
      <c r="AH802">
        <v>0</v>
      </c>
      <c r="AI802">
        <v>0</v>
      </c>
      <c r="AJ802">
        <v>0</v>
      </c>
      <c r="AK802">
        <v>18</v>
      </c>
      <c r="AL802" t="s">
        <v>14976</v>
      </c>
      <c r="AM802" t="s">
        <v>348</v>
      </c>
      <c r="AN802" t="s">
        <v>14977</v>
      </c>
      <c r="AO802" t="s">
        <v>14978</v>
      </c>
      <c r="AP802" t="s">
        <v>14979</v>
      </c>
      <c r="AQ802" t="s">
        <v>74</v>
      </c>
      <c r="AR802" t="s">
        <v>14980</v>
      </c>
      <c r="AS802" t="s">
        <v>14981</v>
      </c>
      <c r="AT802" t="s">
        <v>738</v>
      </c>
      <c r="AU802">
        <v>2013</v>
      </c>
      <c r="AV802">
        <v>7</v>
      </c>
      <c r="AW802" t="s">
        <v>74</v>
      </c>
      <c r="AX802" t="s">
        <v>74</v>
      </c>
      <c r="AY802" t="s">
        <v>74</v>
      </c>
      <c r="AZ802">
        <v>1</v>
      </c>
      <c r="BA802" t="s">
        <v>74</v>
      </c>
      <c r="BB802">
        <v>307</v>
      </c>
      <c r="BC802">
        <v>312</v>
      </c>
      <c r="BD802" t="s">
        <v>74</v>
      </c>
      <c r="BE802" t="s">
        <v>14982</v>
      </c>
      <c r="BF802" t="str">
        <f>HYPERLINK("http://dx.doi.org/10.12785/amis/071L40","http://dx.doi.org/10.12785/amis/071L40")</f>
        <v>http://dx.doi.org/10.12785/amis/071L40</v>
      </c>
      <c r="BG802" t="s">
        <v>74</v>
      </c>
      <c r="BH802" t="s">
        <v>74</v>
      </c>
      <c r="BI802">
        <v>6</v>
      </c>
      <c r="BJ802" t="s">
        <v>14983</v>
      </c>
      <c r="BK802" t="s">
        <v>147</v>
      </c>
      <c r="BL802" t="s">
        <v>14984</v>
      </c>
      <c r="BM802" t="s">
        <v>14985</v>
      </c>
      <c r="BN802" t="s">
        <v>74</v>
      </c>
      <c r="BO802" t="s">
        <v>74</v>
      </c>
      <c r="BP802" t="s">
        <v>74</v>
      </c>
      <c r="BQ802" t="s">
        <v>74</v>
      </c>
      <c r="BR802" t="s">
        <v>102</v>
      </c>
      <c r="BS802" t="s">
        <v>14986</v>
      </c>
      <c r="BT802" t="str">
        <f>HYPERLINK("https%3A%2F%2Fwww.webofscience.com%2Fwos%2Fwoscc%2Ffull-record%2FWOS:000317633700040","View Full Record in Web of Science")</f>
        <v>View Full Record in Web of Science</v>
      </c>
    </row>
    <row r="803" spans="1:72" x14ac:dyDescent="0.2">
      <c r="A803" t="s">
        <v>72</v>
      </c>
      <c r="B803" t="s">
        <v>14987</v>
      </c>
      <c r="C803" t="s">
        <v>74</v>
      </c>
      <c r="D803" t="s">
        <v>74</v>
      </c>
      <c r="E803" t="s">
        <v>74</v>
      </c>
      <c r="F803" t="s">
        <v>14988</v>
      </c>
      <c r="G803" t="s">
        <v>74</v>
      </c>
      <c r="H803" t="s">
        <v>74</v>
      </c>
      <c r="I803" t="s">
        <v>14989</v>
      </c>
      <c r="J803" t="s">
        <v>4106</v>
      </c>
      <c r="K803" t="s">
        <v>74</v>
      </c>
      <c r="L803" t="s">
        <v>74</v>
      </c>
      <c r="M803" t="s">
        <v>78</v>
      </c>
      <c r="N803" t="s">
        <v>108</v>
      </c>
      <c r="O803" t="s">
        <v>74</v>
      </c>
      <c r="P803" t="s">
        <v>74</v>
      </c>
      <c r="Q803" t="s">
        <v>74</v>
      </c>
      <c r="R803" t="s">
        <v>74</v>
      </c>
      <c r="S803" t="s">
        <v>74</v>
      </c>
      <c r="T803" t="s">
        <v>14990</v>
      </c>
      <c r="U803" t="s">
        <v>14991</v>
      </c>
      <c r="V803" t="s">
        <v>14992</v>
      </c>
      <c r="W803" t="s">
        <v>14993</v>
      </c>
      <c r="X803" t="s">
        <v>14994</v>
      </c>
      <c r="Y803" t="s">
        <v>14995</v>
      </c>
      <c r="Z803" t="s">
        <v>14996</v>
      </c>
      <c r="AA803" t="s">
        <v>14997</v>
      </c>
      <c r="AB803" t="s">
        <v>74</v>
      </c>
      <c r="AC803" t="s">
        <v>74</v>
      </c>
      <c r="AD803" t="s">
        <v>74</v>
      </c>
      <c r="AE803" t="s">
        <v>74</v>
      </c>
      <c r="AF803" t="s">
        <v>74</v>
      </c>
      <c r="AG803">
        <v>49</v>
      </c>
      <c r="AH803">
        <v>18</v>
      </c>
      <c r="AI803">
        <v>19</v>
      </c>
      <c r="AJ803">
        <v>9</v>
      </c>
      <c r="AK803">
        <v>72</v>
      </c>
      <c r="AL803" t="s">
        <v>321</v>
      </c>
      <c r="AM803" t="s">
        <v>322</v>
      </c>
      <c r="AN803" t="s">
        <v>323</v>
      </c>
      <c r="AO803" t="s">
        <v>4115</v>
      </c>
      <c r="AP803" t="s">
        <v>4116</v>
      </c>
      <c r="AQ803" t="s">
        <v>74</v>
      </c>
      <c r="AR803" t="s">
        <v>4117</v>
      </c>
      <c r="AS803" t="s">
        <v>4118</v>
      </c>
      <c r="AT803" t="s">
        <v>174</v>
      </c>
      <c r="AU803">
        <v>2020</v>
      </c>
      <c r="AV803">
        <v>31</v>
      </c>
      <c r="AW803">
        <v>7</v>
      </c>
      <c r="AX803" t="s">
        <v>74</v>
      </c>
      <c r="AY803" t="s">
        <v>74</v>
      </c>
      <c r="AZ803" t="s">
        <v>570</v>
      </c>
      <c r="BA803" t="s">
        <v>74</v>
      </c>
      <c r="BB803">
        <v>1721</v>
      </c>
      <c r="BC803">
        <v>1736</v>
      </c>
      <c r="BD803" t="s">
        <v>74</v>
      </c>
      <c r="BE803" t="s">
        <v>14998</v>
      </c>
      <c r="BF803" t="str">
        <f>HYPERLINK("http://dx.doi.org/10.1007/s10845-018-1395-x","http://dx.doi.org/10.1007/s10845-018-1395-x")</f>
        <v>http://dx.doi.org/10.1007/s10845-018-1395-x</v>
      </c>
      <c r="BG803" t="s">
        <v>74</v>
      </c>
      <c r="BH803" t="s">
        <v>74</v>
      </c>
      <c r="BI803">
        <v>16</v>
      </c>
      <c r="BJ803" t="s">
        <v>4120</v>
      </c>
      <c r="BK803" t="s">
        <v>98</v>
      </c>
      <c r="BL803" t="s">
        <v>269</v>
      </c>
      <c r="BM803" t="s">
        <v>14999</v>
      </c>
      <c r="BN803" t="s">
        <v>74</v>
      </c>
      <c r="BO803" t="s">
        <v>74</v>
      </c>
      <c r="BP803" t="s">
        <v>74</v>
      </c>
      <c r="BQ803" t="s">
        <v>74</v>
      </c>
      <c r="BR803" t="s">
        <v>102</v>
      </c>
      <c r="BS803" t="s">
        <v>15000</v>
      </c>
      <c r="BT803" t="str">
        <f>HYPERLINK("https%3A%2F%2Fwww.webofscience.com%2Fwos%2Fwoscc%2Ffull-record%2FWOS:000563132100010","View Full Record in Web of Science")</f>
        <v>View Full Record in Web of Science</v>
      </c>
    </row>
    <row r="804" spans="1:72" x14ac:dyDescent="0.2">
      <c r="A804" t="s">
        <v>72</v>
      </c>
      <c r="B804" t="s">
        <v>15001</v>
      </c>
      <c r="C804" t="s">
        <v>74</v>
      </c>
      <c r="D804" t="s">
        <v>74</v>
      </c>
      <c r="E804" t="s">
        <v>74</v>
      </c>
      <c r="F804" t="s">
        <v>15002</v>
      </c>
      <c r="G804" t="s">
        <v>74</v>
      </c>
      <c r="H804" t="s">
        <v>74</v>
      </c>
      <c r="I804" t="s">
        <v>15003</v>
      </c>
      <c r="J804" t="s">
        <v>7548</v>
      </c>
      <c r="K804" t="s">
        <v>74</v>
      </c>
      <c r="L804" t="s">
        <v>74</v>
      </c>
      <c r="M804" t="s">
        <v>78</v>
      </c>
      <c r="N804" t="s">
        <v>108</v>
      </c>
      <c r="O804" t="s">
        <v>74</v>
      </c>
      <c r="P804" t="s">
        <v>74</v>
      </c>
      <c r="Q804" t="s">
        <v>74</v>
      </c>
      <c r="R804" t="s">
        <v>74</v>
      </c>
      <c r="S804" t="s">
        <v>74</v>
      </c>
      <c r="T804" t="s">
        <v>15004</v>
      </c>
      <c r="U804" t="s">
        <v>15005</v>
      </c>
      <c r="V804" t="s">
        <v>15006</v>
      </c>
      <c r="W804" t="s">
        <v>15007</v>
      </c>
      <c r="X804" t="s">
        <v>6435</v>
      </c>
      <c r="Y804" t="s">
        <v>6436</v>
      </c>
      <c r="Z804" t="s">
        <v>15008</v>
      </c>
      <c r="AA804" t="s">
        <v>15009</v>
      </c>
      <c r="AB804" t="s">
        <v>15010</v>
      </c>
      <c r="AC804" t="s">
        <v>74</v>
      </c>
      <c r="AD804" t="s">
        <v>74</v>
      </c>
      <c r="AE804" t="s">
        <v>74</v>
      </c>
      <c r="AF804" t="s">
        <v>74</v>
      </c>
      <c r="AG804">
        <v>64</v>
      </c>
      <c r="AH804">
        <v>21</v>
      </c>
      <c r="AI804">
        <v>21</v>
      </c>
      <c r="AJ804">
        <v>2</v>
      </c>
      <c r="AK804">
        <v>20</v>
      </c>
      <c r="AL804" t="s">
        <v>543</v>
      </c>
      <c r="AM804" t="s">
        <v>260</v>
      </c>
      <c r="AN804" t="s">
        <v>544</v>
      </c>
      <c r="AO804" t="s">
        <v>7557</v>
      </c>
      <c r="AP804" t="s">
        <v>7558</v>
      </c>
      <c r="AQ804" t="s">
        <v>74</v>
      </c>
      <c r="AR804" t="s">
        <v>7559</v>
      </c>
      <c r="AS804" t="s">
        <v>7560</v>
      </c>
      <c r="AT804" t="s">
        <v>7202</v>
      </c>
      <c r="AU804">
        <v>2017</v>
      </c>
      <c r="AV804">
        <v>104</v>
      </c>
      <c r="AW804" t="s">
        <v>74</v>
      </c>
      <c r="AX804" t="s">
        <v>74</v>
      </c>
      <c r="AY804" t="s">
        <v>74</v>
      </c>
      <c r="AZ804" t="s">
        <v>74</v>
      </c>
      <c r="BA804" t="s">
        <v>74</v>
      </c>
      <c r="BB804">
        <v>107</v>
      </c>
      <c r="BC804">
        <v>127</v>
      </c>
      <c r="BD804" t="s">
        <v>74</v>
      </c>
      <c r="BE804" t="s">
        <v>15011</v>
      </c>
      <c r="BF804" t="str">
        <f>HYPERLINK("http://dx.doi.org/10.1016/j.compchemeng.2017.04.003","http://dx.doi.org/10.1016/j.compchemeng.2017.04.003")</f>
        <v>http://dx.doi.org/10.1016/j.compchemeng.2017.04.003</v>
      </c>
      <c r="BG804" t="s">
        <v>74</v>
      </c>
      <c r="BH804" t="s">
        <v>74</v>
      </c>
      <c r="BI804">
        <v>21</v>
      </c>
      <c r="BJ804" t="s">
        <v>7563</v>
      </c>
      <c r="BK804" t="s">
        <v>98</v>
      </c>
      <c r="BL804" t="s">
        <v>269</v>
      </c>
      <c r="BM804" t="s">
        <v>15012</v>
      </c>
      <c r="BN804" t="s">
        <v>74</v>
      </c>
      <c r="BO804" t="s">
        <v>74</v>
      </c>
      <c r="BP804" t="s">
        <v>74</v>
      </c>
      <c r="BQ804" t="s">
        <v>74</v>
      </c>
      <c r="BR804" t="s">
        <v>102</v>
      </c>
      <c r="BS804" t="s">
        <v>15013</v>
      </c>
      <c r="BT804" t="str">
        <f>HYPERLINK("https%3A%2F%2Fwww.webofscience.com%2Fwos%2Fwoscc%2Ffull-record%2FWOS:000405053500009","View Full Record in Web of Science")</f>
        <v>View Full Record in Web of Science</v>
      </c>
    </row>
    <row r="805" spans="1:72" x14ac:dyDescent="0.2">
      <c r="A805" t="s">
        <v>72</v>
      </c>
      <c r="B805" t="s">
        <v>15014</v>
      </c>
      <c r="C805" t="s">
        <v>74</v>
      </c>
      <c r="D805" t="s">
        <v>74</v>
      </c>
      <c r="E805" t="s">
        <v>74</v>
      </c>
      <c r="F805" t="s">
        <v>15015</v>
      </c>
      <c r="G805" t="s">
        <v>74</v>
      </c>
      <c r="H805" t="s">
        <v>74</v>
      </c>
      <c r="I805" t="s">
        <v>15016</v>
      </c>
      <c r="J805" t="s">
        <v>937</v>
      </c>
      <c r="K805" t="s">
        <v>74</v>
      </c>
      <c r="L805" t="s">
        <v>74</v>
      </c>
      <c r="M805" t="s">
        <v>78</v>
      </c>
      <c r="N805" t="s">
        <v>108</v>
      </c>
      <c r="O805" t="s">
        <v>74</v>
      </c>
      <c r="P805" t="s">
        <v>74</v>
      </c>
      <c r="Q805" t="s">
        <v>74</v>
      </c>
      <c r="R805" t="s">
        <v>74</v>
      </c>
      <c r="S805" t="s">
        <v>74</v>
      </c>
      <c r="T805" t="s">
        <v>74</v>
      </c>
      <c r="U805" t="s">
        <v>15017</v>
      </c>
      <c r="V805" t="s">
        <v>15018</v>
      </c>
      <c r="W805" t="s">
        <v>15019</v>
      </c>
      <c r="X805" t="s">
        <v>15020</v>
      </c>
      <c r="Y805" t="s">
        <v>15021</v>
      </c>
      <c r="Z805" t="s">
        <v>15022</v>
      </c>
      <c r="AA805" t="s">
        <v>74</v>
      </c>
      <c r="AB805" t="s">
        <v>15023</v>
      </c>
      <c r="AC805" t="s">
        <v>15024</v>
      </c>
      <c r="AD805" t="s">
        <v>15025</v>
      </c>
      <c r="AE805" t="s">
        <v>15026</v>
      </c>
      <c r="AF805" t="s">
        <v>74</v>
      </c>
      <c r="AG805">
        <v>26</v>
      </c>
      <c r="AH805">
        <v>19</v>
      </c>
      <c r="AI805">
        <v>20</v>
      </c>
      <c r="AJ805">
        <v>0</v>
      </c>
      <c r="AK805">
        <v>9</v>
      </c>
      <c r="AL805" t="s">
        <v>948</v>
      </c>
      <c r="AM805" t="s">
        <v>949</v>
      </c>
      <c r="AN805" t="s">
        <v>950</v>
      </c>
      <c r="AO805" t="s">
        <v>951</v>
      </c>
      <c r="AP805" t="s">
        <v>74</v>
      </c>
      <c r="AQ805" t="s">
        <v>74</v>
      </c>
      <c r="AR805" t="s">
        <v>937</v>
      </c>
      <c r="AS805" t="s">
        <v>952</v>
      </c>
      <c r="AT805" t="s">
        <v>15027</v>
      </c>
      <c r="AU805">
        <v>2016</v>
      </c>
      <c r="AV805">
        <v>11</v>
      </c>
      <c r="AW805">
        <v>3</v>
      </c>
      <c r="AX805" t="s">
        <v>74</v>
      </c>
      <c r="AY805" t="s">
        <v>74</v>
      </c>
      <c r="AZ805" t="s">
        <v>74</v>
      </c>
      <c r="BA805" t="s">
        <v>74</v>
      </c>
      <c r="BB805" t="s">
        <v>74</v>
      </c>
      <c r="BC805" t="s">
        <v>74</v>
      </c>
      <c r="BD805" t="s">
        <v>15028</v>
      </c>
      <c r="BE805" t="s">
        <v>15029</v>
      </c>
      <c r="BF805" t="str">
        <f>HYPERLINK("http://dx.doi.org/10.1371/journal.pone.0151977","http://dx.doi.org/10.1371/journal.pone.0151977")</f>
        <v>http://dx.doi.org/10.1371/journal.pone.0151977</v>
      </c>
      <c r="BG805" t="s">
        <v>74</v>
      </c>
      <c r="BH805" t="s">
        <v>74</v>
      </c>
      <c r="BI805">
        <v>11</v>
      </c>
      <c r="BJ805" t="s">
        <v>620</v>
      </c>
      <c r="BK805" t="s">
        <v>98</v>
      </c>
      <c r="BL805" t="s">
        <v>621</v>
      </c>
      <c r="BM805" t="s">
        <v>15030</v>
      </c>
      <c r="BN805">
        <v>26985673</v>
      </c>
      <c r="BO805" t="s">
        <v>12787</v>
      </c>
      <c r="BP805" t="s">
        <v>74</v>
      </c>
      <c r="BQ805" t="s">
        <v>74</v>
      </c>
      <c r="BR805" t="s">
        <v>102</v>
      </c>
      <c r="BS805" t="s">
        <v>15031</v>
      </c>
      <c r="BT805" t="str">
        <f>HYPERLINK("https%3A%2F%2Fwww.webofscience.com%2Fwos%2Fwoscc%2Ffull-record%2FWOS:000372580300158","View Full Record in Web of Science")</f>
        <v>View Full Record in Web of Science</v>
      </c>
    </row>
    <row r="806" spans="1:72" x14ac:dyDescent="0.2">
      <c r="A806" t="s">
        <v>72</v>
      </c>
      <c r="B806" t="s">
        <v>15032</v>
      </c>
      <c r="C806" t="s">
        <v>74</v>
      </c>
      <c r="D806" t="s">
        <v>74</v>
      </c>
      <c r="E806" t="s">
        <v>74</v>
      </c>
      <c r="F806" t="s">
        <v>15033</v>
      </c>
      <c r="G806" t="s">
        <v>74</v>
      </c>
      <c r="H806" t="s">
        <v>74</v>
      </c>
      <c r="I806" t="s">
        <v>15034</v>
      </c>
      <c r="J806" t="s">
        <v>131</v>
      </c>
      <c r="K806" t="s">
        <v>74</v>
      </c>
      <c r="L806" t="s">
        <v>74</v>
      </c>
      <c r="M806" t="s">
        <v>78</v>
      </c>
      <c r="N806" t="s">
        <v>108</v>
      </c>
      <c r="O806" t="s">
        <v>74</v>
      </c>
      <c r="P806" t="s">
        <v>74</v>
      </c>
      <c r="Q806" t="s">
        <v>74</v>
      </c>
      <c r="R806" t="s">
        <v>74</v>
      </c>
      <c r="S806" t="s">
        <v>74</v>
      </c>
      <c r="T806" t="s">
        <v>15035</v>
      </c>
      <c r="U806" t="s">
        <v>15036</v>
      </c>
      <c r="V806" t="s">
        <v>15037</v>
      </c>
      <c r="W806" t="s">
        <v>15038</v>
      </c>
      <c r="X806" t="s">
        <v>15039</v>
      </c>
      <c r="Y806" t="s">
        <v>15040</v>
      </c>
      <c r="Z806" t="s">
        <v>15041</v>
      </c>
      <c r="AA806" t="s">
        <v>15042</v>
      </c>
      <c r="AB806" t="s">
        <v>15043</v>
      </c>
      <c r="AC806" t="s">
        <v>15044</v>
      </c>
      <c r="AD806" t="s">
        <v>15045</v>
      </c>
      <c r="AE806" t="s">
        <v>15046</v>
      </c>
      <c r="AF806" t="s">
        <v>74</v>
      </c>
      <c r="AG806">
        <v>76</v>
      </c>
      <c r="AH806">
        <v>1</v>
      </c>
      <c r="AI806">
        <v>1</v>
      </c>
      <c r="AJ806">
        <v>19</v>
      </c>
      <c r="AK806">
        <v>51</v>
      </c>
      <c r="AL806" t="s">
        <v>116</v>
      </c>
      <c r="AM806" t="s">
        <v>117</v>
      </c>
      <c r="AN806" t="s">
        <v>118</v>
      </c>
      <c r="AO806" t="s">
        <v>74</v>
      </c>
      <c r="AP806" t="s">
        <v>142</v>
      </c>
      <c r="AQ806" t="s">
        <v>74</v>
      </c>
      <c r="AR806" t="s">
        <v>143</v>
      </c>
      <c r="AS806" t="s">
        <v>144</v>
      </c>
      <c r="AT806" t="s">
        <v>416</v>
      </c>
      <c r="AU806">
        <v>2022</v>
      </c>
      <c r="AV806">
        <v>14</v>
      </c>
      <c r="AW806">
        <v>11</v>
      </c>
      <c r="AX806" t="s">
        <v>74</v>
      </c>
      <c r="AY806" t="s">
        <v>74</v>
      </c>
      <c r="AZ806" t="s">
        <v>74</v>
      </c>
      <c r="BA806" t="s">
        <v>74</v>
      </c>
      <c r="BB806" t="s">
        <v>74</v>
      </c>
      <c r="BC806" t="s">
        <v>74</v>
      </c>
      <c r="BD806">
        <v>6396</v>
      </c>
      <c r="BE806" t="s">
        <v>15047</v>
      </c>
      <c r="BF806" t="str">
        <f>HYPERLINK("http://dx.doi.org/10.3390/su14116396","http://dx.doi.org/10.3390/su14116396")</f>
        <v>http://dx.doi.org/10.3390/su14116396</v>
      </c>
      <c r="BG806" t="s">
        <v>74</v>
      </c>
      <c r="BH806" t="s">
        <v>74</v>
      </c>
      <c r="BI806">
        <v>16</v>
      </c>
      <c r="BJ806" t="s">
        <v>146</v>
      </c>
      <c r="BK806" t="s">
        <v>147</v>
      </c>
      <c r="BL806" t="s">
        <v>148</v>
      </c>
      <c r="BM806" t="s">
        <v>15048</v>
      </c>
      <c r="BN806" t="s">
        <v>74</v>
      </c>
      <c r="BO806" t="s">
        <v>126</v>
      </c>
      <c r="BP806" t="s">
        <v>74</v>
      </c>
      <c r="BQ806" t="s">
        <v>74</v>
      </c>
      <c r="BR806" t="s">
        <v>102</v>
      </c>
      <c r="BS806" t="s">
        <v>15049</v>
      </c>
      <c r="BT806" t="str">
        <f>HYPERLINK("https%3A%2F%2Fwww.webofscience.com%2Fwos%2Fwoscc%2Ffull-record%2FWOS:000808742800001","View Full Record in Web of Science")</f>
        <v>View Full Record in Web of Science</v>
      </c>
    </row>
    <row r="807" spans="1:72" x14ac:dyDescent="0.2">
      <c r="A807" t="s">
        <v>72</v>
      </c>
      <c r="B807" t="s">
        <v>15050</v>
      </c>
      <c r="C807" t="s">
        <v>74</v>
      </c>
      <c r="D807" t="s">
        <v>74</v>
      </c>
      <c r="E807" t="s">
        <v>74</v>
      </c>
      <c r="F807" t="s">
        <v>15051</v>
      </c>
      <c r="G807" t="s">
        <v>74</v>
      </c>
      <c r="H807" t="s">
        <v>74</v>
      </c>
      <c r="I807" t="s">
        <v>15052</v>
      </c>
      <c r="J807" t="s">
        <v>6031</v>
      </c>
      <c r="K807" t="s">
        <v>74</v>
      </c>
      <c r="L807" t="s">
        <v>74</v>
      </c>
      <c r="M807" t="s">
        <v>78</v>
      </c>
      <c r="N807" t="s">
        <v>108</v>
      </c>
      <c r="O807" t="s">
        <v>74</v>
      </c>
      <c r="P807" t="s">
        <v>74</v>
      </c>
      <c r="Q807" t="s">
        <v>74</v>
      </c>
      <c r="R807" t="s">
        <v>74</v>
      </c>
      <c r="S807" t="s">
        <v>74</v>
      </c>
      <c r="T807" t="s">
        <v>15053</v>
      </c>
      <c r="U807" t="s">
        <v>15054</v>
      </c>
      <c r="V807" t="s">
        <v>15055</v>
      </c>
      <c r="W807" t="s">
        <v>15056</v>
      </c>
      <c r="X807" t="s">
        <v>15057</v>
      </c>
      <c r="Y807" t="s">
        <v>15058</v>
      </c>
      <c r="Z807" t="s">
        <v>15059</v>
      </c>
      <c r="AA807" t="s">
        <v>74</v>
      </c>
      <c r="AB807" t="s">
        <v>74</v>
      </c>
      <c r="AC807" t="s">
        <v>74</v>
      </c>
      <c r="AD807" t="s">
        <v>74</v>
      </c>
      <c r="AE807" t="s">
        <v>74</v>
      </c>
      <c r="AF807" t="s">
        <v>74</v>
      </c>
      <c r="AG807">
        <v>73</v>
      </c>
      <c r="AH807">
        <v>0</v>
      </c>
      <c r="AI807">
        <v>0</v>
      </c>
      <c r="AJ807">
        <v>1</v>
      </c>
      <c r="AK807">
        <v>9</v>
      </c>
      <c r="AL807" t="s">
        <v>6039</v>
      </c>
      <c r="AM807" t="s">
        <v>6040</v>
      </c>
      <c r="AN807" t="s">
        <v>6041</v>
      </c>
      <c r="AO807" t="s">
        <v>74</v>
      </c>
      <c r="AP807" t="s">
        <v>6043</v>
      </c>
      <c r="AQ807" t="s">
        <v>74</v>
      </c>
      <c r="AR807" t="s">
        <v>6044</v>
      </c>
      <c r="AS807" t="s">
        <v>6045</v>
      </c>
      <c r="AT807" t="s">
        <v>74</v>
      </c>
      <c r="AU807">
        <v>2022</v>
      </c>
      <c r="AV807">
        <v>29</v>
      </c>
      <c r="AW807">
        <v>2</v>
      </c>
      <c r="AX807" t="s">
        <v>74</v>
      </c>
      <c r="AY807" t="s">
        <v>74</v>
      </c>
      <c r="AZ807" t="s">
        <v>74</v>
      </c>
      <c r="BA807" t="s">
        <v>74</v>
      </c>
      <c r="BB807">
        <v>244</v>
      </c>
      <c r="BC807">
        <v>266</v>
      </c>
      <c r="BD807" t="s">
        <v>74</v>
      </c>
      <c r="BE807" t="s">
        <v>15060</v>
      </c>
      <c r="BF807" t="str">
        <f>HYPERLINK("http://dx.doi.org/10.23055/ijietap.2022.29.2.5903","http://dx.doi.org/10.23055/ijietap.2022.29.2.5903")</f>
        <v>http://dx.doi.org/10.23055/ijietap.2022.29.2.5903</v>
      </c>
      <c r="BG807" t="s">
        <v>74</v>
      </c>
      <c r="BH807" t="s">
        <v>74</v>
      </c>
      <c r="BI807">
        <v>23</v>
      </c>
      <c r="BJ807" t="s">
        <v>6047</v>
      </c>
      <c r="BK807" t="s">
        <v>98</v>
      </c>
      <c r="BL807" t="s">
        <v>1292</v>
      </c>
      <c r="BM807" t="s">
        <v>15061</v>
      </c>
      <c r="BN807" t="s">
        <v>74</v>
      </c>
      <c r="BO807" t="s">
        <v>74</v>
      </c>
      <c r="BP807" t="s">
        <v>74</v>
      </c>
      <c r="BQ807" t="s">
        <v>74</v>
      </c>
      <c r="BR807" t="s">
        <v>102</v>
      </c>
      <c r="BS807" t="s">
        <v>15062</v>
      </c>
      <c r="BT807" t="str">
        <f>HYPERLINK("https%3A%2F%2Fwww.webofscience.com%2Fwos%2Fwoscc%2Ffull-record%2FWOS:000800371800001","View Full Record in Web of Science")</f>
        <v>View Full Record in Web of Science</v>
      </c>
    </row>
    <row r="808" spans="1:72" x14ac:dyDescent="0.2">
      <c r="A808" t="s">
        <v>72</v>
      </c>
      <c r="B808" t="s">
        <v>15063</v>
      </c>
      <c r="C808" t="s">
        <v>74</v>
      </c>
      <c r="D808" t="s">
        <v>74</v>
      </c>
      <c r="E808" t="s">
        <v>74</v>
      </c>
      <c r="F808" t="s">
        <v>15063</v>
      </c>
      <c r="G808" t="s">
        <v>74</v>
      </c>
      <c r="H808" t="s">
        <v>74</v>
      </c>
      <c r="I808" t="s">
        <v>15064</v>
      </c>
      <c r="J808" t="s">
        <v>531</v>
      </c>
      <c r="K808" t="s">
        <v>74</v>
      </c>
      <c r="L808" t="s">
        <v>74</v>
      </c>
      <c r="M808" t="s">
        <v>78</v>
      </c>
      <c r="N808" t="s">
        <v>108</v>
      </c>
      <c r="O808" t="s">
        <v>74</v>
      </c>
      <c r="P808" t="s">
        <v>74</v>
      </c>
      <c r="Q808" t="s">
        <v>74</v>
      </c>
      <c r="R808" t="s">
        <v>74</v>
      </c>
      <c r="S808" t="s">
        <v>74</v>
      </c>
      <c r="T808" t="s">
        <v>15065</v>
      </c>
      <c r="U808" t="s">
        <v>74</v>
      </c>
      <c r="V808" t="s">
        <v>15066</v>
      </c>
      <c r="W808" t="s">
        <v>15067</v>
      </c>
      <c r="X808" t="s">
        <v>15068</v>
      </c>
      <c r="Y808" t="s">
        <v>15069</v>
      </c>
      <c r="Z808" t="s">
        <v>74</v>
      </c>
      <c r="AA808" t="s">
        <v>74</v>
      </c>
      <c r="AB808" t="s">
        <v>74</v>
      </c>
      <c r="AC808" t="s">
        <v>74</v>
      </c>
      <c r="AD808" t="s">
        <v>74</v>
      </c>
      <c r="AE808" t="s">
        <v>74</v>
      </c>
      <c r="AF808" t="s">
        <v>74</v>
      </c>
      <c r="AG808">
        <v>10</v>
      </c>
      <c r="AH808">
        <v>68</v>
      </c>
      <c r="AI808">
        <v>77</v>
      </c>
      <c r="AJ808">
        <v>1</v>
      </c>
      <c r="AK808">
        <v>38</v>
      </c>
      <c r="AL808" t="s">
        <v>543</v>
      </c>
      <c r="AM808" t="s">
        <v>260</v>
      </c>
      <c r="AN808" t="s">
        <v>544</v>
      </c>
      <c r="AO808" t="s">
        <v>545</v>
      </c>
      <c r="AP808" t="s">
        <v>74</v>
      </c>
      <c r="AQ808" t="s">
        <v>74</v>
      </c>
      <c r="AR808" t="s">
        <v>547</v>
      </c>
      <c r="AS808" t="s">
        <v>548</v>
      </c>
      <c r="AT808" t="s">
        <v>121</v>
      </c>
      <c r="AU808">
        <v>2002</v>
      </c>
      <c r="AV808">
        <v>43</v>
      </c>
      <c r="AW808" t="s">
        <v>1459</v>
      </c>
      <c r="AX808" t="s">
        <v>74</v>
      </c>
      <c r="AY808" t="s">
        <v>74</v>
      </c>
      <c r="AZ808" t="s">
        <v>74</v>
      </c>
      <c r="BA808" t="s">
        <v>74</v>
      </c>
      <c r="BB808">
        <v>283</v>
      </c>
      <c r="BC808">
        <v>297</v>
      </c>
      <c r="BD808" t="s">
        <v>15070</v>
      </c>
      <c r="BE808" t="s">
        <v>15071</v>
      </c>
      <c r="BF808" t="str">
        <f>HYPERLINK("http://dx.doi.org/10.1016/S0360-8352(02)00075-X","http://dx.doi.org/10.1016/S0360-8352(02)00075-X")</f>
        <v>http://dx.doi.org/10.1016/S0360-8352(02)00075-X</v>
      </c>
      <c r="BG808" t="s">
        <v>74</v>
      </c>
      <c r="BH808" t="s">
        <v>74</v>
      </c>
      <c r="BI808">
        <v>15</v>
      </c>
      <c r="BJ808" t="s">
        <v>550</v>
      </c>
      <c r="BK808" t="s">
        <v>98</v>
      </c>
      <c r="BL808" t="s">
        <v>269</v>
      </c>
      <c r="BM808" t="s">
        <v>15072</v>
      </c>
      <c r="BN808" t="s">
        <v>74</v>
      </c>
      <c r="BO808" t="s">
        <v>74</v>
      </c>
      <c r="BP808" t="s">
        <v>74</v>
      </c>
      <c r="BQ808" t="s">
        <v>74</v>
      </c>
      <c r="BR808" t="s">
        <v>102</v>
      </c>
      <c r="BS808" t="s">
        <v>15073</v>
      </c>
      <c r="BT808" t="str">
        <f>HYPERLINK("https%3A%2F%2Fwww.webofscience.com%2Fwos%2Fwoscc%2Ffull-record%2FWOS:000176447900017","View Full Record in Web of Science")</f>
        <v>View Full Record in Web of Science</v>
      </c>
    </row>
    <row r="809" spans="1:72" x14ac:dyDescent="0.2">
      <c r="A809" t="s">
        <v>72</v>
      </c>
      <c r="B809" t="s">
        <v>15074</v>
      </c>
      <c r="C809" t="s">
        <v>74</v>
      </c>
      <c r="D809" t="s">
        <v>74</v>
      </c>
      <c r="E809" t="s">
        <v>74</v>
      </c>
      <c r="F809" t="s">
        <v>15075</v>
      </c>
      <c r="G809" t="s">
        <v>74</v>
      </c>
      <c r="H809" t="s">
        <v>74</v>
      </c>
      <c r="I809" t="s">
        <v>15076</v>
      </c>
      <c r="J809" t="s">
        <v>1278</v>
      </c>
      <c r="K809" t="s">
        <v>74</v>
      </c>
      <c r="L809" t="s">
        <v>74</v>
      </c>
      <c r="M809" t="s">
        <v>78</v>
      </c>
      <c r="N809" t="s">
        <v>108</v>
      </c>
      <c r="O809" t="s">
        <v>74</v>
      </c>
      <c r="P809" t="s">
        <v>74</v>
      </c>
      <c r="Q809" t="s">
        <v>74</v>
      </c>
      <c r="R809" t="s">
        <v>74</v>
      </c>
      <c r="S809" t="s">
        <v>74</v>
      </c>
      <c r="T809" t="s">
        <v>15077</v>
      </c>
      <c r="U809" t="s">
        <v>15078</v>
      </c>
      <c r="V809" t="s">
        <v>15079</v>
      </c>
      <c r="W809" t="s">
        <v>15080</v>
      </c>
      <c r="X809" t="s">
        <v>15081</v>
      </c>
      <c r="Y809" t="s">
        <v>15082</v>
      </c>
      <c r="Z809" t="s">
        <v>15083</v>
      </c>
      <c r="AA809" t="s">
        <v>15084</v>
      </c>
      <c r="AB809" t="s">
        <v>15085</v>
      </c>
      <c r="AC809" t="s">
        <v>74</v>
      </c>
      <c r="AD809" t="s">
        <v>74</v>
      </c>
      <c r="AE809" t="s">
        <v>74</v>
      </c>
      <c r="AF809" t="s">
        <v>74</v>
      </c>
      <c r="AG809">
        <v>64</v>
      </c>
      <c r="AH809">
        <v>8</v>
      </c>
      <c r="AI809">
        <v>8</v>
      </c>
      <c r="AJ809">
        <v>7</v>
      </c>
      <c r="AK809">
        <v>24</v>
      </c>
      <c r="AL809" t="s">
        <v>116</v>
      </c>
      <c r="AM809" t="s">
        <v>117</v>
      </c>
      <c r="AN809" t="s">
        <v>118</v>
      </c>
      <c r="AO809" t="s">
        <v>74</v>
      </c>
      <c r="AP809" t="s">
        <v>1288</v>
      </c>
      <c r="AQ809" t="s">
        <v>74</v>
      </c>
      <c r="AR809" t="s">
        <v>1278</v>
      </c>
      <c r="AS809" t="s">
        <v>1289</v>
      </c>
      <c r="AT809" t="s">
        <v>416</v>
      </c>
      <c r="AU809">
        <v>2021</v>
      </c>
      <c r="AV809">
        <v>9</v>
      </c>
      <c r="AW809">
        <v>6</v>
      </c>
      <c r="AX809" t="s">
        <v>74</v>
      </c>
      <c r="AY809" t="s">
        <v>74</v>
      </c>
      <c r="AZ809" t="s">
        <v>74</v>
      </c>
      <c r="BA809" t="s">
        <v>74</v>
      </c>
      <c r="BB809" t="s">
        <v>74</v>
      </c>
      <c r="BC809" t="s">
        <v>74</v>
      </c>
      <c r="BD809">
        <v>1078</v>
      </c>
      <c r="BE809" t="s">
        <v>15086</v>
      </c>
      <c r="BF809" t="str">
        <f>HYPERLINK("http://dx.doi.org/10.3390/pr9061078","http://dx.doi.org/10.3390/pr9061078")</f>
        <v>http://dx.doi.org/10.3390/pr9061078</v>
      </c>
      <c r="BG809" t="s">
        <v>74</v>
      </c>
      <c r="BH809" t="s">
        <v>74</v>
      </c>
      <c r="BI809">
        <v>19</v>
      </c>
      <c r="BJ809" t="s">
        <v>1291</v>
      </c>
      <c r="BK809" t="s">
        <v>98</v>
      </c>
      <c r="BL809" t="s">
        <v>1292</v>
      </c>
      <c r="BM809" t="s">
        <v>15087</v>
      </c>
      <c r="BN809" t="s">
        <v>74</v>
      </c>
      <c r="BO809" t="s">
        <v>126</v>
      </c>
      <c r="BP809" t="s">
        <v>74</v>
      </c>
      <c r="BQ809" t="s">
        <v>74</v>
      </c>
      <c r="BR809" t="s">
        <v>102</v>
      </c>
      <c r="BS809" t="s">
        <v>15088</v>
      </c>
      <c r="BT809" t="str">
        <f>HYPERLINK("https%3A%2F%2Fwww.webofscience.com%2Fwos%2Fwoscc%2Ffull-record%2FWOS:000666441300001","View Full Record in Web of Science")</f>
        <v>View Full Record in Web of Science</v>
      </c>
    </row>
    <row r="810" spans="1:72" x14ac:dyDescent="0.2">
      <c r="A810" t="s">
        <v>72</v>
      </c>
      <c r="B810" t="s">
        <v>15089</v>
      </c>
      <c r="C810" t="s">
        <v>74</v>
      </c>
      <c r="D810" t="s">
        <v>74</v>
      </c>
      <c r="E810" t="s">
        <v>74</v>
      </c>
      <c r="F810" t="s">
        <v>15090</v>
      </c>
      <c r="G810" t="s">
        <v>74</v>
      </c>
      <c r="H810" t="s">
        <v>74</v>
      </c>
      <c r="I810" t="s">
        <v>15091</v>
      </c>
      <c r="J810" t="s">
        <v>4172</v>
      </c>
      <c r="K810" t="s">
        <v>74</v>
      </c>
      <c r="L810" t="s">
        <v>74</v>
      </c>
      <c r="M810" t="s">
        <v>78</v>
      </c>
      <c r="N810" t="s">
        <v>108</v>
      </c>
      <c r="O810" t="s">
        <v>74</v>
      </c>
      <c r="P810" t="s">
        <v>74</v>
      </c>
      <c r="Q810" t="s">
        <v>74</v>
      </c>
      <c r="R810" t="s">
        <v>74</v>
      </c>
      <c r="S810" t="s">
        <v>74</v>
      </c>
      <c r="T810" t="s">
        <v>15092</v>
      </c>
      <c r="U810" t="s">
        <v>15093</v>
      </c>
      <c r="V810" t="s">
        <v>15094</v>
      </c>
      <c r="W810" t="s">
        <v>15095</v>
      </c>
      <c r="X810" t="s">
        <v>15096</v>
      </c>
      <c r="Y810" t="s">
        <v>74</v>
      </c>
      <c r="Z810" t="s">
        <v>15097</v>
      </c>
      <c r="AA810" t="s">
        <v>15098</v>
      </c>
      <c r="AB810" t="s">
        <v>15099</v>
      </c>
      <c r="AC810" t="s">
        <v>15100</v>
      </c>
      <c r="AD810" t="s">
        <v>15101</v>
      </c>
      <c r="AE810" t="s">
        <v>15102</v>
      </c>
      <c r="AF810" t="s">
        <v>74</v>
      </c>
      <c r="AG810">
        <v>31</v>
      </c>
      <c r="AH810">
        <v>59</v>
      </c>
      <c r="AI810">
        <v>59</v>
      </c>
      <c r="AJ810">
        <v>1</v>
      </c>
      <c r="AK810">
        <v>14</v>
      </c>
      <c r="AL810" t="s">
        <v>543</v>
      </c>
      <c r="AM810" t="s">
        <v>260</v>
      </c>
      <c r="AN810" t="s">
        <v>544</v>
      </c>
      <c r="AO810" t="s">
        <v>4180</v>
      </c>
      <c r="AP810" t="s">
        <v>4181</v>
      </c>
      <c r="AQ810" t="s">
        <v>74</v>
      </c>
      <c r="AR810" t="s">
        <v>4182</v>
      </c>
      <c r="AS810" t="s">
        <v>4183</v>
      </c>
      <c r="AT810" t="s">
        <v>616</v>
      </c>
      <c r="AU810">
        <v>2014</v>
      </c>
      <c r="AV810">
        <v>43</v>
      </c>
      <c r="AW810" t="s">
        <v>74</v>
      </c>
      <c r="AX810" t="s">
        <v>74</v>
      </c>
      <c r="AY810" t="s">
        <v>74</v>
      </c>
      <c r="AZ810" t="s">
        <v>74</v>
      </c>
      <c r="BA810" t="s">
        <v>74</v>
      </c>
      <c r="BB810">
        <v>90</v>
      </c>
      <c r="BC810">
        <v>99</v>
      </c>
      <c r="BD810" t="s">
        <v>74</v>
      </c>
      <c r="BE810" t="s">
        <v>15103</v>
      </c>
      <c r="BF810" t="str">
        <f>HYPERLINK("http://dx.doi.org/10.1016/j.cor.2013.08.020","http://dx.doi.org/10.1016/j.cor.2013.08.020")</f>
        <v>http://dx.doi.org/10.1016/j.cor.2013.08.020</v>
      </c>
      <c r="BG810" t="s">
        <v>74</v>
      </c>
      <c r="BH810" t="s">
        <v>74</v>
      </c>
      <c r="BI810">
        <v>10</v>
      </c>
      <c r="BJ810" t="s">
        <v>4185</v>
      </c>
      <c r="BK810" t="s">
        <v>98</v>
      </c>
      <c r="BL810" t="s">
        <v>2060</v>
      </c>
      <c r="BM810" t="s">
        <v>15104</v>
      </c>
      <c r="BN810" t="s">
        <v>74</v>
      </c>
      <c r="BO810" t="s">
        <v>74</v>
      </c>
      <c r="BP810" t="s">
        <v>74</v>
      </c>
      <c r="BQ810" t="s">
        <v>74</v>
      </c>
      <c r="BR810" t="s">
        <v>102</v>
      </c>
      <c r="BS810" t="s">
        <v>15105</v>
      </c>
      <c r="BT810" t="str">
        <f>HYPERLINK("https%3A%2F%2Fwww.webofscience.com%2Fwos%2Fwoscc%2Ffull-record%2FWOS:000329383300009","View Full Record in Web of Science")</f>
        <v>View Full Record in Web of Science</v>
      </c>
    </row>
    <row r="811" spans="1:72" x14ac:dyDescent="0.2">
      <c r="A811" t="s">
        <v>72</v>
      </c>
      <c r="B811" t="s">
        <v>15106</v>
      </c>
      <c r="C811" t="s">
        <v>74</v>
      </c>
      <c r="D811" t="s">
        <v>74</v>
      </c>
      <c r="E811" t="s">
        <v>74</v>
      </c>
      <c r="F811" t="s">
        <v>15107</v>
      </c>
      <c r="G811" t="s">
        <v>74</v>
      </c>
      <c r="H811" t="s">
        <v>74</v>
      </c>
      <c r="I811" t="s">
        <v>15108</v>
      </c>
      <c r="J811" t="s">
        <v>4448</v>
      </c>
      <c r="K811" t="s">
        <v>74</v>
      </c>
      <c r="L811" t="s">
        <v>74</v>
      </c>
      <c r="M811" t="s">
        <v>78</v>
      </c>
      <c r="N811" t="s">
        <v>108</v>
      </c>
      <c r="O811" t="s">
        <v>74</v>
      </c>
      <c r="P811" t="s">
        <v>74</v>
      </c>
      <c r="Q811" t="s">
        <v>74</v>
      </c>
      <c r="R811" t="s">
        <v>74</v>
      </c>
      <c r="S811" t="s">
        <v>74</v>
      </c>
      <c r="T811" t="s">
        <v>15109</v>
      </c>
      <c r="U811" t="s">
        <v>15110</v>
      </c>
      <c r="V811" t="s">
        <v>15111</v>
      </c>
      <c r="W811" t="s">
        <v>15112</v>
      </c>
      <c r="X811" t="s">
        <v>15113</v>
      </c>
      <c r="Y811" t="s">
        <v>15114</v>
      </c>
      <c r="Z811" t="s">
        <v>15115</v>
      </c>
      <c r="AA811" t="s">
        <v>15116</v>
      </c>
      <c r="AB811" t="s">
        <v>74</v>
      </c>
      <c r="AC811" t="s">
        <v>15117</v>
      </c>
      <c r="AD811" t="s">
        <v>15117</v>
      </c>
      <c r="AE811" t="s">
        <v>15118</v>
      </c>
      <c r="AF811" t="s">
        <v>74</v>
      </c>
      <c r="AG811">
        <v>28</v>
      </c>
      <c r="AH811">
        <v>52</v>
      </c>
      <c r="AI811">
        <v>53</v>
      </c>
      <c r="AJ811">
        <v>0</v>
      </c>
      <c r="AK811">
        <v>59</v>
      </c>
      <c r="AL811" t="s">
        <v>6345</v>
      </c>
      <c r="AM811" t="s">
        <v>210</v>
      </c>
      <c r="AN811" t="s">
        <v>6346</v>
      </c>
      <c r="AO811" t="s">
        <v>4458</v>
      </c>
      <c r="AP811" t="s">
        <v>4459</v>
      </c>
      <c r="AQ811" t="s">
        <v>74</v>
      </c>
      <c r="AR811" t="s">
        <v>4460</v>
      </c>
      <c r="AS811" t="s">
        <v>4461</v>
      </c>
      <c r="AT811" t="s">
        <v>394</v>
      </c>
      <c r="AU811">
        <v>2014</v>
      </c>
      <c r="AV811">
        <v>32</v>
      </c>
      <c r="AW811">
        <v>6</v>
      </c>
      <c r="AX811" t="s">
        <v>74</v>
      </c>
      <c r="AY811" t="s">
        <v>74</v>
      </c>
      <c r="AZ811" t="s">
        <v>74</v>
      </c>
      <c r="BA811" t="s">
        <v>74</v>
      </c>
      <c r="BB811">
        <v>337</v>
      </c>
      <c r="BC811">
        <v>346</v>
      </c>
      <c r="BD811" t="s">
        <v>74</v>
      </c>
      <c r="BE811" t="s">
        <v>15119</v>
      </c>
      <c r="BF811" t="str">
        <f>HYPERLINK("http://dx.doi.org/10.1016/j.jom.2014.06.002","http://dx.doi.org/10.1016/j.jom.2014.06.002")</f>
        <v>http://dx.doi.org/10.1016/j.jom.2014.06.002</v>
      </c>
      <c r="BG811" t="s">
        <v>74</v>
      </c>
      <c r="BH811" t="s">
        <v>74</v>
      </c>
      <c r="BI811">
        <v>10</v>
      </c>
      <c r="BJ811" t="s">
        <v>524</v>
      </c>
      <c r="BK811" t="s">
        <v>147</v>
      </c>
      <c r="BL811" t="s">
        <v>525</v>
      </c>
      <c r="BM811" t="s">
        <v>15120</v>
      </c>
      <c r="BN811" t="s">
        <v>74</v>
      </c>
      <c r="BO811" t="s">
        <v>74</v>
      </c>
      <c r="BP811" t="s">
        <v>74</v>
      </c>
      <c r="BQ811" t="s">
        <v>74</v>
      </c>
      <c r="BR811" t="s">
        <v>102</v>
      </c>
      <c r="BS811" t="s">
        <v>15121</v>
      </c>
      <c r="BT811" t="str">
        <f>HYPERLINK("https%3A%2F%2Fwww.webofscience.com%2Fwos%2Fwoscc%2Ffull-record%2FWOS:000341897600003","View Full Record in Web of Science")</f>
        <v>View Full Record in Web of Science</v>
      </c>
    </row>
    <row r="812" spans="1:72" x14ac:dyDescent="0.2">
      <c r="A812" t="s">
        <v>72</v>
      </c>
      <c r="B812" t="s">
        <v>15122</v>
      </c>
      <c r="C812" t="s">
        <v>74</v>
      </c>
      <c r="D812" t="s">
        <v>74</v>
      </c>
      <c r="E812" t="s">
        <v>74</v>
      </c>
      <c r="F812" t="s">
        <v>15123</v>
      </c>
      <c r="G812" t="s">
        <v>74</v>
      </c>
      <c r="H812" t="s">
        <v>74</v>
      </c>
      <c r="I812" t="s">
        <v>15124</v>
      </c>
      <c r="J812" t="s">
        <v>1618</v>
      </c>
      <c r="K812" t="s">
        <v>74</v>
      </c>
      <c r="L812" t="s">
        <v>74</v>
      </c>
      <c r="M812" t="s">
        <v>78</v>
      </c>
      <c r="N812" t="s">
        <v>482</v>
      </c>
      <c r="O812" t="s">
        <v>15125</v>
      </c>
      <c r="P812" t="s">
        <v>15126</v>
      </c>
      <c r="Q812" t="s">
        <v>15127</v>
      </c>
      <c r="R812" t="s">
        <v>74</v>
      </c>
      <c r="S812" t="s">
        <v>74</v>
      </c>
      <c r="T812" t="s">
        <v>74</v>
      </c>
      <c r="U812" t="s">
        <v>15128</v>
      </c>
      <c r="V812" t="s">
        <v>15129</v>
      </c>
      <c r="W812" t="s">
        <v>15130</v>
      </c>
      <c r="X812" t="s">
        <v>15131</v>
      </c>
      <c r="Y812" t="s">
        <v>15132</v>
      </c>
      <c r="Z812" t="s">
        <v>15133</v>
      </c>
      <c r="AA812" t="s">
        <v>15134</v>
      </c>
      <c r="AB812" t="s">
        <v>15135</v>
      </c>
      <c r="AC812" t="s">
        <v>15136</v>
      </c>
      <c r="AD812" t="s">
        <v>15137</v>
      </c>
      <c r="AE812" t="s">
        <v>15138</v>
      </c>
      <c r="AF812" t="s">
        <v>74</v>
      </c>
      <c r="AG812">
        <v>24</v>
      </c>
      <c r="AH812">
        <v>45</v>
      </c>
      <c r="AI812">
        <v>45</v>
      </c>
      <c r="AJ812">
        <v>0</v>
      </c>
      <c r="AK812">
        <v>11</v>
      </c>
      <c r="AL812" t="s">
        <v>1630</v>
      </c>
      <c r="AM812" t="s">
        <v>1631</v>
      </c>
      <c r="AN812" t="s">
        <v>1632</v>
      </c>
      <c r="AO812" t="s">
        <v>1633</v>
      </c>
      <c r="AP812" t="s">
        <v>74</v>
      </c>
      <c r="AQ812" t="s">
        <v>74</v>
      </c>
      <c r="AR812" t="s">
        <v>1634</v>
      </c>
      <c r="AS812" t="s">
        <v>1635</v>
      </c>
      <c r="AT812" t="s">
        <v>2900</v>
      </c>
      <c r="AU812">
        <v>2011</v>
      </c>
      <c r="AV812">
        <v>50</v>
      </c>
      <c r="AW812">
        <v>5</v>
      </c>
      <c r="AX812" t="s">
        <v>74</v>
      </c>
      <c r="AY812" t="s">
        <v>74</v>
      </c>
      <c r="AZ812" t="s">
        <v>74</v>
      </c>
      <c r="BA812" t="s">
        <v>74</v>
      </c>
      <c r="BB812">
        <v>2928</v>
      </c>
      <c r="BC812">
        <v>2945</v>
      </c>
      <c r="BD812" t="s">
        <v>74</v>
      </c>
      <c r="BE812" t="s">
        <v>15139</v>
      </c>
      <c r="BF812" t="str">
        <f>HYPERLINK("http://dx.doi.org/10.1021/ie101758u","http://dx.doi.org/10.1021/ie101758u")</f>
        <v>http://dx.doi.org/10.1021/ie101758u</v>
      </c>
      <c r="BG812" t="s">
        <v>74</v>
      </c>
      <c r="BH812" t="s">
        <v>74</v>
      </c>
      <c r="BI812">
        <v>18</v>
      </c>
      <c r="BJ812" t="s">
        <v>1291</v>
      </c>
      <c r="BK812" t="s">
        <v>3093</v>
      </c>
      <c r="BL812" t="s">
        <v>1292</v>
      </c>
      <c r="BM812" t="s">
        <v>15140</v>
      </c>
      <c r="BN812" t="s">
        <v>74</v>
      </c>
      <c r="BO812" t="s">
        <v>1833</v>
      </c>
      <c r="BP812" t="s">
        <v>74</v>
      </c>
      <c r="BQ812" t="s">
        <v>74</v>
      </c>
      <c r="BR812" t="s">
        <v>102</v>
      </c>
      <c r="BS812" t="s">
        <v>15141</v>
      </c>
      <c r="BT812" t="str">
        <f>HYPERLINK("https%3A%2F%2Fwww.webofscience.com%2Fwos%2Fwoscc%2Ffull-record%2FWOS:000287635400054","View Full Record in Web of Science")</f>
        <v>View Full Record in Web of Science</v>
      </c>
    </row>
    <row r="813" spans="1:72" x14ac:dyDescent="0.2">
      <c r="A813" t="s">
        <v>72</v>
      </c>
      <c r="B813" t="s">
        <v>15142</v>
      </c>
      <c r="C813" t="s">
        <v>74</v>
      </c>
      <c r="D813" t="s">
        <v>74</v>
      </c>
      <c r="E813" t="s">
        <v>74</v>
      </c>
      <c r="F813" t="s">
        <v>15143</v>
      </c>
      <c r="G813" t="s">
        <v>74</v>
      </c>
      <c r="H813" t="s">
        <v>74</v>
      </c>
      <c r="I813" t="s">
        <v>15144</v>
      </c>
      <c r="J813" t="s">
        <v>15145</v>
      </c>
      <c r="K813" t="s">
        <v>74</v>
      </c>
      <c r="L813" t="s">
        <v>74</v>
      </c>
      <c r="M813" t="s">
        <v>78</v>
      </c>
      <c r="N813" t="s">
        <v>108</v>
      </c>
      <c r="O813" t="s">
        <v>74</v>
      </c>
      <c r="P813" t="s">
        <v>74</v>
      </c>
      <c r="Q813" t="s">
        <v>74</v>
      </c>
      <c r="R813" t="s">
        <v>74</v>
      </c>
      <c r="S813" t="s">
        <v>74</v>
      </c>
      <c r="T813" t="s">
        <v>15146</v>
      </c>
      <c r="U813" t="s">
        <v>15147</v>
      </c>
      <c r="V813" t="s">
        <v>15148</v>
      </c>
      <c r="W813" t="s">
        <v>15149</v>
      </c>
      <c r="X813" t="s">
        <v>15150</v>
      </c>
      <c r="Y813" t="s">
        <v>15151</v>
      </c>
      <c r="Z813" t="s">
        <v>74</v>
      </c>
      <c r="AA813" t="s">
        <v>15152</v>
      </c>
      <c r="AB813" t="s">
        <v>15153</v>
      </c>
      <c r="AC813" t="s">
        <v>74</v>
      </c>
      <c r="AD813" t="s">
        <v>74</v>
      </c>
      <c r="AE813" t="s">
        <v>74</v>
      </c>
      <c r="AF813" t="s">
        <v>74</v>
      </c>
      <c r="AG813">
        <v>62</v>
      </c>
      <c r="AH813">
        <v>4</v>
      </c>
      <c r="AI813">
        <v>4</v>
      </c>
      <c r="AJ813">
        <v>0</v>
      </c>
      <c r="AK813">
        <v>87</v>
      </c>
      <c r="AL813" t="s">
        <v>10665</v>
      </c>
      <c r="AM813" t="s">
        <v>10666</v>
      </c>
      <c r="AN813" t="s">
        <v>10667</v>
      </c>
      <c r="AO813" t="s">
        <v>15154</v>
      </c>
      <c r="AP813" t="s">
        <v>15155</v>
      </c>
      <c r="AQ813" t="s">
        <v>74</v>
      </c>
      <c r="AR813" t="s">
        <v>15156</v>
      </c>
      <c r="AS813" t="s">
        <v>15157</v>
      </c>
      <c r="AT813" t="s">
        <v>216</v>
      </c>
      <c r="AU813">
        <v>2012</v>
      </c>
      <c r="AV813">
        <v>10</v>
      </c>
      <c r="AW813">
        <v>4</v>
      </c>
      <c r="AX813" t="s">
        <v>74</v>
      </c>
      <c r="AY813" t="s">
        <v>74</v>
      </c>
      <c r="AZ813" t="s">
        <v>570</v>
      </c>
      <c r="BA813" t="s">
        <v>74</v>
      </c>
      <c r="BB813">
        <v>368</v>
      </c>
      <c r="BC813">
        <v>379</v>
      </c>
      <c r="BD813" t="s">
        <v>74</v>
      </c>
      <c r="BE813" t="s">
        <v>15158</v>
      </c>
      <c r="BF813" t="str">
        <f>HYPERLINK("http://dx.doi.org/10.1057/kmrp.2012.23","http://dx.doi.org/10.1057/kmrp.2012.23")</f>
        <v>http://dx.doi.org/10.1057/kmrp.2012.23</v>
      </c>
      <c r="BG813" t="s">
        <v>74</v>
      </c>
      <c r="BH813" t="s">
        <v>74</v>
      </c>
      <c r="BI813">
        <v>12</v>
      </c>
      <c r="BJ813" t="s">
        <v>15159</v>
      </c>
      <c r="BK813" t="s">
        <v>242</v>
      </c>
      <c r="BL813" t="s">
        <v>15160</v>
      </c>
      <c r="BM813" t="s">
        <v>15161</v>
      </c>
      <c r="BN813" t="s">
        <v>74</v>
      </c>
      <c r="BO813" t="s">
        <v>74</v>
      </c>
      <c r="BP813" t="s">
        <v>74</v>
      </c>
      <c r="BQ813" t="s">
        <v>74</v>
      </c>
      <c r="BR813" t="s">
        <v>102</v>
      </c>
      <c r="BS813" t="s">
        <v>15162</v>
      </c>
      <c r="BT813" t="str">
        <f>HYPERLINK("https%3A%2F%2Fwww.webofscience.com%2Fwos%2Fwoscc%2Ffull-record%2FWOS:000312922700007","View Full Record in Web of Science")</f>
        <v>View Full Record in Web of Science</v>
      </c>
    </row>
    <row r="814" spans="1:72" x14ac:dyDescent="0.2">
      <c r="A814" t="s">
        <v>72</v>
      </c>
      <c r="B814" t="s">
        <v>15163</v>
      </c>
      <c r="C814" t="s">
        <v>74</v>
      </c>
      <c r="D814" t="s">
        <v>74</v>
      </c>
      <c r="E814" t="s">
        <v>74</v>
      </c>
      <c r="F814" t="s">
        <v>15164</v>
      </c>
      <c r="G814" t="s">
        <v>74</v>
      </c>
      <c r="H814" t="s">
        <v>74</v>
      </c>
      <c r="I814" t="s">
        <v>15165</v>
      </c>
      <c r="J814" t="s">
        <v>4783</v>
      </c>
      <c r="K814" t="s">
        <v>74</v>
      </c>
      <c r="L814" t="s">
        <v>74</v>
      </c>
      <c r="M814" t="s">
        <v>78</v>
      </c>
      <c r="N814" t="s">
        <v>108</v>
      </c>
      <c r="O814" t="s">
        <v>74</v>
      </c>
      <c r="P814" t="s">
        <v>74</v>
      </c>
      <c r="Q814" t="s">
        <v>74</v>
      </c>
      <c r="R814" t="s">
        <v>74</v>
      </c>
      <c r="S814" t="s">
        <v>74</v>
      </c>
      <c r="T814" t="s">
        <v>15166</v>
      </c>
      <c r="U814" t="s">
        <v>8953</v>
      </c>
      <c r="V814" t="s">
        <v>15167</v>
      </c>
      <c r="W814" t="s">
        <v>15168</v>
      </c>
      <c r="X814" t="s">
        <v>15169</v>
      </c>
      <c r="Y814" t="s">
        <v>15170</v>
      </c>
      <c r="Z814" t="s">
        <v>15171</v>
      </c>
      <c r="AA814" t="s">
        <v>15172</v>
      </c>
      <c r="AB814" t="s">
        <v>15173</v>
      </c>
      <c r="AC814" t="s">
        <v>15174</v>
      </c>
      <c r="AD814" t="s">
        <v>15175</v>
      </c>
      <c r="AE814" t="s">
        <v>15176</v>
      </c>
      <c r="AF814" t="s">
        <v>74</v>
      </c>
      <c r="AG814">
        <v>37</v>
      </c>
      <c r="AH814">
        <v>2</v>
      </c>
      <c r="AI814">
        <v>2</v>
      </c>
      <c r="AJ814">
        <v>4</v>
      </c>
      <c r="AK814">
        <v>9</v>
      </c>
      <c r="AL814" t="s">
        <v>543</v>
      </c>
      <c r="AM814" t="s">
        <v>260</v>
      </c>
      <c r="AN814" t="s">
        <v>544</v>
      </c>
      <c r="AO814" t="s">
        <v>4796</v>
      </c>
      <c r="AP814" t="s">
        <v>4797</v>
      </c>
      <c r="AQ814" t="s">
        <v>74</v>
      </c>
      <c r="AR814" t="s">
        <v>4798</v>
      </c>
      <c r="AS814" t="s">
        <v>4799</v>
      </c>
      <c r="AT814" t="s">
        <v>846</v>
      </c>
      <c r="AU814">
        <v>2022</v>
      </c>
      <c r="AV814">
        <v>111</v>
      </c>
      <c r="AW814" t="s">
        <v>74</v>
      </c>
      <c r="AX814" t="s">
        <v>74</v>
      </c>
      <c r="AY814" t="s">
        <v>74</v>
      </c>
      <c r="AZ814" t="s">
        <v>74</v>
      </c>
      <c r="BA814" t="s">
        <v>74</v>
      </c>
      <c r="BB814" t="s">
        <v>74</v>
      </c>
      <c r="BC814" t="s">
        <v>74</v>
      </c>
      <c r="BD814">
        <v>104795</v>
      </c>
      <c r="BE814" t="s">
        <v>15177</v>
      </c>
      <c r="BF814" t="str">
        <f>HYPERLINK("http://dx.doi.org/10.1016/j.engappai.2022.104795","http://dx.doi.org/10.1016/j.engappai.2022.104795")</f>
        <v>http://dx.doi.org/10.1016/j.engappai.2022.104795</v>
      </c>
      <c r="BG814" t="s">
        <v>74</v>
      </c>
      <c r="BH814" t="s">
        <v>329</v>
      </c>
      <c r="BI814">
        <v>13</v>
      </c>
      <c r="BJ814" t="s">
        <v>4801</v>
      </c>
      <c r="BK814" t="s">
        <v>98</v>
      </c>
      <c r="BL814" t="s">
        <v>4802</v>
      </c>
      <c r="BM814" t="s">
        <v>15178</v>
      </c>
      <c r="BN814" t="s">
        <v>74</v>
      </c>
      <c r="BO814" t="s">
        <v>74</v>
      </c>
      <c r="BP814" t="s">
        <v>74</v>
      </c>
      <c r="BQ814" t="s">
        <v>74</v>
      </c>
      <c r="BR814" t="s">
        <v>102</v>
      </c>
      <c r="BS814" t="s">
        <v>15179</v>
      </c>
      <c r="BT814" t="str">
        <f>HYPERLINK("https%3A%2F%2Fwww.webofscience.com%2Fwos%2Fwoscc%2Ffull-record%2FWOS:000821505200007","View Full Record in Web of Science")</f>
        <v>View Full Record in Web of Science</v>
      </c>
    </row>
    <row r="815" spans="1:72" x14ac:dyDescent="0.2">
      <c r="A815" t="s">
        <v>72</v>
      </c>
      <c r="B815" t="s">
        <v>15180</v>
      </c>
      <c r="C815" t="s">
        <v>74</v>
      </c>
      <c r="D815" t="s">
        <v>74</v>
      </c>
      <c r="E815" t="s">
        <v>74</v>
      </c>
      <c r="F815" t="s">
        <v>15181</v>
      </c>
      <c r="G815" t="s">
        <v>74</v>
      </c>
      <c r="H815" t="s">
        <v>74</v>
      </c>
      <c r="I815" t="s">
        <v>15182</v>
      </c>
      <c r="J815" t="s">
        <v>15183</v>
      </c>
      <c r="K815" t="s">
        <v>74</v>
      </c>
      <c r="L815" t="s">
        <v>74</v>
      </c>
      <c r="M815" t="s">
        <v>78</v>
      </c>
      <c r="N815" t="s">
        <v>108</v>
      </c>
      <c r="O815" t="s">
        <v>74</v>
      </c>
      <c r="P815" t="s">
        <v>74</v>
      </c>
      <c r="Q815" t="s">
        <v>74</v>
      </c>
      <c r="R815" t="s">
        <v>74</v>
      </c>
      <c r="S815" t="s">
        <v>74</v>
      </c>
      <c r="T815" t="s">
        <v>15184</v>
      </c>
      <c r="U815" t="s">
        <v>15185</v>
      </c>
      <c r="V815" t="s">
        <v>15186</v>
      </c>
      <c r="W815" t="s">
        <v>15187</v>
      </c>
      <c r="X815" t="s">
        <v>15188</v>
      </c>
      <c r="Y815" t="s">
        <v>9079</v>
      </c>
      <c r="Z815" t="s">
        <v>15189</v>
      </c>
      <c r="AA815" t="s">
        <v>15190</v>
      </c>
      <c r="AB815" t="s">
        <v>15191</v>
      </c>
      <c r="AC815" t="s">
        <v>74</v>
      </c>
      <c r="AD815" t="s">
        <v>74</v>
      </c>
      <c r="AE815" t="s">
        <v>74</v>
      </c>
      <c r="AF815" t="s">
        <v>74</v>
      </c>
      <c r="AG815">
        <v>167</v>
      </c>
      <c r="AH815">
        <v>8</v>
      </c>
      <c r="AI815">
        <v>8</v>
      </c>
      <c r="AJ815">
        <v>4</v>
      </c>
      <c r="AK815">
        <v>32</v>
      </c>
      <c r="AL815" t="s">
        <v>10665</v>
      </c>
      <c r="AM815" t="s">
        <v>10666</v>
      </c>
      <c r="AN815" t="s">
        <v>10667</v>
      </c>
      <c r="AO815" t="s">
        <v>15192</v>
      </c>
      <c r="AP815" t="s">
        <v>15193</v>
      </c>
      <c r="AQ815" t="s">
        <v>74</v>
      </c>
      <c r="AR815" t="s">
        <v>15194</v>
      </c>
      <c r="AS815" t="s">
        <v>15195</v>
      </c>
      <c r="AT815" t="s">
        <v>216</v>
      </c>
      <c r="AU815">
        <v>2020</v>
      </c>
      <c r="AV815">
        <v>19</v>
      </c>
      <c r="AW815">
        <v>6</v>
      </c>
      <c r="AX815" t="s">
        <v>74</v>
      </c>
      <c r="AY815" t="s">
        <v>74</v>
      </c>
      <c r="AZ815" t="s">
        <v>74</v>
      </c>
      <c r="BA815" t="s">
        <v>74</v>
      </c>
      <c r="BB815">
        <v>436</v>
      </c>
      <c r="BC815">
        <v>465</v>
      </c>
      <c r="BD815" t="s">
        <v>74</v>
      </c>
      <c r="BE815" t="s">
        <v>15196</v>
      </c>
      <c r="BF815" t="str">
        <f>HYPERLINK("http://dx.doi.org/10.1057/s41272-020-00247-1","http://dx.doi.org/10.1057/s41272-020-00247-1")</f>
        <v>http://dx.doi.org/10.1057/s41272-020-00247-1</v>
      </c>
      <c r="BG815" t="s">
        <v>74</v>
      </c>
      <c r="BH815" t="s">
        <v>15197</v>
      </c>
      <c r="BI815">
        <v>30</v>
      </c>
      <c r="BJ815" t="s">
        <v>1527</v>
      </c>
      <c r="BK815" t="s">
        <v>124</v>
      </c>
      <c r="BL815" t="s">
        <v>419</v>
      </c>
      <c r="BM815" t="s">
        <v>15198</v>
      </c>
      <c r="BN815" t="s">
        <v>74</v>
      </c>
      <c r="BO815" t="s">
        <v>74</v>
      </c>
      <c r="BP815" t="s">
        <v>74</v>
      </c>
      <c r="BQ815" t="s">
        <v>74</v>
      </c>
      <c r="BR815" t="s">
        <v>102</v>
      </c>
      <c r="BS815" t="s">
        <v>15199</v>
      </c>
      <c r="BT815" t="str">
        <f>HYPERLINK("https%3A%2F%2Fwww.webofscience.com%2Fwos%2Fwoscc%2Ffull-record%2FWOS:000530787900001","View Full Record in Web of Science")</f>
        <v>View Full Record in Web of Science</v>
      </c>
    </row>
    <row r="816" spans="1:72" x14ac:dyDescent="0.2">
      <c r="A816" t="s">
        <v>72</v>
      </c>
      <c r="B816" t="s">
        <v>15200</v>
      </c>
      <c r="C816" t="s">
        <v>74</v>
      </c>
      <c r="D816" t="s">
        <v>74</v>
      </c>
      <c r="E816" t="s">
        <v>74</v>
      </c>
      <c r="F816" t="s">
        <v>15201</v>
      </c>
      <c r="G816" t="s">
        <v>74</v>
      </c>
      <c r="H816" t="s">
        <v>74</v>
      </c>
      <c r="I816" t="s">
        <v>15202</v>
      </c>
      <c r="J816" t="s">
        <v>976</v>
      </c>
      <c r="K816" t="s">
        <v>74</v>
      </c>
      <c r="L816" t="s">
        <v>74</v>
      </c>
      <c r="M816" t="s">
        <v>78</v>
      </c>
      <c r="N816" t="s">
        <v>108</v>
      </c>
      <c r="O816" t="s">
        <v>74</v>
      </c>
      <c r="P816" t="s">
        <v>74</v>
      </c>
      <c r="Q816" t="s">
        <v>74</v>
      </c>
      <c r="R816" t="s">
        <v>74</v>
      </c>
      <c r="S816" t="s">
        <v>74</v>
      </c>
      <c r="T816" t="s">
        <v>15203</v>
      </c>
      <c r="U816" t="s">
        <v>15204</v>
      </c>
      <c r="V816" t="s">
        <v>15205</v>
      </c>
      <c r="W816" t="s">
        <v>15206</v>
      </c>
      <c r="X816" t="s">
        <v>15207</v>
      </c>
      <c r="Y816" t="s">
        <v>15208</v>
      </c>
      <c r="Z816" t="s">
        <v>15209</v>
      </c>
      <c r="AA816" t="s">
        <v>15210</v>
      </c>
      <c r="AB816" t="s">
        <v>74</v>
      </c>
      <c r="AC816" t="s">
        <v>15211</v>
      </c>
      <c r="AD816" t="s">
        <v>15212</v>
      </c>
      <c r="AE816" t="s">
        <v>15213</v>
      </c>
      <c r="AF816" t="s">
        <v>74</v>
      </c>
      <c r="AG816">
        <v>45</v>
      </c>
      <c r="AH816">
        <v>30</v>
      </c>
      <c r="AI816">
        <v>31</v>
      </c>
      <c r="AJ816">
        <v>0</v>
      </c>
      <c r="AK816">
        <v>55</v>
      </c>
      <c r="AL816" t="s">
        <v>259</v>
      </c>
      <c r="AM816" t="s">
        <v>260</v>
      </c>
      <c r="AN816" t="s">
        <v>261</v>
      </c>
      <c r="AO816" t="s">
        <v>989</v>
      </c>
      <c r="AP816" t="s">
        <v>990</v>
      </c>
      <c r="AQ816" t="s">
        <v>74</v>
      </c>
      <c r="AR816" t="s">
        <v>991</v>
      </c>
      <c r="AS816" t="s">
        <v>992</v>
      </c>
      <c r="AT816" t="s">
        <v>14654</v>
      </c>
      <c r="AU816">
        <v>2016</v>
      </c>
      <c r="AV816">
        <v>112</v>
      </c>
      <c r="AW816" t="s">
        <v>74</v>
      </c>
      <c r="AX816">
        <v>2</v>
      </c>
      <c r="AY816" t="s">
        <v>74</v>
      </c>
      <c r="AZ816" t="s">
        <v>74</v>
      </c>
      <c r="BA816" t="s">
        <v>74</v>
      </c>
      <c r="BB816">
        <v>1422</v>
      </c>
      <c r="BC816">
        <v>1431</v>
      </c>
      <c r="BD816" t="s">
        <v>74</v>
      </c>
      <c r="BE816" t="s">
        <v>15214</v>
      </c>
      <c r="BF816" t="str">
        <f>HYPERLINK("http://dx.doi.org/10.1016/j.jclepro.2015.08.006","http://dx.doi.org/10.1016/j.jclepro.2015.08.006")</f>
        <v>http://dx.doi.org/10.1016/j.jclepro.2015.08.006</v>
      </c>
      <c r="BG816" t="s">
        <v>74</v>
      </c>
      <c r="BH816" t="s">
        <v>74</v>
      </c>
      <c r="BI816">
        <v>10</v>
      </c>
      <c r="BJ816" t="s">
        <v>995</v>
      </c>
      <c r="BK816" t="s">
        <v>147</v>
      </c>
      <c r="BL816" t="s">
        <v>996</v>
      </c>
      <c r="BM816" t="s">
        <v>15215</v>
      </c>
      <c r="BN816" t="s">
        <v>74</v>
      </c>
      <c r="BO816" t="s">
        <v>74</v>
      </c>
      <c r="BP816" t="s">
        <v>74</v>
      </c>
      <c r="BQ816" t="s">
        <v>74</v>
      </c>
      <c r="BR816" t="s">
        <v>102</v>
      </c>
      <c r="BS816" t="s">
        <v>15216</v>
      </c>
      <c r="BT816" t="str">
        <f>HYPERLINK("https%3A%2F%2Fwww.webofscience.com%2Fwos%2Fwoscc%2Ffull-record%2FWOS:000368206800017","View Full Record in Web of Science")</f>
        <v>View Full Record in Web of Science</v>
      </c>
    </row>
    <row r="817" spans="1:72" x14ac:dyDescent="0.2">
      <c r="A817" t="s">
        <v>72</v>
      </c>
      <c r="B817" t="s">
        <v>15217</v>
      </c>
      <c r="C817" t="s">
        <v>74</v>
      </c>
      <c r="D817" t="s">
        <v>74</v>
      </c>
      <c r="E817" t="s">
        <v>74</v>
      </c>
      <c r="F817" t="s">
        <v>15218</v>
      </c>
      <c r="G817" t="s">
        <v>74</v>
      </c>
      <c r="H817" t="s">
        <v>74</v>
      </c>
      <c r="I817" t="s">
        <v>15219</v>
      </c>
      <c r="J817" t="s">
        <v>873</v>
      </c>
      <c r="K817" t="s">
        <v>74</v>
      </c>
      <c r="L817" t="s">
        <v>74</v>
      </c>
      <c r="M817" t="s">
        <v>78</v>
      </c>
      <c r="N817" t="s">
        <v>108</v>
      </c>
      <c r="O817" t="s">
        <v>74</v>
      </c>
      <c r="P817" t="s">
        <v>74</v>
      </c>
      <c r="Q817" t="s">
        <v>74</v>
      </c>
      <c r="R817" t="s">
        <v>74</v>
      </c>
      <c r="S817" t="s">
        <v>74</v>
      </c>
      <c r="T817" t="s">
        <v>15220</v>
      </c>
      <c r="U817" t="s">
        <v>15221</v>
      </c>
      <c r="V817" t="s">
        <v>15222</v>
      </c>
      <c r="W817" t="s">
        <v>15223</v>
      </c>
      <c r="X817" t="s">
        <v>15224</v>
      </c>
      <c r="Y817" t="s">
        <v>15225</v>
      </c>
      <c r="Z817" t="s">
        <v>15226</v>
      </c>
      <c r="AA817" t="s">
        <v>15227</v>
      </c>
      <c r="AB817" t="s">
        <v>15228</v>
      </c>
      <c r="AC817" t="s">
        <v>74</v>
      </c>
      <c r="AD817" t="s">
        <v>74</v>
      </c>
      <c r="AE817" t="s">
        <v>74</v>
      </c>
      <c r="AF817" t="s">
        <v>74</v>
      </c>
      <c r="AG817">
        <v>113</v>
      </c>
      <c r="AH817">
        <v>1</v>
      </c>
      <c r="AI817">
        <v>1</v>
      </c>
      <c r="AJ817">
        <v>10</v>
      </c>
      <c r="AK817">
        <v>16</v>
      </c>
      <c r="AL817" t="s">
        <v>209</v>
      </c>
      <c r="AM817" t="s">
        <v>210</v>
      </c>
      <c r="AN817" t="s">
        <v>211</v>
      </c>
      <c r="AO817" t="s">
        <v>883</v>
      </c>
      <c r="AP817" t="s">
        <v>884</v>
      </c>
      <c r="AQ817" t="s">
        <v>74</v>
      </c>
      <c r="AR817" t="s">
        <v>885</v>
      </c>
      <c r="AS817" t="s">
        <v>886</v>
      </c>
      <c r="AT817" t="s">
        <v>194</v>
      </c>
      <c r="AU817">
        <v>2022</v>
      </c>
      <c r="AV817">
        <v>253</v>
      </c>
      <c r="AW817" t="s">
        <v>74</v>
      </c>
      <c r="AX817" t="s">
        <v>74</v>
      </c>
      <c r="AY817" t="s">
        <v>74</v>
      </c>
      <c r="AZ817" t="s">
        <v>74</v>
      </c>
      <c r="BA817" t="s">
        <v>74</v>
      </c>
      <c r="BB817" t="s">
        <v>74</v>
      </c>
      <c r="BC817" t="s">
        <v>74</v>
      </c>
      <c r="BD817">
        <v>108558</v>
      </c>
      <c r="BE817" t="s">
        <v>15229</v>
      </c>
      <c r="BF817" t="str">
        <f>HYPERLINK("http://dx.doi.org/10.1016/j.ijpe.2022.108558","http://dx.doi.org/10.1016/j.ijpe.2022.108558")</f>
        <v>http://dx.doi.org/10.1016/j.ijpe.2022.108558</v>
      </c>
      <c r="BG817" t="s">
        <v>74</v>
      </c>
      <c r="BH817" t="s">
        <v>4492</v>
      </c>
      <c r="BI817">
        <v>18</v>
      </c>
      <c r="BJ817" t="s">
        <v>780</v>
      </c>
      <c r="BK817" t="s">
        <v>98</v>
      </c>
      <c r="BL817" t="s">
        <v>781</v>
      </c>
      <c r="BM817" t="s">
        <v>15230</v>
      </c>
      <c r="BN817" t="s">
        <v>74</v>
      </c>
      <c r="BO817" t="s">
        <v>74</v>
      </c>
      <c r="BP817" t="s">
        <v>74</v>
      </c>
      <c r="BQ817" t="s">
        <v>74</v>
      </c>
      <c r="BR817" t="s">
        <v>102</v>
      </c>
      <c r="BS817" t="s">
        <v>15231</v>
      </c>
      <c r="BT817" t="str">
        <f>HYPERLINK("https%3A%2F%2Fwww.webofscience.com%2Fwos%2Fwoscc%2Ffull-record%2FWOS:000859847500001","View Full Record in Web of Science")</f>
        <v>View Full Record in Web of Science</v>
      </c>
    </row>
    <row r="818" spans="1:72" x14ac:dyDescent="0.2">
      <c r="A818" t="s">
        <v>72</v>
      </c>
      <c r="B818" t="s">
        <v>15232</v>
      </c>
      <c r="C818" t="s">
        <v>74</v>
      </c>
      <c r="D818" t="s">
        <v>74</v>
      </c>
      <c r="E818" t="s">
        <v>74</v>
      </c>
      <c r="F818" t="s">
        <v>15233</v>
      </c>
      <c r="G818" t="s">
        <v>74</v>
      </c>
      <c r="H818" t="s">
        <v>74</v>
      </c>
      <c r="I818" t="s">
        <v>15234</v>
      </c>
      <c r="J818" t="s">
        <v>155</v>
      </c>
      <c r="K818" t="s">
        <v>74</v>
      </c>
      <c r="L818" t="s">
        <v>74</v>
      </c>
      <c r="M818" t="s">
        <v>78</v>
      </c>
      <c r="N818" t="s">
        <v>917</v>
      </c>
      <c r="O818" t="s">
        <v>74</v>
      </c>
      <c r="P818" t="s">
        <v>74</v>
      </c>
      <c r="Q818" t="s">
        <v>74</v>
      </c>
      <c r="R818" t="s">
        <v>74</v>
      </c>
      <c r="S818" t="s">
        <v>74</v>
      </c>
      <c r="T818" t="s">
        <v>15235</v>
      </c>
      <c r="U818" t="s">
        <v>15236</v>
      </c>
      <c r="V818" t="s">
        <v>15237</v>
      </c>
      <c r="W818" t="s">
        <v>15238</v>
      </c>
      <c r="X818" t="s">
        <v>15239</v>
      </c>
      <c r="Y818" t="s">
        <v>15240</v>
      </c>
      <c r="Z818" t="s">
        <v>15241</v>
      </c>
      <c r="AA818" t="s">
        <v>74</v>
      </c>
      <c r="AB818" t="s">
        <v>15242</v>
      </c>
      <c r="AC818" t="s">
        <v>15243</v>
      </c>
      <c r="AD818" t="s">
        <v>15244</v>
      </c>
      <c r="AE818" t="s">
        <v>15245</v>
      </c>
      <c r="AF818" t="s">
        <v>74</v>
      </c>
      <c r="AG818">
        <v>294</v>
      </c>
      <c r="AH818">
        <v>0</v>
      </c>
      <c r="AI818">
        <v>0</v>
      </c>
      <c r="AJ818">
        <v>6</v>
      </c>
      <c r="AK818">
        <v>6</v>
      </c>
      <c r="AL818" t="s">
        <v>167</v>
      </c>
      <c r="AM818" t="s">
        <v>168</v>
      </c>
      <c r="AN818" t="s">
        <v>169</v>
      </c>
      <c r="AO818" t="s">
        <v>170</v>
      </c>
      <c r="AP818" t="s">
        <v>171</v>
      </c>
      <c r="AQ818" t="s">
        <v>74</v>
      </c>
      <c r="AR818" t="s">
        <v>172</v>
      </c>
      <c r="AS818" t="s">
        <v>173</v>
      </c>
      <c r="AT818" t="s">
        <v>15246</v>
      </c>
      <c r="AU818">
        <v>2023</v>
      </c>
      <c r="AV818" t="s">
        <v>74</v>
      </c>
      <c r="AW818" t="s">
        <v>74</v>
      </c>
      <c r="AX818" t="s">
        <v>74</v>
      </c>
      <c r="AY818" t="s">
        <v>74</v>
      </c>
      <c r="AZ818" t="s">
        <v>74</v>
      </c>
      <c r="BA818" t="s">
        <v>74</v>
      </c>
      <c r="BB818" t="s">
        <v>74</v>
      </c>
      <c r="BC818" t="s">
        <v>74</v>
      </c>
      <c r="BD818" t="s">
        <v>74</v>
      </c>
      <c r="BE818" t="s">
        <v>15247</v>
      </c>
      <c r="BF818" t="str">
        <f>HYPERLINK("http://dx.doi.org/10.1109/TEM.2023.3279769","http://dx.doi.org/10.1109/TEM.2023.3279769")</f>
        <v>http://dx.doi.org/10.1109/TEM.2023.3279769</v>
      </c>
      <c r="BG818" t="s">
        <v>74</v>
      </c>
      <c r="BH818" t="s">
        <v>396</v>
      </c>
      <c r="BI818">
        <v>28</v>
      </c>
      <c r="BJ818" t="s">
        <v>176</v>
      </c>
      <c r="BK818" t="s">
        <v>147</v>
      </c>
      <c r="BL818" t="s">
        <v>177</v>
      </c>
      <c r="BM818" t="s">
        <v>15248</v>
      </c>
      <c r="BN818" t="s">
        <v>74</v>
      </c>
      <c r="BO818" t="s">
        <v>74</v>
      </c>
      <c r="BP818" t="s">
        <v>74</v>
      </c>
      <c r="BQ818" t="s">
        <v>74</v>
      </c>
      <c r="BR818" t="s">
        <v>102</v>
      </c>
      <c r="BS818" t="s">
        <v>15249</v>
      </c>
      <c r="BT818" t="str">
        <f>HYPERLINK("https%3A%2F%2Fwww.webofscience.com%2Fwos%2Fwoscc%2Ffull-record%2FWOS:001025562600001","View Full Record in Web of Science")</f>
        <v>View Full Record in Web of Science</v>
      </c>
    </row>
    <row r="819" spans="1:72" x14ac:dyDescent="0.2">
      <c r="A819" t="s">
        <v>72</v>
      </c>
      <c r="B819" t="s">
        <v>15250</v>
      </c>
      <c r="C819" t="s">
        <v>74</v>
      </c>
      <c r="D819" t="s">
        <v>74</v>
      </c>
      <c r="E819" t="s">
        <v>74</v>
      </c>
      <c r="F819" t="s">
        <v>15251</v>
      </c>
      <c r="G819" t="s">
        <v>74</v>
      </c>
      <c r="H819" t="s">
        <v>74</v>
      </c>
      <c r="I819" t="s">
        <v>15252</v>
      </c>
      <c r="J819" t="s">
        <v>249</v>
      </c>
      <c r="K819" t="s">
        <v>74</v>
      </c>
      <c r="L819" t="s">
        <v>74</v>
      </c>
      <c r="M819" t="s">
        <v>78</v>
      </c>
      <c r="N819" t="s">
        <v>108</v>
      </c>
      <c r="O819" t="s">
        <v>74</v>
      </c>
      <c r="P819" t="s">
        <v>74</v>
      </c>
      <c r="Q819" t="s">
        <v>74</v>
      </c>
      <c r="R819" t="s">
        <v>74</v>
      </c>
      <c r="S819" t="s">
        <v>74</v>
      </c>
      <c r="T819" t="s">
        <v>15253</v>
      </c>
      <c r="U819" t="s">
        <v>15254</v>
      </c>
      <c r="V819" t="s">
        <v>15255</v>
      </c>
      <c r="W819" t="s">
        <v>15256</v>
      </c>
      <c r="X819" t="s">
        <v>15257</v>
      </c>
      <c r="Y819" t="s">
        <v>15258</v>
      </c>
      <c r="Z819" t="s">
        <v>15259</v>
      </c>
      <c r="AA819" t="s">
        <v>15260</v>
      </c>
      <c r="AB819" t="s">
        <v>15261</v>
      </c>
      <c r="AC819" t="s">
        <v>15262</v>
      </c>
      <c r="AD819" t="s">
        <v>15263</v>
      </c>
      <c r="AE819" t="s">
        <v>15264</v>
      </c>
      <c r="AF819" t="s">
        <v>74</v>
      </c>
      <c r="AG819">
        <v>38</v>
      </c>
      <c r="AH819">
        <v>14</v>
      </c>
      <c r="AI819">
        <v>14</v>
      </c>
      <c r="AJ819">
        <v>7</v>
      </c>
      <c r="AK819">
        <v>38</v>
      </c>
      <c r="AL819" t="s">
        <v>259</v>
      </c>
      <c r="AM819" t="s">
        <v>260</v>
      </c>
      <c r="AN819" t="s">
        <v>261</v>
      </c>
      <c r="AO819" t="s">
        <v>262</v>
      </c>
      <c r="AP819" t="s">
        <v>263</v>
      </c>
      <c r="AQ819" t="s">
        <v>74</v>
      </c>
      <c r="AR819" t="s">
        <v>264</v>
      </c>
      <c r="AS819" t="s">
        <v>265</v>
      </c>
      <c r="AT819" t="s">
        <v>800</v>
      </c>
      <c r="AU819">
        <v>2021</v>
      </c>
      <c r="AV819">
        <v>48</v>
      </c>
      <c r="AW819" t="s">
        <v>74</v>
      </c>
      <c r="AX819" t="s">
        <v>74</v>
      </c>
      <c r="AY819" t="s">
        <v>74</v>
      </c>
      <c r="AZ819" t="s">
        <v>74</v>
      </c>
      <c r="BA819" t="s">
        <v>74</v>
      </c>
      <c r="BB819" t="s">
        <v>74</v>
      </c>
      <c r="BC819" t="s">
        <v>74</v>
      </c>
      <c r="BD819">
        <v>101301</v>
      </c>
      <c r="BE819" t="s">
        <v>15265</v>
      </c>
      <c r="BF819" t="str">
        <f>HYPERLINK("http://dx.doi.org/10.1016/j.aei.2021.101301","http://dx.doi.org/10.1016/j.aei.2021.101301")</f>
        <v>http://dx.doi.org/10.1016/j.aei.2021.101301</v>
      </c>
      <c r="BG819" t="s">
        <v>74</v>
      </c>
      <c r="BH819" t="s">
        <v>1552</v>
      </c>
      <c r="BI819">
        <v>9</v>
      </c>
      <c r="BJ819" t="s">
        <v>268</v>
      </c>
      <c r="BK819" t="s">
        <v>98</v>
      </c>
      <c r="BL819" t="s">
        <v>269</v>
      </c>
      <c r="BM819" t="s">
        <v>15266</v>
      </c>
      <c r="BN819" t="s">
        <v>74</v>
      </c>
      <c r="BO819" t="s">
        <v>74</v>
      </c>
      <c r="BP819" t="s">
        <v>74</v>
      </c>
      <c r="BQ819" t="s">
        <v>74</v>
      </c>
      <c r="BR819" t="s">
        <v>102</v>
      </c>
      <c r="BS819" t="s">
        <v>15267</v>
      </c>
      <c r="BT819" t="str">
        <f>HYPERLINK("https%3A%2F%2Fwww.webofscience.com%2Fwos%2Fwoscc%2Ffull-record%2FWOS:000663592200006","View Full Record in Web of Science")</f>
        <v>View Full Record in Web of Science</v>
      </c>
    </row>
    <row r="820" spans="1:72" x14ac:dyDescent="0.2">
      <c r="A820" t="s">
        <v>72</v>
      </c>
      <c r="B820" t="s">
        <v>15268</v>
      </c>
      <c r="C820" t="s">
        <v>74</v>
      </c>
      <c r="D820" t="s">
        <v>74</v>
      </c>
      <c r="E820" t="s">
        <v>74</v>
      </c>
      <c r="F820" t="s">
        <v>15269</v>
      </c>
      <c r="G820" t="s">
        <v>74</v>
      </c>
      <c r="H820" t="s">
        <v>74</v>
      </c>
      <c r="I820" t="s">
        <v>15270</v>
      </c>
      <c r="J820" t="s">
        <v>6530</v>
      </c>
      <c r="K820" t="s">
        <v>74</v>
      </c>
      <c r="L820" t="s">
        <v>74</v>
      </c>
      <c r="M820" t="s">
        <v>78</v>
      </c>
      <c r="N820" t="s">
        <v>108</v>
      </c>
      <c r="O820" t="s">
        <v>74</v>
      </c>
      <c r="P820" t="s">
        <v>74</v>
      </c>
      <c r="Q820" t="s">
        <v>74</v>
      </c>
      <c r="R820" t="s">
        <v>74</v>
      </c>
      <c r="S820" t="s">
        <v>74</v>
      </c>
      <c r="T820" t="s">
        <v>15271</v>
      </c>
      <c r="U820" t="s">
        <v>74</v>
      </c>
      <c r="V820" t="s">
        <v>15272</v>
      </c>
      <c r="W820" t="s">
        <v>15273</v>
      </c>
      <c r="X820" t="s">
        <v>15274</v>
      </c>
      <c r="Y820" t="s">
        <v>15275</v>
      </c>
      <c r="Z820" t="s">
        <v>15276</v>
      </c>
      <c r="AA820" t="s">
        <v>74</v>
      </c>
      <c r="AB820" t="s">
        <v>15277</v>
      </c>
      <c r="AC820" t="s">
        <v>15278</v>
      </c>
      <c r="AD820" t="s">
        <v>15278</v>
      </c>
      <c r="AE820" t="s">
        <v>15279</v>
      </c>
      <c r="AF820" t="s">
        <v>74</v>
      </c>
      <c r="AG820">
        <v>17</v>
      </c>
      <c r="AH820">
        <v>2</v>
      </c>
      <c r="AI820">
        <v>2</v>
      </c>
      <c r="AJ820">
        <v>0</v>
      </c>
      <c r="AK820">
        <v>7</v>
      </c>
      <c r="AL820" t="s">
        <v>116</v>
      </c>
      <c r="AM820" t="s">
        <v>117</v>
      </c>
      <c r="AN820" t="s">
        <v>118</v>
      </c>
      <c r="AO820" t="s">
        <v>74</v>
      </c>
      <c r="AP820" t="s">
        <v>6541</v>
      </c>
      <c r="AQ820" t="s">
        <v>74</v>
      </c>
      <c r="AR820" t="s">
        <v>6530</v>
      </c>
      <c r="AS820" t="s">
        <v>6542</v>
      </c>
      <c r="AT820" t="s">
        <v>738</v>
      </c>
      <c r="AU820">
        <v>2021</v>
      </c>
      <c r="AV820">
        <v>11</v>
      </c>
      <c r="AW820">
        <v>2</v>
      </c>
      <c r="AX820" t="s">
        <v>74</v>
      </c>
      <c r="AY820" t="s">
        <v>74</v>
      </c>
      <c r="AZ820" t="s">
        <v>74</v>
      </c>
      <c r="BA820" t="s">
        <v>74</v>
      </c>
      <c r="BB820" t="s">
        <v>74</v>
      </c>
      <c r="BC820" t="s">
        <v>74</v>
      </c>
      <c r="BD820">
        <v>270</v>
      </c>
      <c r="BE820" t="s">
        <v>15280</v>
      </c>
      <c r="BF820" t="str">
        <f>HYPERLINK("http://dx.doi.org/10.3390/agronomy11020270","http://dx.doi.org/10.3390/agronomy11020270")</f>
        <v>http://dx.doi.org/10.3390/agronomy11020270</v>
      </c>
      <c r="BG820" t="s">
        <v>74</v>
      </c>
      <c r="BH820" t="s">
        <v>74</v>
      </c>
      <c r="BI820">
        <v>14</v>
      </c>
      <c r="BJ820" t="s">
        <v>6544</v>
      </c>
      <c r="BK820" t="s">
        <v>98</v>
      </c>
      <c r="BL820" t="s">
        <v>6545</v>
      </c>
      <c r="BM820" t="s">
        <v>15281</v>
      </c>
      <c r="BN820" t="s">
        <v>74</v>
      </c>
      <c r="BO820" t="s">
        <v>126</v>
      </c>
      <c r="BP820" t="s">
        <v>74</v>
      </c>
      <c r="BQ820" t="s">
        <v>74</v>
      </c>
      <c r="BR820" t="s">
        <v>102</v>
      </c>
      <c r="BS820" t="s">
        <v>15282</v>
      </c>
      <c r="BT820" t="str">
        <f>HYPERLINK("https%3A%2F%2Fwww.webofscience.com%2Fwos%2Fwoscc%2Ffull-record%2FWOS:000621979400001","View Full Record in Web of Science")</f>
        <v>View Full Record in Web of Science</v>
      </c>
    </row>
    <row r="821" spans="1:72" x14ac:dyDescent="0.2">
      <c r="A821" t="s">
        <v>72</v>
      </c>
      <c r="B821" t="s">
        <v>15283</v>
      </c>
      <c r="C821" t="s">
        <v>74</v>
      </c>
      <c r="D821" t="s">
        <v>74</v>
      </c>
      <c r="E821" t="s">
        <v>74</v>
      </c>
      <c r="F821" t="s">
        <v>15284</v>
      </c>
      <c r="G821" t="s">
        <v>74</v>
      </c>
      <c r="H821" t="s">
        <v>74</v>
      </c>
      <c r="I821" t="s">
        <v>15285</v>
      </c>
      <c r="J821" t="s">
        <v>311</v>
      </c>
      <c r="K821" t="s">
        <v>74</v>
      </c>
      <c r="L821" t="s">
        <v>74</v>
      </c>
      <c r="M821" t="s">
        <v>78</v>
      </c>
      <c r="N821" t="s">
        <v>108</v>
      </c>
      <c r="O821" t="s">
        <v>74</v>
      </c>
      <c r="P821" t="s">
        <v>74</v>
      </c>
      <c r="Q821" t="s">
        <v>74</v>
      </c>
      <c r="R821" t="s">
        <v>74</v>
      </c>
      <c r="S821" t="s">
        <v>74</v>
      </c>
      <c r="T821" t="s">
        <v>15286</v>
      </c>
      <c r="U821" t="s">
        <v>15287</v>
      </c>
      <c r="V821" t="s">
        <v>15288</v>
      </c>
      <c r="W821" t="s">
        <v>15289</v>
      </c>
      <c r="X821" t="s">
        <v>15290</v>
      </c>
      <c r="Y821" t="s">
        <v>15291</v>
      </c>
      <c r="Z821" t="s">
        <v>15292</v>
      </c>
      <c r="AA821" t="s">
        <v>15293</v>
      </c>
      <c r="AB821" t="s">
        <v>15294</v>
      </c>
      <c r="AC821" t="s">
        <v>15295</v>
      </c>
      <c r="AD821" t="s">
        <v>15296</v>
      </c>
      <c r="AE821" t="s">
        <v>15297</v>
      </c>
      <c r="AF821" t="s">
        <v>74</v>
      </c>
      <c r="AG821">
        <v>43</v>
      </c>
      <c r="AH821">
        <v>1</v>
      </c>
      <c r="AI821">
        <v>1</v>
      </c>
      <c r="AJ821">
        <v>4</v>
      </c>
      <c r="AK821">
        <v>21</v>
      </c>
      <c r="AL821" t="s">
        <v>321</v>
      </c>
      <c r="AM821" t="s">
        <v>322</v>
      </c>
      <c r="AN821" t="s">
        <v>323</v>
      </c>
      <c r="AO821" t="s">
        <v>324</v>
      </c>
      <c r="AP821" t="s">
        <v>325</v>
      </c>
      <c r="AQ821" t="s">
        <v>74</v>
      </c>
      <c r="AR821" t="s">
        <v>326</v>
      </c>
      <c r="AS821" t="s">
        <v>327</v>
      </c>
      <c r="AT821" t="s">
        <v>394</v>
      </c>
      <c r="AU821">
        <v>2022</v>
      </c>
      <c r="AV821">
        <v>316</v>
      </c>
      <c r="AW821">
        <v>1</v>
      </c>
      <c r="AX821" t="s">
        <v>74</v>
      </c>
      <c r="AY821" t="s">
        <v>74</v>
      </c>
      <c r="AZ821" t="s">
        <v>570</v>
      </c>
      <c r="BA821" t="s">
        <v>74</v>
      </c>
      <c r="BB821">
        <v>555</v>
      </c>
      <c r="BC821">
        <v>579</v>
      </c>
      <c r="BD821" t="s">
        <v>74</v>
      </c>
      <c r="BE821" t="s">
        <v>15298</v>
      </c>
      <c r="BF821" t="str">
        <f>HYPERLINK("http://dx.doi.org/10.1007/s10479-021-04229-3","http://dx.doi.org/10.1007/s10479-021-04229-3")</f>
        <v>http://dx.doi.org/10.1007/s10479-021-04229-3</v>
      </c>
      <c r="BG821" t="s">
        <v>74</v>
      </c>
      <c r="BH821" t="s">
        <v>1373</v>
      </c>
      <c r="BI821">
        <v>25</v>
      </c>
      <c r="BJ821" t="s">
        <v>330</v>
      </c>
      <c r="BK821" t="s">
        <v>98</v>
      </c>
      <c r="BL821" t="s">
        <v>330</v>
      </c>
      <c r="BM821" t="s">
        <v>15299</v>
      </c>
      <c r="BN821">
        <v>34483425</v>
      </c>
      <c r="BO821" t="s">
        <v>332</v>
      </c>
      <c r="BP821" t="s">
        <v>74</v>
      </c>
      <c r="BQ821" t="s">
        <v>74</v>
      </c>
      <c r="BR821" t="s">
        <v>102</v>
      </c>
      <c r="BS821" t="s">
        <v>15300</v>
      </c>
      <c r="BT821" t="str">
        <f>HYPERLINK("https%3A%2F%2Fwww.webofscience.com%2Fwos%2Fwoscc%2Ffull-record%2FWOS:000691176200002","View Full Record in Web of Science")</f>
        <v>View Full Record in Web of Science</v>
      </c>
    </row>
    <row r="822" spans="1:72" x14ac:dyDescent="0.2">
      <c r="A822" t="s">
        <v>72</v>
      </c>
      <c r="B822" t="s">
        <v>15301</v>
      </c>
      <c r="C822" t="s">
        <v>74</v>
      </c>
      <c r="D822" t="s">
        <v>74</v>
      </c>
      <c r="E822" t="s">
        <v>74</v>
      </c>
      <c r="F822" t="s">
        <v>15301</v>
      </c>
      <c r="G822" t="s">
        <v>74</v>
      </c>
      <c r="H822" t="s">
        <v>74</v>
      </c>
      <c r="I822" t="s">
        <v>15302</v>
      </c>
      <c r="J822" t="s">
        <v>15303</v>
      </c>
      <c r="K822" t="s">
        <v>74</v>
      </c>
      <c r="L822" t="s">
        <v>74</v>
      </c>
      <c r="M822" t="s">
        <v>78</v>
      </c>
      <c r="N822" t="s">
        <v>108</v>
      </c>
      <c r="O822" t="s">
        <v>74</v>
      </c>
      <c r="P822" t="s">
        <v>74</v>
      </c>
      <c r="Q822" t="s">
        <v>74</v>
      </c>
      <c r="R822" t="s">
        <v>74</v>
      </c>
      <c r="S822" t="s">
        <v>74</v>
      </c>
      <c r="T822" t="s">
        <v>74</v>
      </c>
      <c r="U822" t="s">
        <v>74</v>
      </c>
      <c r="V822" t="s">
        <v>15304</v>
      </c>
      <c r="W822" t="s">
        <v>15305</v>
      </c>
      <c r="X822" t="s">
        <v>74</v>
      </c>
      <c r="Y822" t="s">
        <v>15306</v>
      </c>
      <c r="Z822" t="s">
        <v>74</v>
      </c>
      <c r="AA822" t="s">
        <v>74</v>
      </c>
      <c r="AB822" t="s">
        <v>74</v>
      </c>
      <c r="AC822" t="s">
        <v>74</v>
      </c>
      <c r="AD822" t="s">
        <v>74</v>
      </c>
      <c r="AE822" t="s">
        <v>74</v>
      </c>
      <c r="AF822" t="s">
        <v>74</v>
      </c>
      <c r="AG822">
        <v>0</v>
      </c>
      <c r="AH822">
        <v>34</v>
      </c>
      <c r="AI822">
        <v>34</v>
      </c>
      <c r="AJ822">
        <v>0</v>
      </c>
      <c r="AK822">
        <v>31</v>
      </c>
      <c r="AL822" t="s">
        <v>15307</v>
      </c>
      <c r="AM822" t="s">
        <v>15308</v>
      </c>
      <c r="AN822" t="s">
        <v>15309</v>
      </c>
      <c r="AO822" t="s">
        <v>15310</v>
      </c>
      <c r="AP822" t="s">
        <v>74</v>
      </c>
      <c r="AQ822" t="s">
        <v>74</v>
      </c>
      <c r="AR822" t="s">
        <v>15311</v>
      </c>
      <c r="AS822" t="s">
        <v>15312</v>
      </c>
      <c r="AT822" t="s">
        <v>800</v>
      </c>
      <c r="AU822">
        <v>2006</v>
      </c>
      <c r="AV822">
        <v>84</v>
      </c>
      <c r="AW822">
        <v>4</v>
      </c>
      <c r="AX822" t="s">
        <v>74</v>
      </c>
      <c r="AY822" t="s">
        <v>74</v>
      </c>
      <c r="AZ822" t="s">
        <v>74</v>
      </c>
      <c r="BA822" t="s">
        <v>74</v>
      </c>
      <c r="BB822">
        <v>82</v>
      </c>
      <c r="BC822" t="s">
        <v>13221</v>
      </c>
      <c r="BD822" t="s">
        <v>74</v>
      </c>
      <c r="BE822" t="s">
        <v>74</v>
      </c>
      <c r="BF822" t="s">
        <v>74</v>
      </c>
      <c r="BG822" t="s">
        <v>74</v>
      </c>
      <c r="BH822" t="s">
        <v>74</v>
      </c>
      <c r="BI822">
        <v>12</v>
      </c>
      <c r="BJ822" t="s">
        <v>849</v>
      </c>
      <c r="BK822" t="s">
        <v>242</v>
      </c>
      <c r="BL822" t="s">
        <v>419</v>
      </c>
      <c r="BM822" t="s">
        <v>15313</v>
      </c>
      <c r="BN822">
        <v>16579416</v>
      </c>
      <c r="BO822" t="s">
        <v>74</v>
      </c>
      <c r="BP822" t="s">
        <v>74</v>
      </c>
      <c r="BQ822" t="s">
        <v>74</v>
      </c>
      <c r="BR822" t="s">
        <v>102</v>
      </c>
      <c r="BS822" t="s">
        <v>15314</v>
      </c>
      <c r="BT822" t="str">
        <f>HYPERLINK("https%3A%2F%2Fwww.webofscience.com%2Fwos%2Fwoscc%2Ffull-record%2FWOS:000236250500021","View Full Record in Web of Science")</f>
        <v>View Full Record in Web of Science</v>
      </c>
    </row>
    <row r="823" spans="1:72" x14ac:dyDescent="0.2">
      <c r="A823" t="s">
        <v>72</v>
      </c>
      <c r="B823" t="s">
        <v>15315</v>
      </c>
      <c r="C823" t="s">
        <v>74</v>
      </c>
      <c r="D823" t="s">
        <v>74</v>
      </c>
      <c r="E823" t="s">
        <v>74</v>
      </c>
      <c r="F823" t="s">
        <v>15316</v>
      </c>
      <c r="G823" t="s">
        <v>74</v>
      </c>
      <c r="H823" t="s">
        <v>74</v>
      </c>
      <c r="I823" t="s">
        <v>15317</v>
      </c>
      <c r="J823" t="s">
        <v>1782</v>
      </c>
      <c r="K823" t="s">
        <v>74</v>
      </c>
      <c r="L823" t="s">
        <v>74</v>
      </c>
      <c r="M823" t="s">
        <v>78</v>
      </c>
      <c r="N823" t="s">
        <v>108</v>
      </c>
      <c r="O823" t="s">
        <v>74</v>
      </c>
      <c r="P823" t="s">
        <v>74</v>
      </c>
      <c r="Q823" t="s">
        <v>74</v>
      </c>
      <c r="R823" t="s">
        <v>74</v>
      </c>
      <c r="S823" t="s">
        <v>74</v>
      </c>
      <c r="T823" t="s">
        <v>15318</v>
      </c>
      <c r="U823" t="s">
        <v>15319</v>
      </c>
      <c r="V823" t="s">
        <v>15320</v>
      </c>
      <c r="W823" t="s">
        <v>15321</v>
      </c>
      <c r="X823" t="s">
        <v>15322</v>
      </c>
      <c r="Y823" t="s">
        <v>15323</v>
      </c>
      <c r="Z823" t="s">
        <v>15324</v>
      </c>
      <c r="AA823" t="s">
        <v>15325</v>
      </c>
      <c r="AB823" t="s">
        <v>15326</v>
      </c>
      <c r="AC823" t="s">
        <v>15327</v>
      </c>
      <c r="AD823" t="s">
        <v>15328</v>
      </c>
      <c r="AE823" t="s">
        <v>15329</v>
      </c>
      <c r="AF823" t="s">
        <v>74</v>
      </c>
      <c r="AG823">
        <v>47</v>
      </c>
      <c r="AH823">
        <v>2</v>
      </c>
      <c r="AI823">
        <v>2</v>
      </c>
      <c r="AJ823">
        <v>24</v>
      </c>
      <c r="AK823">
        <v>75</v>
      </c>
      <c r="AL823" t="s">
        <v>209</v>
      </c>
      <c r="AM823" t="s">
        <v>210</v>
      </c>
      <c r="AN823" t="s">
        <v>211</v>
      </c>
      <c r="AO823" t="s">
        <v>1792</v>
      </c>
      <c r="AP823" t="s">
        <v>1793</v>
      </c>
      <c r="AQ823" t="s">
        <v>74</v>
      </c>
      <c r="AR823" t="s">
        <v>1794</v>
      </c>
      <c r="AS823" t="s">
        <v>1795</v>
      </c>
      <c r="AT823" t="s">
        <v>10269</v>
      </c>
      <c r="AU823">
        <v>2023</v>
      </c>
      <c r="AV823">
        <v>305</v>
      </c>
      <c r="AW823">
        <v>3</v>
      </c>
      <c r="AX823" t="s">
        <v>74</v>
      </c>
      <c r="AY823" t="s">
        <v>74</v>
      </c>
      <c r="AZ823" t="s">
        <v>74</v>
      </c>
      <c r="BA823" t="s">
        <v>74</v>
      </c>
      <c r="BB823">
        <v>1337</v>
      </c>
      <c r="BC823">
        <v>1354</v>
      </c>
      <c r="BD823" t="s">
        <v>74</v>
      </c>
      <c r="BE823" t="s">
        <v>15330</v>
      </c>
      <c r="BF823" t="str">
        <f>HYPERLINK("http://dx.doi.org/10.1016/j.ejor.2022.07.029","http://dx.doi.org/10.1016/j.ejor.2022.07.029")</f>
        <v>http://dx.doi.org/10.1016/j.ejor.2022.07.029</v>
      </c>
      <c r="BG823" t="s">
        <v>74</v>
      </c>
      <c r="BH823" t="s">
        <v>218</v>
      </c>
      <c r="BI823">
        <v>18</v>
      </c>
      <c r="BJ823" t="s">
        <v>524</v>
      </c>
      <c r="BK823" t="s">
        <v>98</v>
      </c>
      <c r="BL823" t="s">
        <v>525</v>
      </c>
      <c r="BM823" t="s">
        <v>15331</v>
      </c>
      <c r="BN823" t="s">
        <v>74</v>
      </c>
      <c r="BO823" t="s">
        <v>74</v>
      </c>
      <c r="BP823" t="s">
        <v>74</v>
      </c>
      <c r="BQ823" t="s">
        <v>74</v>
      </c>
      <c r="BR823" t="s">
        <v>102</v>
      </c>
      <c r="BS823" t="s">
        <v>15332</v>
      </c>
      <c r="BT823" t="str">
        <f>HYPERLINK("https%3A%2F%2Fwww.webofscience.com%2Fwos%2Fwoscc%2Ffull-record%2FWOS:000894406400003","View Full Record in Web of Science")</f>
        <v>View Full Record in Web of Science</v>
      </c>
    </row>
    <row r="824" spans="1:72" x14ac:dyDescent="0.2">
      <c r="A824" t="s">
        <v>72</v>
      </c>
      <c r="B824" t="s">
        <v>15333</v>
      </c>
      <c r="C824" t="s">
        <v>74</v>
      </c>
      <c r="D824" t="s">
        <v>74</v>
      </c>
      <c r="E824" t="s">
        <v>74</v>
      </c>
      <c r="F824" t="s">
        <v>15334</v>
      </c>
      <c r="G824" t="s">
        <v>74</v>
      </c>
      <c r="H824" t="s">
        <v>74</v>
      </c>
      <c r="I824" t="s">
        <v>15335</v>
      </c>
      <c r="J824" t="s">
        <v>131</v>
      </c>
      <c r="K824" t="s">
        <v>74</v>
      </c>
      <c r="L824" t="s">
        <v>74</v>
      </c>
      <c r="M824" t="s">
        <v>78</v>
      </c>
      <c r="N824" t="s">
        <v>79</v>
      </c>
      <c r="O824" t="s">
        <v>74</v>
      </c>
      <c r="P824" t="s">
        <v>74</v>
      </c>
      <c r="Q824" t="s">
        <v>74</v>
      </c>
      <c r="R824" t="s">
        <v>74</v>
      </c>
      <c r="S824" t="s">
        <v>74</v>
      </c>
      <c r="T824" t="s">
        <v>15336</v>
      </c>
      <c r="U824" t="s">
        <v>15337</v>
      </c>
      <c r="V824" t="s">
        <v>15338</v>
      </c>
      <c r="W824" t="s">
        <v>15339</v>
      </c>
      <c r="X824" t="s">
        <v>15340</v>
      </c>
      <c r="Y824" t="s">
        <v>15341</v>
      </c>
      <c r="Z824" t="s">
        <v>15342</v>
      </c>
      <c r="AA824" t="s">
        <v>74</v>
      </c>
      <c r="AB824" t="s">
        <v>15343</v>
      </c>
      <c r="AC824" t="s">
        <v>15344</v>
      </c>
      <c r="AD824" t="s">
        <v>987</v>
      </c>
      <c r="AE824" t="s">
        <v>15345</v>
      </c>
      <c r="AF824" t="s">
        <v>74</v>
      </c>
      <c r="AG824">
        <v>143</v>
      </c>
      <c r="AH824">
        <v>52</v>
      </c>
      <c r="AI824">
        <v>52</v>
      </c>
      <c r="AJ824">
        <v>6</v>
      </c>
      <c r="AK824">
        <v>100</v>
      </c>
      <c r="AL824" t="s">
        <v>116</v>
      </c>
      <c r="AM824" t="s">
        <v>117</v>
      </c>
      <c r="AN824" t="s">
        <v>118</v>
      </c>
      <c r="AO824" t="s">
        <v>142</v>
      </c>
      <c r="AP824" t="s">
        <v>74</v>
      </c>
      <c r="AQ824" t="s">
        <v>74</v>
      </c>
      <c r="AR824" t="s">
        <v>143</v>
      </c>
      <c r="AS824" t="s">
        <v>144</v>
      </c>
      <c r="AT824" t="s">
        <v>3269</v>
      </c>
      <c r="AU824">
        <v>2019</v>
      </c>
      <c r="AV824">
        <v>11</v>
      </c>
      <c r="AW824">
        <v>10</v>
      </c>
      <c r="AX824" t="s">
        <v>74</v>
      </c>
      <c r="AY824" t="s">
        <v>74</v>
      </c>
      <c r="AZ824" t="s">
        <v>74</v>
      </c>
      <c r="BA824" t="s">
        <v>74</v>
      </c>
      <c r="BB824" t="s">
        <v>74</v>
      </c>
      <c r="BC824" t="s">
        <v>74</v>
      </c>
      <c r="BD824">
        <v>2724</v>
      </c>
      <c r="BE824" t="s">
        <v>15346</v>
      </c>
      <c r="BF824" t="str">
        <f>HYPERLINK("http://dx.doi.org/10.3390/su11102724","http://dx.doi.org/10.3390/su11102724")</f>
        <v>http://dx.doi.org/10.3390/su11102724</v>
      </c>
      <c r="BG824" t="s">
        <v>74</v>
      </c>
      <c r="BH824" t="s">
        <v>74</v>
      </c>
      <c r="BI824">
        <v>27</v>
      </c>
      <c r="BJ824" t="s">
        <v>146</v>
      </c>
      <c r="BK824" t="s">
        <v>147</v>
      </c>
      <c r="BL824" t="s">
        <v>148</v>
      </c>
      <c r="BM824" t="s">
        <v>15347</v>
      </c>
      <c r="BN824" t="s">
        <v>74</v>
      </c>
      <c r="BO824" t="s">
        <v>150</v>
      </c>
      <c r="BP824" t="s">
        <v>74</v>
      </c>
      <c r="BQ824" t="s">
        <v>74</v>
      </c>
      <c r="BR824" t="s">
        <v>102</v>
      </c>
      <c r="BS824" t="s">
        <v>15348</v>
      </c>
      <c r="BT824" t="str">
        <f>HYPERLINK("https%3A%2F%2Fwww.webofscience.com%2Fwos%2Fwoscc%2Ffull-record%2FWOS:000471010300007","View Full Record in Web of Science")</f>
        <v>View Full Record in Web of Science</v>
      </c>
    </row>
    <row r="825" spans="1:72" x14ac:dyDescent="0.2">
      <c r="A825" t="s">
        <v>72</v>
      </c>
      <c r="B825" t="s">
        <v>15349</v>
      </c>
      <c r="C825" t="s">
        <v>74</v>
      </c>
      <c r="D825" t="s">
        <v>74</v>
      </c>
      <c r="E825" t="s">
        <v>74</v>
      </c>
      <c r="F825" t="s">
        <v>15350</v>
      </c>
      <c r="G825" t="s">
        <v>74</v>
      </c>
      <c r="H825" t="s">
        <v>74</v>
      </c>
      <c r="I825" t="s">
        <v>15351</v>
      </c>
      <c r="J825" t="s">
        <v>2491</v>
      </c>
      <c r="K825" t="s">
        <v>74</v>
      </c>
      <c r="L825" t="s">
        <v>74</v>
      </c>
      <c r="M825" t="s">
        <v>78</v>
      </c>
      <c r="N825" t="s">
        <v>108</v>
      </c>
      <c r="O825" t="s">
        <v>74</v>
      </c>
      <c r="P825" t="s">
        <v>74</v>
      </c>
      <c r="Q825" t="s">
        <v>74</v>
      </c>
      <c r="R825" t="s">
        <v>74</v>
      </c>
      <c r="S825" t="s">
        <v>74</v>
      </c>
      <c r="T825" t="s">
        <v>15352</v>
      </c>
      <c r="U825" t="s">
        <v>15353</v>
      </c>
      <c r="V825" t="s">
        <v>15354</v>
      </c>
      <c r="W825" t="s">
        <v>15355</v>
      </c>
      <c r="X825" t="s">
        <v>15356</v>
      </c>
      <c r="Y825" t="s">
        <v>15357</v>
      </c>
      <c r="Z825" t="s">
        <v>15358</v>
      </c>
      <c r="AA825" t="s">
        <v>15359</v>
      </c>
      <c r="AB825" t="s">
        <v>15360</v>
      </c>
      <c r="AC825" t="s">
        <v>15361</v>
      </c>
      <c r="AD825" t="s">
        <v>15362</v>
      </c>
      <c r="AE825" t="s">
        <v>15363</v>
      </c>
      <c r="AF825" t="s">
        <v>74</v>
      </c>
      <c r="AG825">
        <v>46</v>
      </c>
      <c r="AH825">
        <v>6</v>
      </c>
      <c r="AI825">
        <v>6</v>
      </c>
      <c r="AJ825">
        <v>30</v>
      </c>
      <c r="AK825">
        <v>67</v>
      </c>
      <c r="AL825" t="s">
        <v>347</v>
      </c>
      <c r="AM825" t="s">
        <v>348</v>
      </c>
      <c r="AN825" t="s">
        <v>349</v>
      </c>
      <c r="AO825" t="s">
        <v>2499</v>
      </c>
      <c r="AP825" t="s">
        <v>2500</v>
      </c>
      <c r="AQ825" t="s">
        <v>74</v>
      </c>
      <c r="AR825" t="s">
        <v>2501</v>
      </c>
      <c r="AS825" t="s">
        <v>2502</v>
      </c>
      <c r="AT825" t="s">
        <v>174</v>
      </c>
      <c r="AU825">
        <v>2022</v>
      </c>
      <c r="AV825">
        <v>612</v>
      </c>
      <c r="AW825" t="s">
        <v>74</v>
      </c>
      <c r="AX825" t="s">
        <v>74</v>
      </c>
      <c r="AY825" t="s">
        <v>74</v>
      </c>
      <c r="AZ825" t="s">
        <v>74</v>
      </c>
      <c r="BA825" t="s">
        <v>74</v>
      </c>
      <c r="BB825">
        <v>257</v>
      </c>
      <c r="BC825">
        <v>295</v>
      </c>
      <c r="BD825" t="s">
        <v>74</v>
      </c>
      <c r="BE825" t="s">
        <v>15364</v>
      </c>
      <c r="BF825" t="str">
        <f>HYPERLINK("http://dx.doi.org/10.1016/j.ins.2022.07.092","http://dx.doi.org/10.1016/j.ins.2022.07.092")</f>
        <v>http://dx.doi.org/10.1016/j.ins.2022.07.092</v>
      </c>
      <c r="BG825" t="s">
        <v>74</v>
      </c>
      <c r="BH825" t="s">
        <v>4492</v>
      </c>
      <c r="BI825">
        <v>39</v>
      </c>
      <c r="BJ825" t="s">
        <v>123</v>
      </c>
      <c r="BK825" t="s">
        <v>98</v>
      </c>
      <c r="BL825" t="s">
        <v>99</v>
      </c>
      <c r="BM825" t="s">
        <v>15365</v>
      </c>
      <c r="BN825" t="s">
        <v>74</v>
      </c>
      <c r="BO825" t="s">
        <v>74</v>
      </c>
      <c r="BP825" t="s">
        <v>74</v>
      </c>
      <c r="BQ825" t="s">
        <v>74</v>
      </c>
      <c r="BR825" t="s">
        <v>102</v>
      </c>
      <c r="BS825" t="s">
        <v>15366</v>
      </c>
      <c r="BT825" t="str">
        <f>HYPERLINK("https%3A%2F%2Fwww.webofscience.com%2Fwos%2Fwoscc%2Ffull-record%2FWOS:000863321400008","View Full Record in Web of Science")</f>
        <v>View Full Record in Web of Science</v>
      </c>
    </row>
    <row r="826" spans="1:72" x14ac:dyDescent="0.2">
      <c r="A826" t="s">
        <v>72</v>
      </c>
      <c r="B826" t="s">
        <v>15367</v>
      </c>
      <c r="C826" t="s">
        <v>74</v>
      </c>
      <c r="D826" t="s">
        <v>74</v>
      </c>
      <c r="E826" t="s">
        <v>74</v>
      </c>
      <c r="F826" t="s">
        <v>15368</v>
      </c>
      <c r="G826" t="s">
        <v>74</v>
      </c>
      <c r="H826" t="s">
        <v>74</v>
      </c>
      <c r="I826" t="s">
        <v>15369</v>
      </c>
      <c r="J826" t="s">
        <v>1238</v>
      </c>
      <c r="K826" t="s">
        <v>74</v>
      </c>
      <c r="L826" t="s">
        <v>74</v>
      </c>
      <c r="M826" t="s">
        <v>78</v>
      </c>
      <c r="N826" t="s">
        <v>79</v>
      </c>
      <c r="O826" t="s">
        <v>74</v>
      </c>
      <c r="P826" t="s">
        <v>74</v>
      </c>
      <c r="Q826" t="s">
        <v>74</v>
      </c>
      <c r="R826" t="s">
        <v>74</v>
      </c>
      <c r="S826" t="s">
        <v>74</v>
      </c>
      <c r="T826" t="s">
        <v>15370</v>
      </c>
      <c r="U826" t="s">
        <v>15371</v>
      </c>
      <c r="V826" t="s">
        <v>15372</v>
      </c>
      <c r="W826" t="s">
        <v>15373</v>
      </c>
      <c r="X826" t="s">
        <v>15374</v>
      </c>
      <c r="Y826" t="s">
        <v>15375</v>
      </c>
      <c r="Z826" t="s">
        <v>15376</v>
      </c>
      <c r="AA826" t="s">
        <v>15377</v>
      </c>
      <c r="AB826" t="s">
        <v>15378</v>
      </c>
      <c r="AC826" t="s">
        <v>15379</v>
      </c>
      <c r="AD826" t="s">
        <v>15380</v>
      </c>
      <c r="AE826" t="s">
        <v>15381</v>
      </c>
      <c r="AF826" t="s">
        <v>74</v>
      </c>
      <c r="AG826">
        <v>115</v>
      </c>
      <c r="AH826">
        <v>194</v>
      </c>
      <c r="AI826">
        <v>197</v>
      </c>
      <c r="AJ826">
        <v>84</v>
      </c>
      <c r="AK826">
        <v>432</v>
      </c>
      <c r="AL826" t="s">
        <v>409</v>
      </c>
      <c r="AM826" t="s">
        <v>410</v>
      </c>
      <c r="AN826" t="s">
        <v>411</v>
      </c>
      <c r="AO826" t="s">
        <v>1250</v>
      </c>
      <c r="AP826" t="s">
        <v>74</v>
      </c>
      <c r="AQ826" t="s">
        <v>74</v>
      </c>
      <c r="AR826" t="s">
        <v>1251</v>
      </c>
      <c r="AS826" t="s">
        <v>1252</v>
      </c>
      <c r="AT826" t="s">
        <v>194</v>
      </c>
      <c r="AU826">
        <v>2019</v>
      </c>
      <c r="AV826">
        <v>18</v>
      </c>
      <c r="AW826">
        <v>6</v>
      </c>
      <c r="AX826" t="s">
        <v>74</v>
      </c>
      <c r="AY826" t="s">
        <v>74</v>
      </c>
      <c r="AZ826" t="s">
        <v>74</v>
      </c>
      <c r="BA826" t="s">
        <v>74</v>
      </c>
      <c r="BB826">
        <v>1793</v>
      </c>
      <c r="BC826">
        <v>1811</v>
      </c>
      <c r="BD826" t="s">
        <v>74</v>
      </c>
      <c r="BE826" t="s">
        <v>15382</v>
      </c>
      <c r="BF826" t="str">
        <f>HYPERLINK("http://dx.doi.org/10.1111/1541-4337.12492","http://dx.doi.org/10.1111/1541-4337.12492")</f>
        <v>http://dx.doi.org/10.1111/1541-4337.12492</v>
      </c>
      <c r="BG826" t="s">
        <v>74</v>
      </c>
      <c r="BH826" t="s">
        <v>15383</v>
      </c>
      <c r="BI826">
        <v>19</v>
      </c>
      <c r="BJ826" t="s">
        <v>1121</v>
      </c>
      <c r="BK826" t="s">
        <v>98</v>
      </c>
      <c r="BL826" t="s">
        <v>1121</v>
      </c>
      <c r="BM826" t="s">
        <v>15384</v>
      </c>
      <c r="BN826">
        <v>33336958</v>
      </c>
      <c r="BO826" t="s">
        <v>804</v>
      </c>
      <c r="BP826" t="s">
        <v>2105</v>
      </c>
      <c r="BQ826" t="s">
        <v>2106</v>
      </c>
      <c r="BR826" t="s">
        <v>102</v>
      </c>
      <c r="BS826" t="s">
        <v>15385</v>
      </c>
      <c r="BT826" t="str">
        <f>HYPERLINK("https%3A%2F%2Fwww.webofscience.com%2Fwos%2Fwoscc%2Ffull-record%2FWOS:000486670900001","View Full Record in Web of Science")</f>
        <v>View Full Record in Web of Science</v>
      </c>
    </row>
    <row r="827" spans="1:72" x14ac:dyDescent="0.2">
      <c r="A827" t="s">
        <v>72</v>
      </c>
      <c r="B827" t="s">
        <v>15386</v>
      </c>
      <c r="C827" t="s">
        <v>74</v>
      </c>
      <c r="D827" t="s">
        <v>74</v>
      </c>
      <c r="E827" t="s">
        <v>74</v>
      </c>
      <c r="F827" t="s">
        <v>15387</v>
      </c>
      <c r="G827" t="s">
        <v>74</v>
      </c>
      <c r="H827" t="s">
        <v>74</v>
      </c>
      <c r="I827" t="s">
        <v>15388</v>
      </c>
      <c r="J827" t="s">
        <v>976</v>
      </c>
      <c r="K827" t="s">
        <v>74</v>
      </c>
      <c r="L827" t="s">
        <v>74</v>
      </c>
      <c r="M827" t="s">
        <v>78</v>
      </c>
      <c r="N827" t="s">
        <v>79</v>
      </c>
      <c r="O827" t="s">
        <v>74</v>
      </c>
      <c r="P827" t="s">
        <v>74</v>
      </c>
      <c r="Q827" t="s">
        <v>74</v>
      </c>
      <c r="R827" t="s">
        <v>74</v>
      </c>
      <c r="S827" t="s">
        <v>74</v>
      </c>
      <c r="T827" t="s">
        <v>15389</v>
      </c>
      <c r="U827" t="s">
        <v>15390</v>
      </c>
      <c r="V827" t="s">
        <v>15391</v>
      </c>
      <c r="W827" t="s">
        <v>15392</v>
      </c>
      <c r="X827" t="s">
        <v>15393</v>
      </c>
      <c r="Y827" t="s">
        <v>15394</v>
      </c>
      <c r="Z827" t="s">
        <v>15395</v>
      </c>
      <c r="AA827" t="s">
        <v>15396</v>
      </c>
      <c r="AB827" t="s">
        <v>15397</v>
      </c>
      <c r="AC827" t="s">
        <v>15398</v>
      </c>
      <c r="AD827" t="s">
        <v>15399</v>
      </c>
      <c r="AE827" t="s">
        <v>15400</v>
      </c>
      <c r="AF827" t="s">
        <v>74</v>
      </c>
      <c r="AG827">
        <v>308</v>
      </c>
      <c r="AH827">
        <v>213</v>
      </c>
      <c r="AI827">
        <v>221</v>
      </c>
      <c r="AJ827">
        <v>30</v>
      </c>
      <c r="AK827">
        <v>468</v>
      </c>
      <c r="AL827" t="s">
        <v>259</v>
      </c>
      <c r="AM827" t="s">
        <v>260</v>
      </c>
      <c r="AN827" t="s">
        <v>261</v>
      </c>
      <c r="AO827" t="s">
        <v>989</v>
      </c>
      <c r="AP827" t="s">
        <v>990</v>
      </c>
      <c r="AQ827" t="s">
        <v>74</v>
      </c>
      <c r="AR827" t="s">
        <v>991</v>
      </c>
      <c r="AS827" t="s">
        <v>992</v>
      </c>
      <c r="AT827" t="s">
        <v>8458</v>
      </c>
      <c r="AU827">
        <v>2019</v>
      </c>
      <c r="AV827">
        <v>210</v>
      </c>
      <c r="AW827" t="s">
        <v>74</v>
      </c>
      <c r="AX827" t="s">
        <v>74</v>
      </c>
      <c r="AY827" t="s">
        <v>74</v>
      </c>
      <c r="AZ827" t="s">
        <v>74</v>
      </c>
      <c r="BA827" t="s">
        <v>74</v>
      </c>
      <c r="BB827">
        <v>1343</v>
      </c>
      <c r="BC827">
        <v>1365</v>
      </c>
      <c r="BD827" t="s">
        <v>74</v>
      </c>
      <c r="BE827" t="s">
        <v>15401</v>
      </c>
      <c r="BF827" t="str">
        <f>HYPERLINK("http://dx.doi.org/10.1016/j.jclepro.2018.11.025","http://dx.doi.org/10.1016/j.jclepro.2018.11.025")</f>
        <v>http://dx.doi.org/10.1016/j.jclepro.2018.11.025</v>
      </c>
      <c r="BG827" t="s">
        <v>74</v>
      </c>
      <c r="BH827" t="s">
        <v>74</v>
      </c>
      <c r="BI827">
        <v>23</v>
      </c>
      <c r="BJ827" t="s">
        <v>995</v>
      </c>
      <c r="BK827" t="s">
        <v>147</v>
      </c>
      <c r="BL827" t="s">
        <v>996</v>
      </c>
      <c r="BM827" t="s">
        <v>15402</v>
      </c>
      <c r="BN827" t="s">
        <v>74</v>
      </c>
      <c r="BO827" t="s">
        <v>594</v>
      </c>
      <c r="BP827" t="s">
        <v>2105</v>
      </c>
      <c r="BQ827" t="s">
        <v>2106</v>
      </c>
      <c r="BR827" t="s">
        <v>102</v>
      </c>
      <c r="BS827" t="s">
        <v>15403</v>
      </c>
      <c r="BT827" t="str">
        <f>HYPERLINK("https%3A%2F%2Fwww.webofscience.com%2Fwos%2Fwoscc%2Ffull-record%2FWOS:000456762600121","View Full Record in Web of Science")</f>
        <v>View Full Record in Web of Science</v>
      </c>
    </row>
    <row r="828" spans="1:72" x14ac:dyDescent="0.2">
      <c r="A828" t="s">
        <v>72</v>
      </c>
      <c r="B828" t="s">
        <v>15404</v>
      </c>
      <c r="C828" t="s">
        <v>74</v>
      </c>
      <c r="D828" t="s">
        <v>74</v>
      </c>
      <c r="E828" t="s">
        <v>74</v>
      </c>
      <c r="F828" t="s">
        <v>15405</v>
      </c>
      <c r="G828" t="s">
        <v>74</v>
      </c>
      <c r="H828" t="s">
        <v>74</v>
      </c>
      <c r="I828" t="s">
        <v>15406</v>
      </c>
      <c r="J828" t="s">
        <v>15407</v>
      </c>
      <c r="K828" t="s">
        <v>74</v>
      </c>
      <c r="L828" t="s">
        <v>74</v>
      </c>
      <c r="M828" t="s">
        <v>78</v>
      </c>
      <c r="N828" t="s">
        <v>108</v>
      </c>
      <c r="O828" t="s">
        <v>74</v>
      </c>
      <c r="P828" t="s">
        <v>74</v>
      </c>
      <c r="Q828" t="s">
        <v>74</v>
      </c>
      <c r="R828" t="s">
        <v>74</v>
      </c>
      <c r="S828" t="s">
        <v>74</v>
      </c>
      <c r="T828" t="s">
        <v>15408</v>
      </c>
      <c r="U828" t="s">
        <v>15409</v>
      </c>
      <c r="V828" t="s">
        <v>15410</v>
      </c>
      <c r="W828" t="s">
        <v>15411</v>
      </c>
      <c r="X828" t="s">
        <v>15412</v>
      </c>
      <c r="Y828" t="s">
        <v>15413</v>
      </c>
      <c r="Z828" t="s">
        <v>15414</v>
      </c>
      <c r="AA828" t="s">
        <v>15415</v>
      </c>
      <c r="AB828" t="s">
        <v>15416</v>
      </c>
      <c r="AC828" t="s">
        <v>15417</v>
      </c>
      <c r="AD828" t="s">
        <v>15418</v>
      </c>
      <c r="AE828" t="s">
        <v>15419</v>
      </c>
      <c r="AF828" t="s">
        <v>74</v>
      </c>
      <c r="AG828">
        <v>62</v>
      </c>
      <c r="AH828">
        <v>1</v>
      </c>
      <c r="AI828">
        <v>1</v>
      </c>
      <c r="AJ828">
        <v>8</v>
      </c>
      <c r="AK828">
        <v>43</v>
      </c>
      <c r="AL828" t="s">
        <v>13284</v>
      </c>
      <c r="AM828" t="s">
        <v>13285</v>
      </c>
      <c r="AN828" t="s">
        <v>13286</v>
      </c>
      <c r="AO828" t="s">
        <v>15420</v>
      </c>
      <c r="AP828" t="s">
        <v>15421</v>
      </c>
      <c r="AQ828" t="s">
        <v>74</v>
      </c>
      <c r="AR828" t="s">
        <v>15422</v>
      </c>
      <c r="AS828" t="s">
        <v>15423</v>
      </c>
      <c r="AT828" t="s">
        <v>15424</v>
      </c>
      <c r="AU828">
        <v>2022</v>
      </c>
      <c r="AV828">
        <v>34</v>
      </c>
      <c r="AW828">
        <v>2</v>
      </c>
      <c r="AX828" t="s">
        <v>74</v>
      </c>
      <c r="AY828" t="s">
        <v>74</v>
      </c>
      <c r="AZ828" t="s">
        <v>74</v>
      </c>
      <c r="BA828" t="s">
        <v>74</v>
      </c>
      <c r="BB828">
        <v>769</v>
      </c>
      <c r="BC828">
        <v>789</v>
      </c>
      <c r="BD828" t="s">
        <v>74</v>
      </c>
      <c r="BE828" t="s">
        <v>15425</v>
      </c>
      <c r="BF828" t="str">
        <f>HYPERLINK("http://dx.doi.org/10.1287/ijoc.2021.1107","http://dx.doi.org/10.1287/ijoc.2021.1107")</f>
        <v>http://dx.doi.org/10.1287/ijoc.2021.1107</v>
      </c>
      <c r="BG828" t="s">
        <v>74</v>
      </c>
      <c r="BH828" t="s">
        <v>722</v>
      </c>
      <c r="BI828">
        <v>22</v>
      </c>
      <c r="BJ828" t="s">
        <v>1193</v>
      </c>
      <c r="BK828" t="s">
        <v>98</v>
      </c>
      <c r="BL828" t="s">
        <v>1194</v>
      </c>
      <c r="BM828" t="s">
        <v>15426</v>
      </c>
      <c r="BN828" t="s">
        <v>74</v>
      </c>
      <c r="BO828" t="s">
        <v>74</v>
      </c>
      <c r="BP828" t="s">
        <v>74</v>
      </c>
      <c r="BQ828" t="s">
        <v>74</v>
      </c>
      <c r="BR828" t="s">
        <v>102</v>
      </c>
      <c r="BS828" t="s">
        <v>15427</v>
      </c>
      <c r="BT828" t="str">
        <f>HYPERLINK("https%3A%2F%2Fwww.webofscience.com%2Fwos%2Fwoscc%2Ffull-record%2FWOS:000708983300001","View Full Record in Web of Science")</f>
        <v>View Full Record in Web of Science</v>
      </c>
    </row>
    <row r="829" spans="1:72" x14ac:dyDescent="0.2">
      <c r="A829" t="s">
        <v>72</v>
      </c>
      <c r="B829" t="s">
        <v>15428</v>
      </c>
      <c r="C829" t="s">
        <v>74</v>
      </c>
      <c r="D829" t="s">
        <v>74</v>
      </c>
      <c r="E829" t="s">
        <v>74</v>
      </c>
      <c r="F829" t="s">
        <v>15429</v>
      </c>
      <c r="G829" t="s">
        <v>74</v>
      </c>
      <c r="H829" t="s">
        <v>74</v>
      </c>
      <c r="I829" t="s">
        <v>15430</v>
      </c>
      <c r="J829" t="s">
        <v>15431</v>
      </c>
      <c r="K829" t="s">
        <v>74</v>
      </c>
      <c r="L829" t="s">
        <v>74</v>
      </c>
      <c r="M829" t="s">
        <v>78</v>
      </c>
      <c r="N829" t="s">
        <v>108</v>
      </c>
      <c r="O829" t="s">
        <v>74</v>
      </c>
      <c r="P829" t="s">
        <v>74</v>
      </c>
      <c r="Q829" t="s">
        <v>74</v>
      </c>
      <c r="R829" t="s">
        <v>74</v>
      </c>
      <c r="S829" t="s">
        <v>74</v>
      </c>
      <c r="T829" t="s">
        <v>15432</v>
      </c>
      <c r="U829" t="s">
        <v>74</v>
      </c>
      <c r="V829" t="s">
        <v>15433</v>
      </c>
      <c r="W829" t="s">
        <v>15434</v>
      </c>
      <c r="X829" t="s">
        <v>15435</v>
      </c>
      <c r="Y829" t="s">
        <v>15436</v>
      </c>
      <c r="Z829" t="s">
        <v>15437</v>
      </c>
      <c r="AA829" t="s">
        <v>15438</v>
      </c>
      <c r="AB829" t="s">
        <v>15439</v>
      </c>
      <c r="AC829" t="s">
        <v>15440</v>
      </c>
      <c r="AD829" t="s">
        <v>15441</v>
      </c>
      <c r="AE829" t="s">
        <v>15442</v>
      </c>
      <c r="AF829" t="s">
        <v>74</v>
      </c>
      <c r="AG829">
        <v>27</v>
      </c>
      <c r="AH829">
        <v>0</v>
      </c>
      <c r="AI829">
        <v>0</v>
      </c>
      <c r="AJ829">
        <v>1</v>
      </c>
      <c r="AK829">
        <v>1</v>
      </c>
      <c r="AL829" t="s">
        <v>167</v>
      </c>
      <c r="AM829" t="s">
        <v>168</v>
      </c>
      <c r="AN829" t="s">
        <v>169</v>
      </c>
      <c r="AO829" t="s">
        <v>15443</v>
      </c>
      <c r="AP829" t="s">
        <v>15444</v>
      </c>
      <c r="AQ829" t="s">
        <v>74</v>
      </c>
      <c r="AR829" t="s">
        <v>15445</v>
      </c>
      <c r="AS829" t="s">
        <v>15446</v>
      </c>
      <c r="AT829" t="s">
        <v>738</v>
      </c>
      <c r="AU829">
        <v>2023</v>
      </c>
      <c r="AV829">
        <v>42</v>
      </c>
      <c r="AW829">
        <v>2</v>
      </c>
      <c r="AX829" t="s">
        <v>74</v>
      </c>
      <c r="AY829" t="s">
        <v>74</v>
      </c>
      <c r="AZ829" t="s">
        <v>74</v>
      </c>
      <c r="BA829" t="s">
        <v>74</v>
      </c>
      <c r="BB829">
        <v>397</v>
      </c>
      <c r="BC829">
        <v>410</v>
      </c>
      <c r="BD829" t="s">
        <v>74</v>
      </c>
      <c r="BE829" t="s">
        <v>15447</v>
      </c>
      <c r="BF829" t="str">
        <f>HYPERLINK("http://dx.doi.org/10.1109/TCAD.2022.3178643","http://dx.doi.org/10.1109/TCAD.2022.3178643")</f>
        <v>http://dx.doi.org/10.1109/TCAD.2022.3178643</v>
      </c>
      <c r="BG829" t="s">
        <v>74</v>
      </c>
      <c r="BH829" t="s">
        <v>74</v>
      </c>
      <c r="BI829">
        <v>14</v>
      </c>
      <c r="BJ829" t="s">
        <v>2740</v>
      </c>
      <c r="BK829" t="s">
        <v>98</v>
      </c>
      <c r="BL829" t="s">
        <v>269</v>
      </c>
      <c r="BM829" t="s">
        <v>15448</v>
      </c>
      <c r="BN829" t="s">
        <v>74</v>
      </c>
      <c r="BO829" t="s">
        <v>1833</v>
      </c>
      <c r="BP829" t="s">
        <v>74</v>
      </c>
      <c r="BQ829" t="s">
        <v>74</v>
      </c>
      <c r="BR829" t="s">
        <v>102</v>
      </c>
      <c r="BS829" t="s">
        <v>15449</v>
      </c>
      <c r="BT829" t="str">
        <f>HYPERLINK("https%3A%2F%2Fwww.webofscience.com%2Fwos%2Fwoscc%2Ffull-record%2FWOS:000966518700001","View Full Record in Web of Science")</f>
        <v>View Full Record in Web of Science</v>
      </c>
    </row>
    <row r="830" spans="1:72" x14ac:dyDescent="0.2">
      <c r="A830" t="s">
        <v>72</v>
      </c>
      <c r="B830" t="s">
        <v>15450</v>
      </c>
      <c r="C830" t="s">
        <v>74</v>
      </c>
      <c r="D830" t="s">
        <v>74</v>
      </c>
      <c r="E830" t="s">
        <v>74</v>
      </c>
      <c r="F830" t="s">
        <v>15451</v>
      </c>
      <c r="G830" t="s">
        <v>74</v>
      </c>
      <c r="H830" t="s">
        <v>74</v>
      </c>
      <c r="I830" t="s">
        <v>15452</v>
      </c>
      <c r="J830" t="s">
        <v>15453</v>
      </c>
      <c r="K830" t="s">
        <v>74</v>
      </c>
      <c r="L830" t="s">
        <v>74</v>
      </c>
      <c r="M830" t="s">
        <v>78</v>
      </c>
      <c r="N830" t="s">
        <v>108</v>
      </c>
      <c r="O830" t="s">
        <v>74</v>
      </c>
      <c r="P830" t="s">
        <v>74</v>
      </c>
      <c r="Q830" t="s">
        <v>74</v>
      </c>
      <c r="R830" t="s">
        <v>74</v>
      </c>
      <c r="S830" t="s">
        <v>74</v>
      </c>
      <c r="T830" t="s">
        <v>15454</v>
      </c>
      <c r="U830" t="s">
        <v>15455</v>
      </c>
      <c r="V830" t="s">
        <v>15456</v>
      </c>
      <c r="W830" t="s">
        <v>15457</v>
      </c>
      <c r="X830" t="s">
        <v>15458</v>
      </c>
      <c r="Y830" t="s">
        <v>15459</v>
      </c>
      <c r="Z830" t="s">
        <v>15460</v>
      </c>
      <c r="AA830" t="s">
        <v>15461</v>
      </c>
      <c r="AB830" t="s">
        <v>15462</v>
      </c>
      <c r="AC830" t="s">
        <v>74</v>
      </c>
      <c r="AD830" t="s">
        <v>74</v>
      </c>
      <c r="AE830" t="s">
        <v>74</v>
      </c>
      <c r="AF830" t="s">
        <v>74</v>
      </c>
      <c r="AG830">
        <v>85</v>
      </c>
      <c r="AH830">
        <v>70</v>
      </c>
      <c r="AI830">
        <v>71</v>
      </c>
      <c r="AJ830">
        <v>0</v>
      </c>
      <c r="AK830">
        <v>50</v>
      </c>
      <c r="AL830" t="s">
        <v>437</v>
      </c>
      <c r="AM830" t="s">
        <v>438</v>
      </c>
      <c r="AN830" t="s">
        <v>439</v>
      </c>
      <c r="AO830" t="s">
        <v>15463</v>
      </c>
      <c r="AP830" t="s">
        <v>15464</v>
      </c>
      <c r="AQ830" t="s">
        <v>74</v>
      </c>
      <c r="AR830" t="s">
        <v>15465</v>
      </c>
      <c r="AS830" t="s">
        <v>15466</v>
      </c>
      <c r="AT830" t="s">
        <v>74</v>
      </c>
      <c r="AU830">
        <v>2016</v>
      </c>
      <c r="AV830">
        <v>23</v>
      </c>
      <c r="AW830">
        <v>2</v>
      </c>
      <c r="AX830" t="s">
        <v>74</v>
      </c>
      <c r="AY830" t="s">
        <v>74</v>
      </c>
      <c r="AZ830" t="s">
        <v>74</v>
      </c>
      <c r="BA830" t="s">
        <v>74</v>
      </c>
      <c r="BB830">
        <v>134</v>
      </c>
      <c r="BC830">
        <v>157</v>
      </c>
      <c r="BD830" t="s">
        <v>74</v>
      </c>
      <c r="BE830" t="s">
        <v>15467</v>
      </c>
      <c r="BF830" t="str">
        <f>HYPERLINK("http://dx.doi.org/10.1108/ECAM-06-2014-0087","http://dx.doi.org/10.1108/ECAM-06-2014-0087")</f>
        <v>http://dx.doi.org/10.1108/ECAM-06-2014-0087</v>
      </c>
      <c r="BG830" t="s">
        <v>74</v>
      </c>
      <c r="BH830" t="s">
        <v>74</v>
      </c>
      <c r="BI830">
        <v>24</v>
      </c>
      <c r="BJ830" t="s">
        <v>15468</v>
      </c>
      <c r="BK830" t="s">
        <v>147</v>
      </c>
      <c r="BL830" t="s">
        <v>1217</v>
      </c>
      <c r="BM830" t="s">
        <v>15469</v>
      </c>
      <c r="BN830" t="s">
        <v>74</v>
      </c>
      <c r="BO830" t="s">
        <v>74</v>
      </c>
      <c r="BP830" t="s">
        <v>74</v>
      </c>
      <c r="BQ830" t="s">
        <v>74</v>
      </c>
      <c r="BR830" t="s">
        <v>102</v>
      </c>
      <c r="BS830" t="s">
        <v>15470</v>
      </c>
      <c r="BT830" t="str">
        <f>HYPERLINK("https%3A%2F%2Fwww.webofscience.com%2Fwos%2Fwoscc%2Ffull-record%2FWOS:000374138800002","View Full Record in Web of Science")</f>
        <v>View Full Record in Web of Science</v>
      </c>
    </row>
    <row r="831" spans="1:72" x14ac:dyDescent="0.2">
      <c r="A831" t="s">
        <v>72</v>
      </c>
      <c r="B831" t="s">
        <v>15471</v>
      </c>
      <c r="C831" t="s">
        <v>74</v>
      </c>
      <c r="D831" t="s">
        <v>74</v>
      </c>
      <c r="E831" t="s">
        <v>74</v>
      </c>
      <c r="F831" t="s">
        <v>15472</v>
      </c>
      <c r="G831" t="s">
        <v>74</v>
      </c>
      <c r="H831" t="s">
        <v>74</v>
      </c>
      <c r="I831" t="s">
        <v>15473</v>
      </c>
      <c r="J831" t="s">
        <v>13947</v>
      </c>
      <c r="K831" t="s">
        <v>74</v>
      </c>
      <c r="L831" t="s">
        <v>74</v>
      </c>
      <c r="M831" t="s">
        <v>78</v>
      </c>
      <c r="N831" t="s">
        <v>917</v>
      </c>
      <c r="O831" t="s">
        <v>74</v>
      </c>
      <c r="P831" t="s">
        <v>74</v>
      </c>
      <c r="Q831" t="s">
        <v>74</v>
      </c>
      <c r="R831" t="s">
        <v>74</v>
      </c>
      <c r="S831" t="s">
        <v>74</v>
      </c>
      <c r="T831" t="s">
        <v>15474</v>
      </c>
      <c r="U831" t="s">
        <v>15475</v>
      </c>
      <c r="V831" t="s">
        <v>15476</v>
      </c>
      <c r="W831" t="s">
        <v>15477</v>
      </c>
      <c r="X831" t="s">
        <v>15478</v>
      </c>
      <c r="Y831" t="s">
        <v>15479</v>
      </c>
      <c r="Z831" t="s">
        <v>15480</v>
      </c>
      <c r="AA831" t="s">
        <v>15481</v>
      </c>
      <c r="AB831" t="s">
        <v>15482</v>
      </c>
      <c r="AC831" t="s">
        <v>15483</v>
      </c>
      <c r="AD831" t="s">
        <v>15484</v>
      </c>
      <c r="AE831" t="s">
        <v>15485</v>
      </c>
      <c r="AF831" t="s">
        <v>74</v>
      </c>
      <c r="AG831">
        <v>92</v>
      </c>
      <c r="AH831">
        <v>13</v>
      </c>
      <c r="AI831">
        <v>13</v>
      </c>
      <c r="AJ831">
        <v>9</v>
      </c>
      <c r="AK831">
        <v>54</v>
      </c>
      <c r="AL831" t="s">
        <v>462</v>
      </c>
      <c r="AM831" t="s">
        <v>280</v>
      </c>
      <c r="AN831" t="s">
        <v>463</v>
      </c>
      <c r="AO831" t="s">
        <v>13955</v>
      </c>
      <c r="AP831" t="s">
        <v>13956</v>
      </c>
      <c r="AQ831" t="s">
        <v>74</v>
      </c>
      <c r="AR831" t="s">
        <v>13957</v>
      </c>
      <c r="AS831" t="s">
        <v>13958</v>
      </c>
      <c r="AT831" t="s">
        <v>15486</v>
      </c>
      <c r="AU831">
        <v>2020</v>
      </c>
      <c r="AV831" t="s">
        <v>74</v>
      </c>
      <c r="AW831" t="s">
        <v>74</v>
      </c>
      <c r="AX831" t="s">
        <v>74</v>
      </c>
      <c r="AY831" t="s">
        <v>74</v>
      </c>
      <c r="AZ831" t="s">
        <v>74</v>
      </c>
      <c r="BA831" t="s">
        <v>74</v>
      </c>
      <c r="BB831" t="s">
        <v>74</v>
      </c>
      <c r="BC831" t="s">
        <v>74</v>
      </c>
      <c r="BD831" t="s">
        <v>74</v>
      </c>
      <c r="BE831" t="s">
        <v>15487</v>
      </c>
      <c r="BF831" t="str">
        <f>HYPERLINK("http://dx.doi.org/10.1080/14783363.2020.1848422","http://dx.doi.org/10.1080/14783363.2020.1848422")</f>
        <v>http://dx.doi.org/10.1080/14783363.2020.1848422</v>
      </c>
      <c r="BG831" t="s">
        <v>74</v>
      </c>
      <c r="BH831" t="s">
        <v>910</v>
      </c>
      <c r="BI831">
        <v>23</v>
      </c>
      <c r="BJ831" t="s">
        <v>418</v>
      </c>
      <c r="BK831" t="s">
        <v>242</v>
      </c>
      <c r="BL831" t="s">
        <v>419</v>
      </c>
      <c r="BM831" t="s">
        <v>15488</v>
      </c>
      <c r="BN831" t="s">
        <v>74</v>
      </c>
      <c r="BO831" t="s">
        <v>359</v>
      </c>
      <c r="BP831" t="s">
        <v>74</v>
      </c>
      <c r="BQ831" t="s">
        <v>74</v>
      </c>
      <c r="BR831" t="s">
        <v>102</v>
      </c>
      <c r="BS831" t="s">
        <v>15489</v>
      </c>
      <c r="BT831" t="str">
        <f>HYPERLINK("https%3A%2F%2Fwww.webofscience.com%2Fwos%2Fwoscc%2Ffull-record%2FWOS:000592615400001","View Full Record in Web of Science")</f>
        <v>View Full Record in Web of Science</v>
      </c>
    </row>
    <row r="832" spans="1:72" x14ac:dyDescent="0.2">
      <c r="A832" t="s">
        <v>72</v>
      </c>
      <c r="B832" t="s">
        <v>15490</v>
      </c>
      <c r="C832" t="s">
        <v>74</v>
      </c>
      <c r="D832" t="s">
        <v>74</v>
      </c>
      <c r="E832" t="s">
        <v>74</v>
      </c>
      <c r="F832" t="s">
        <v>15491</v>
      </c>
      <c r="G832" t="s">
        <v>74</v>
      </c>
      <c r="H832" t="s">
        <v>74</v>
      </c>
      <c r="I832" t="s">
        <v>15492</v>
      </c>
      <c r="J832" t="s">
        <v>4480</v>
      </c>
      <c r="K832" t="s">
        <v>74</v>
      </c>
      <c r="L832" t="s">
        <v>74</v>
      </c>
      <c r="M832" t="s">
        <v>78</v>
      </c>
      <c r="N832" t="s">
        <v>108</v>
      </c>
      <c r="O832" t="s">
        <v>74</v>
      </c>
      <c r="P832" t="s">
        <v>74</v>
      </c>
      <c r="Q832" t="s">
        <v>74</v>
      </c>
      <c r="R832" t="s">
        <v>74</v>
      </c>
      <c r="S832" t="s">
        <v>74</v>
      </c>
      <c r="T832" t="s">
        <v>15493</v>
      </c>
      <c r="U832" t="s">
        <v>15494</v>
      </c>
      <c r="V832" t="s">
        <v>15495</v>
      </c>
      <c r="W832" t="s">
        <v>15496</v>
      </c>
      <c r="X832" t="s">
        <v>74</v>
      </c>
      <c r="Y832" t="s">
        <v>15497</v>
      </c>
      <c r="Z832" t="s">
        <v>15498</v>
      </c>
      <c r="AA832" t="s">
        <v>15499</v>
      </c>
      <c r="AB832" t="s">
        <v>15500</v>
      </c>
      <c r="AC832" t="s">
        <v>74</v>
      </c>
      <c r="AD832" t="s">
        <v>74</v>
      </c>
      <c r="AE832" t="s">
        <v>74</v>
      </c>
      <c r="AF832" t="s">
        <v>74</v>
      </c>
      <c r="AG832">
        <v>100</v>
      </c>
      <c r="AH832">
        <v>1</v>
      </c>
      <c r="AI832">
        <v>1</v>
      </c>
      <c r="AJ832">
        <v>1</v>
      </c>
      <c r="AK832">
        <v>1</v>
      </c>
      <c r="AL832" t="s">
        <v>4005</v>
      </c>
      <c r="AM832" t="s">
        <v>4006</v>
      </c>
      <c r="AN832" t="s">
        <v>4007</v>
      </c>
      <c r="AO832" t="s">
        <v>4487</v>
      </c>
      <c r="AP832" t="s">
        <v>4488</v>
      </c>
      <c r="AQ832" t="s">
        <v>74</v>
      </c>
      <c r="AR832" t="s">
        <v>4489</v>
      </c>
      <c r="AS832" t="s">
        <v>4490</v>
      </c>
      <c r="AT832" t="s">
        <v>416</v>
      </c>
      <c r="AU832">
        <v>2023</v>
      </c>
      <c r="AV832">
        <v>30</v>
      </c>
      <c r="AW832">
        <v>26</v>
      </c>
      <c r="AX832" t="s">
        <v>74</v>
      </c>
      <c r="AY832" t="s">
        <v>74</v>
      </c>
      <c r="AZ832" t="s">
        <v>74</v>
      </c>
      <c r="BA832" t="s">
        <v>74</v>
      </c>
      <c r="BB832">
        <v>68111</v>
      </c>
      <c r="BC832">
        <v>68128</v>
      </c>
      <c r="BD832" t="s">
        <v>74</v>
      </c>
      <c r="BE832" t="s">
        <v>15501</v>
      </c>
      <c r="BF832" t="str">
        <f>HYPERLINK("http://dx.doi.org/10.1007/s11356-023-27008-y","http://dx.doi.org/10.1007/s11356-023-27008-y")</f>
        <v>http://dx.doi.org/10.1007/s11356-023-27008-y</v>
      </c>
      <c r="BG832" t="s">
        <v>74</v>
      </c>
      <c r="BH832" t="s">
        <v>355</v>
      </c>
      <c r="BI832">
        <v>18</v>
      </c>
      <c r="BJ832" t="s">
        <v>674</v>
      </c>
      <c r="BK832" t="s">
        <v>98</v>
      </c>
      <c r="BL832" t="s">
        <v>675</v>
      </c>
      <c r="BM832" t="s">
        <v>15502</v>
      </c>
      <c r="BN832">
        <v>37120498</v>
      </c>
      <c r="BO832" t="s">
        <v>74</v>
      </c>
      <c r="BP832" t="s">
        <v>74</v>
      </c>
      <c r="BQ832" t="s">
        <v>74</v>
      </c>
      <c r="BR832" t="s">
        <v>102</v>
      </c>
      <c r="BS832" t="s">
        <v>15503</v>
      </c>
      <c r="BT832" t="str">
        <f>HYPERLINK("https%3A%2F%2Fwww.webofscience.com%2Fwos%2Fwoscc%2Ffull-record%2FWOS:000983703400014","View Full Record in Web of Science")</f>
        <v>View Full Record in Web of Science</v>
      </c>
    </row>
    <row r="833" spans="1:72" x14ac:dyDescent="0.2">
      <c r="A833" t="s">
        <v>72</v>
      </c>
      <c r="B833" t="s">
        <v>15504</v>
      </c>
      <c r="C833" t="s">
        <v>74</v>
      </c>
      <c r="D833" t="s">
        <v>74</v>
      </c>
      <c r="E833" t="s">
        <v>74</v>
      </c>
      <c r="F833" t="s">
        <v>15505</v>
      </c>
      <c r="G833" t="s">
        <v>74</v>
      </c>
      <c r="H833" t="s">
        <v>74</v>
      </c>
      <c r="I833" t="s">
        <v>15506</v>
      </c>
      <c r="J833" t="s">
        <v>15507</v>
      </c>
      <c r="K833" t="s">
        <v>74</v>
      </c>
      <c r="L833" t="s">
        <v>74</v>
      </c>
      <c r="M833" t="s">
        <v>78</v>
      </c>
      <c r="N833" t="s">
        <v>108</v>
      </c>
      <c r="O833" t="s">
        <v>74</v>
      </c>
      <c r="P833" t="s">
        <v>74</v>
      </c>
      <c r="Q833" t="s">
        <v>74</v>
      </c>
      <c r="R833" t="s">
        <v>74</v>
      </c>
      <c r="S833" t="s">
        <v>74</v>
      </c>
      <c r="T833" t="s">
        <v>15508</v>
      </c>
      <c r="U833" t="s">
        <v>74</v>
      </c>
      <c r="V833" t="s">
        <v>15509</v>
      </c>
      <c r="W833" t="s">
        <v>15510</v>
      </c>
      <c r="X833" t="s">
        <v>15511</v>
      </c>
      <c r="Y833" t="s">
        <v>15512</v>
      </c>
      <c r="Z833" t="s">
        <v>15513</v>
      </c>
      <c r="AA833" t="s">
        <v>15514</v>
      </c>
      <c r="AB833" t="s">
        <v>15515</v>
      </c>
      <c r="AC833" t="s">
        <v>74</v>
      </c>
      <c r="AD833" t="s">
        <v>74</v>
      </c>
      <c r="AE833" t="s">
        <v>74</v>
      </c>
      <c r="AF833" t="s">
        <v>74</v>
      </c>
      <c r="AG833">
        <v>20</v>
      </c>
      <c r="AH833">
        <v>2</v>
      </c>
      <c r="AI833">
        <v>2</v>
      </c>
      <c r="AJ833">
        <v>0</v>
      </c>
      <c r="AK833">
        <v>0</v>
      </c>
      <c r="AL833" t="s">
        <v>15516</v>
      </c>
      <c r="AM833" t="s">
        <v>15517</v>
      </c>
      <c r="AN833" t="s">
        <v>15518</v>
      </c>
      <c r="AO833" t="s">
        <v>74</v>
      </c>
      <c r="AP833" t="s">
        <v>15519</v>
      </c>
      <c r="AQ833" t="s">
        <v>74</v>
      </c>
      <c r="AR833" t="s">
        <v>15507</v>
      </c>
      <c r="AS833" t="s">
        <v>15520</v>
      </c>
      <c r="AT833" t="s">
        <v>416</v>
      </c>
      <c r="AU833">
        <v>2020</v>
      </c>
      <c r="AV833">
        <v>7</v>
      </c>
      <c r="AW833">
        <v>2</v>
      </c>
      <c r="AX833" t="s">
        <v>74</v>
      </c>
      <c r="AY833" t="s">
        <v>74</v>
      </c>
      <c r="AZ833" t="s">
        <v>74</v>
      </c>
      <c r="BA833" t="s">
        <v>74</v>
      </c>
      <c r="BB833">
        <v>85</v>
      </c>
      <c r="BC833">
        <v>93</v>
      </c>
      <c r="BD833" t="s">
        <v>74</v>
      </c>
      <c r="BE833" t="s">
        <v>15521</v>
      </c>
      <c r="BF833" t="str">
        <f>HYPERLINK("http://dx.doi.org/10.22306/al.v7i2.161","http://dx.doi.org/10.22306/al.v7i2.161")</f>
        <v>http://dx.doi.org/10.22306/al.v7i2.161</v>
      </c>
      <c r="BG833" t="s">
        <v>74</v>
      </c>
      <c r="BH833" t="s">
        <v>74</v>
      </c>
      <c r="BI833">
        <v>9</v>
      </c>
      <c r="BJ833" t="s">
        <v>1216</v>
      </c>
      <c r="BK833" t="s">
        <v>124</v>
      </c>
      <c r="BL833" t="s">
        <v>1217</v>
      </c>
      <c r="BM833" t="s">
        <v>15522</v>
      </c>
      <c r="BN833" t="s">
        <v>74</v>
      </c>
      <c r="BO833" t="s">
        <v>126</v>
      </c>
      <c r="BP833" t="s">
        <v>74</v>
      </c>
      <c r="BQ833" t="s">
        <v>74</v>
      </c>
      <c r="BR833" t="s">
        <v>102</v>
      </c>
      <c r="BS833" t="s">
        <v>15523</v>
      </c>
      <c r="BT833" t="str">
        <f>HYPERLINK("https%3A%2F%2Fwww.webofscience.com%2Fwos%2Fwoscc%2Ffull-record%2FWOS:000848732500003","View Full Record in Web of Science")</f>
        <v>View Full Record in Web of Science</v>
      </c>
    </row>
    <row r="834" spans="1:72" x14ac:dyDescent="0.2">
      <c r="A834" t="s">
        <v>72</v>
      </c>
      <c r="B834" t="s">
        <v>15524</v>
      </c>
      <c r="C834" t="s">
        <v>74</v>
      </c>
      <c r="D834" t="s">
        <v>74</v>
      </c>
      <c r="E834" t="s">
        <v>74</v>
      </c>
      <c r="F834" t="s">
        <v>15525</v>
      </c>
      <c r="G834" t="s">
        <v>74</v>
      </c>
      <c r="H834" t="s">
        <v>74</v>
      </c>
      <c r="I834" t="s">
        <v>15526</v>
      </c>
      <c r="J834" t="s">
        <v>15527</v>
      </c>
      <c r="K834" t="s">
        <v>74</v>
      </c>
      <c r="L834" t="s">
        <v>74</v>
      </c>
      <c r="M834" t="s">
        <v>78</v>
      </c>
      <c r="N834" t="s">
        <v>108</v>
      </c>
      <c r="O834" t="s">
        <v>74</v>
      </c>
      <c r="P834" t="s">
        <v>74</v>
      </c>
      <c r="Q834" t="s">
        <v>74</v>
      </c>
      <c r="R834" t="s">
        <v>74</v>
      </c>
      <c r="S834" t="s">
        <v>74</v>
      </c>
      <c r="T834" t="s">
        <v>15528</v>
      </c>
      <c r="U834" t="s">
        <v>15529</v>
      </c>
      <c r="V834" t="s">
        <v>15530</v>
      </c>
      <c r="W834" t="s">
        <v>15531</v>
      </c>
      <c r="X834" t="s">
        <v>15532</v>
      </c>
      <c r="Y834" t="s">
        <v>15533</v>
      </c>
      <c r="Z834" t="s">
        <v>15534</v>
      </c>
      <c r="AA834" t="s">
        <v>74</v>
      </c>
      <c r="AB834" t="s">
        <v>74</v>
      </c>
      <c r="AC834" t="s">
        <v>15535</v>
      </c>
      <c r="AD834" t="s">
        <v>15536</v>
      </c>
      <c r="AE834" t="s">
        <v>15537</v>
      </c>
      <c r="AF834" t="s">
        <v>74</v>
      </c>
      <c r="AG834">
        <v>45</v>
      </c>
      <c r="AH834">
        <v>1</v>
      </c>
      <c r="AI834">
        <v>1</v>
      </c>
      <c r="AJ834">
        <v>3</v>
      </c>
      <c r="AK834">
        <v>11</v>
      </c>
      <c r="AL834" t="s">
        <v>2634</v>
      </c>
      <c r="AM834" t="s">
        <v>2635</v>
      </c>
      <c r="AN834" t="s">
        <v>2636</v>
      </c>
      <c r="AO834" t="s">
        <v>15538</v>
      </c>
      <c r="AP834" t="s">
        <v>15539</v>
      </c>
      <c r="AQ834" t="s">
        <v>74</v>
      </c>
      <c r="AR834" t="s">
        <v>15540</v>
      </c>
      <c r="AS834" t="s">
        <v>15541</v>
      </c>
      <c r="AT834" t="s">
        <v>74</v>
      </c>
      <c r="AU834">
        <v>2023</v>
      </c>
      <c r="AV834">
        <v>22</v>
      </c>
      <c r="AW834">
        <v>1</v>
      </c>
      <c r="AX834" t="s">
        <v>74</v>
      </c>
      <c r="AY834" t="s">
        <v>74</v>
      </c>
      <c r="AZ834" t="s">
        <v>74</v>
      </c>
      <c r="BA834" t="s">
        <v>74</v>
      </c>
      <c r="BB834" t="s">
        <v>74</v>
      </c>
      <c r="BC834" t="s">
        <v>74</v>
      </c>
      <c r="BD834" t="s">
        <v>74</v>
      </c>
      <c r="BE834" t="s">
        <v>15542</v>
      </c>
      <c r="BF834" t="str">
        <f>HYPERLINK("http://dx.doi.org/10.1504/IJESD.2023.127425","http://dx.doi.org/10.1504/IJESD.2023.127425")</f>
        <v>http://dx.doi.org/10.1504/IJESD.2023.127425</v>
      </c>
      <c r="BG834" t="s">
        <v>74</v>
      </c>
      <c r="BH834" t="s">
        <v>74</v>
      </c>
      <c r="BI834">
        <v>27</v>
      </c>
      <c r="BJ834" t="s">
        <v>3022</v>
      </c>
      <c r="BK834" t="s">
        <v>124</v>
      </c>
      <c r="BL834" t="s">
        <v>675</v>
      </c>
      <c r="BM834" t="s">
        <v>15543</v>
      </c>
      <c r="BN834" t="s">
        <v>74</v>
      </c>
      <c r="BO834" t="s">
        <v>74</v>
      </c>
      <c r="BP834" t="s">
        <v>74</v>
      </c>
      <c r="BQ834" t="s">
        <v>74</v>
      </c>
      <c r="BR834" t="s">
        <v>102</v>
      </c>
      <c r="BS834" t="s">
        <v>15544</v>
      </c>
      <c r="BT834" t="str">
        <f>HYPERLINK("https%3A%2F%2Fwww.webofscience.com%2Fwos%2Fwoscc%2Ffull-record%2FWOS:000894396500004","View Full Record in Web of Science")</f>
        <v>View Full Record in Web of Science</v>
      </c>
    </row>
    <row r="835" spans="1:72" x14ac:dyDescent="0.2">
      <c r="A835" t="s">
        <v>72</v>
      </c>
      <c r="B835" t="s">
        <v>15545</v>
      </c>
      <c r="C835" t="s">
        <v>74</v>
      </c>
      <c r="D835" t="s">
        <v>74</v>
      </c>
      <c r="E835" t="s">
        <v>74</v>
      </c>
      <c r="F835" t="s">
        <v>15546</v>
      </c>
      <c r="G835" t="s">
        <v>74</v>
      </c>
      <c r="H835" t="s">
        <v>74</v>
      </c>
      <c r="I835" t="s">
        <v>15547</v>
      </c>
      <c r="J835" t="s">
        <v>15548</v>
      </c>
      <c r="K835" t="s">
        <v>74</v>
      </c>
      <c r="L835" t="s">
        <v>74</v>
      </c>
      <c r="M835" t="s">
        <v>78</v>
      </c>
      <c r="N835" t="s">
        <v>108</v>
      </c>
      <c r="O835" t="s">
        <v>74</v>
      </c>
      <c r="P835" t="s">
        <v>74</v>
      </c>
      <c r="Q835" t="s">
        <v>74</v>
      </c>
      <c r="R835" t="s">
        <v>74</v>
      </c>
      <c r="S835" t="s">
        <v>74</v>
      </c>
      <c r="T835" t="s">
        <v>15549</v>
      </c>
      <c r="U835" t="s">
        <v>15550</v>
      </c>
      <c r="V835" t="s">
        <v>15551</v>
      </c>
      <c r="W835" t="s">
        <v>15552</v>
      </c>
      <c r="X835" t="s">
        <v>15553</v>
      </c>
      <c r="Y835" t="s">
        <v>15554</v>
      </c>
      <c r="Z835" t="s">
        <v>15555</v>
      </c>
      <c r="AA835" t="s">
        <v>74</v>
      </c>
      <c r="AB835" t="s">
        <v>15556</v>
      </c>
      <c r="AC835" t="s">
        <v>74</v>
      </c>
      <c r="AD835" t="s">
        <v>74</v>
      </c>
      <c r="AE835" t="s">
        <v>74</v>
      </c>
      <c r="AF835" t="s">
        <v>74</v>
      </c>
      <c r="AG835">
        <v>41</v>
      </c>
      <c r="AH835">
        <v>9</v>
      </c>
      <c r="AI835">
        <v>10</v>
      </c>
      <c r="AJ835">
        <v>0</v>
      </c>
      <c r="AK835">
        <v>14</v>
      </c>
      <c r="AL835" t="s">
        <v>321</v>
      </c>
      <c r="AM835" t="s">
        <v>348</v>
      </c>
      <c r="AN835" t="s">
        <v>2555</v>
      </c>
      <c r="AO835" t="s">
        <v>15557</v>
      </c>
      <c r="AP835" t="s">
        <v>15558</v>
      </c>
      <c r="AQ835" t="s">
        <v>74</v>
      </c>
      <c r="AR835" t="s">
        <v>15559</v>
      </c>
      <c r="AS835" t="s">
        <v>15560</v>
      </c>
      <c r="AT835" t="s">
        <v>194</v>
      </c>
      <c r="AU835">
        <v>2013</v>
      </c>
      <c r="AV835">
        <v>16</v>
      </c>
      <c r="AW835" t="s">
        <v>7581</v>
      </c>
      <c r="AX835" t="s">
        <v>74</v>
      </c>
      <c r="AY835" t="s">
        <v>74</v>
      </c>
      <c r="AZ835" t="s">
        <v>74</v>
      </c>
      <c r="BA835" t="s">
        <v>74</v>
      </c>
      <c r="BB835">
        <v>621</v>
      </c>
      <c r="BC835">
        <v>644</v>
      </c>
      <c r="BD835" t="s">
        <v>74</v>
      </c>
      <c r="BE835" t="s">
        <v>15561</v>
      </c>
      <c r="BF835" t="str">
        <f>HYPERLINK("http://dx.doi.org/10.1007/s11280-012-0167-3","http://dx.doi.org/10.1007/s11280-012-0167-3")</f>
        <v>http://dx.doi.org/10.1007/s11280-012-0167-3</v>
      </c>
      <c r="BG835" t="s">
        <v>74</v>
      </c>
      <c r="BH835" t="s">
        <v>74</v>
      </c>
      <c r="BI835">
        <v>24</v>
      </c>
      <c r="BJ835" t="s">
        <v>3463</v>
      </c>
      <c r="BK835" t="s">
        <v>98</v>
      </c>
      <c r="BL835" t="s">
        <v>99</v>
      </c>
      <c r="BM835" t="s">
        <v>15562</v>
      </c>
      <c r="BN835" t="s">
        <v>74</v>
      </c>
      <c r="BO835" t="s">
        <v>74</v>
      </c>
      <c r="BP835" t="s">
        <v>74</v>
      </c>
      <c r="BQ835" t="s">
        <v>74</v>
      </c>
      <c r="BR835" t="s">
        <v>102</v>
      </c>
      <c r="BS835" t="s">
        <v>15563</v>
      </c>
      <c r="BT835" t="str">
        <f>HYPERLINK("https%3A%2F%2Fwww.webofscience.com%2Fwos%2Fwoscc%2Ffull-record%2FWOS:000325432800005","View Full Record in Web of Science")</f>
        <v>View Full Record in Web of Science</v>
      </c>
    </row>
    <row r="836" spans="1:72" x14ac:dyDescent="0.2">
      <c r="A836" t="s">
        <v>72</v>
      </c>
      <c r="B836" t="s">
        <v>15564</v>
      </c>
      <c r="C836" t="s">
        <v>74</v>
      </c>
      <c r="D836" t="s">
        <v>74</v>
      </c>
      <c r="E836" t="s">
        <v>74</v>
      </c>
      <c r="F836" t="s">
        <v>15565</v>
      </c>
      <c r="G836" t="s">
        <v>74</v>
      </c>
      <c r="H836" t="s">
        <v>74</v>
      </c>
      <c r="I836" t="s">
        <v>15566</v>
      </c>
      <c r="J836" t="s">
        <v>6820</v>
      </c>
      <c r="K836" t="s">
        <v>74</v>
      </c>
      <c r="L836" t="s">
        <v>74</v>
      </c>
      <c r="M836" t="s">
        <v>78</v>
      </c>
      <c r="N836" t="s">
        <v>108</v>
      </c>
      <c r="O836" t="s">
        <v>74</v>
      </c>
      <c r="P836" t="s">
        <v>74</v>
      </c>
      <c r="Q836" t="s">
        <v>74</v>
      </c>
      <c r="R836" t="s">
        <v>74</v>
      </c>
      <c r="S836" t="s">
        <v>74</v>
      </c>
      <c r="T836" t="s">
        <v>15567</v>
      </c>
      <c r="U836" t="s">
        <v>74</v>
      </c>
      <c r="V836" t="s">
        <v>15568</v>
      </c>
      <c r="W836" t="s">
        <v>15569</v>
      </c>
      <c r="X836" t="s">
        <v>74</v>
      </c>
      <c r="Y836" t="s">
        <v>15570</v>
      </c>
      <c r="Z836" t="s">
        <v>74</v>
      </c>
      <c r="AA836" t="s">
        <v>15571</v>
      </c>
      <c r="AB836" t="s">
        <v>15572</v>
      </c>
      <c r="AC836" t="s">
        <v>74</v>
      </c>
      <c r="AD836" t="s">
        <v>74</v>
      </c>
      <c r="AE836" t="s">
        <v>74</v>
      </c>
      <c r="AF836" t="s">
        <v>74</v>
      </c>
      <c r="AG836">
        <v>20</v>
      </c>
      <c r="AH836">
        <v>1</v>
      </c>
      <c r="AI836">
        <v>1</v>
      </c>
      <c r="AJ836">
        <v>0</v>
      </c>
      <c r="AK836">
        <v>2</v>
      </c>
      <c r="AL836" t="s">
        <v>6827</v>
      </c>
      <c r="AM836" t="s">
        <v>6828</v>
      </c>
      <c r="AN836" t="s">
        <v>6829</v>
      </c>
      <c r="AO836" t="s">
        <v>6830</v>
      </c>
      <c r="AP836" t="s">
        <v>6831</v>
      </c>
      <c r="AQ836" t="s">
        <v>74</v>
      </c>
      <c r="AR836" t="s">
        <v>6832</v>
      </c>
      <c r="AS836" t="s">
        <v>6833</v>
      </c>
      <c r="AT836" t="s">
        <v>216</v>
      </c>
      <c r="AU836">
        <v>2020</v>
      </c>
      <c r="AV836">
        <v>11</v>
      </c>
      <c r="AW836">
        <v>12</v>
      </c>
      <c r="AX836" t="s">
        <v>74</v>
      </c>
      <c r="AY836" t="s">
        <v>74</v>
      </c>
      <c r="AZ836" t="s">
        <v>74</v>
      </c>
      <c r="BA836" t="s">
        <v>74</v>
      </c>
      <c r="BB836">
        <v>193</v>
      </c>
      <c r="BC836">
        <v>198</v>
      </c>
      <c r="BD836" t="s">
        <v>74</v>
      </c>
      <c r="BE836" t="s">
        <v>74</v>
      </c>
      <c r="BF836" t="s">
        <v>74</v>
      </c>
      <c r="BG836" t="s">
        <v>74</v>
      </c>
      <c r="BH836" t="s">
        <v>74</v>
      </c>
      <c r="BI836">
        <v>6</v>
      </c>
      <c r="BJ836" t="s">
        <v>97</v>
      </c>
      <c r="BK836" t="s">
        <v>124</v>
      </c>
      <c r="BL836" t="s">
        <v>99</v>
      </c>
      <c r="BM836" t="s">
        <v>15573</v>
      </c>
      <c r="BN836" t="s">
        <v>74</v>
      </c>
      <c r="BO836" t="s">
        <v>74</v>
      </c>
      <c r="BP836" t="s">
        <v>74</v>
      </c>
      <c r="BQ836" t="s">
        <v>74</v>
      </c>
      <c r="BR836" t="s">
        <v>102</v>
      </c>
      <c r="BS836" t="s">
        <v>15574</v>
      </c>
      <c r="BT836" t="str">
        <f>HYPERLINK("https%3A%2F%2Fwww.webofscience.com%2Fwos%2Fwoscc%2Ffull-record%2FWOS:000606823500025","View Full Record in Web of Science")</f>
        <v>View Full Record in Web of Science</v>
      </c>
    </row>
    <row r="837" spans="1:72" x14ac:dyDescent="0.2">
      <c r="A837" t="s">
        <v>72</v>
      </c>
      <c r="B837" t="s">
        <v>15575</v>
      </c>
      <c r="C837" t="s">
        <v>74</v>
      </c>
      <c r="D837" t="s">
        <v>74</v>
      </c>
      <c r="E837" t="s">
        <v>74</v>
      </c>
      <c r="F837" t="s">
        <v>15576</v>
      </c>
      <c r="G837" t="s">
        <v>74</v>
      </c>
      <c r="H837" t="s">
        <v>74</v>
      </c>
      <c r="I837" t="s">
        <v>15577</v>
      </c>
      <c r="J837" t="s">
        <v>15578</v>
      </c>
      <c r="K837" t="s">
        <v>74</v>
      </c>
      <c r="L837" t="s">
        <v>74</v>
      </c>
      <c r="M837" t="s">
        <v>78</v>
      </c>
      <c r="N837" t="s">
        <v>108</v>
      </c>
      <c r="O837" t="s">
        <v>74</v>
      </c>
      <c r="P837" t="s">
        <v>74</v>
      </c>
      <c r="Q837" t="s">
        <v>74</v>
      </c>
      <c r="R837" t="s">
        <v>74</v>
      </c>
      <c r="S837" t="s">
        <v>74</v>
      </c>
      <c r="T837" t="s">
        <v>15579</v>
      </c>
      <c r="U837" t="s">
        <v>15580</v>
      </c>
      <c r="V837" t="s">
        <v>15581</v>
      </c>
      <c r="W837" t="s">
        <v>15582</v>
      </c>
      <c r="X837" t="s">
        <v>15583</v>
      </c>
      <c r="Y837" t="s">
        <v>15584</v>
      </c>
      <c r="Z837" t="s">
        <v>15585</v>
      </c>
      <c r="AA837" t="s">
        <v>74</v>
      </c>
      <c r="AB837" t="s">
        <v>74</v>
      </c>
      <c r="AC837" t="s">
        <v>15586</v>
      </c>
      <c r="AD837" t="s">
        <v>15587</v>
      </c>
      <c r="AE837" t="s">
        <v>15588</v>
      </c>
      <c r="AF837" t="s">
        <v>74</v>
      </c>
      <c r="AG837">
        <v>32</v>
      </c>
      <c r="AH837">
        <v>5</v>
      </c>
      <c r="AI837">
        <v>5</v>
      </c>
      <c r="AJ837">
        <v>2</v>
      </c>
      <c r="AK837">
        <v>26</v>
      </c>
      <c r="AL837" t="s">
        <v>209</v>
      </c>
      <c r="AM837" t="s">
        <v>210</v>
      </c>
      <c r="AN837" t="s">
        <v>211</v>
      </c>
      <c r="AO837" t="s">
        <v>15589</v>
      </c>
      <c r="AP837" t="s">
        <v>15590</v>
      </c>
      <c r="AQ837" t="s">
        <v>74</v>
      </c>
      <c r="AR837" t="s">
        <v>15591</v>
      </c>
      <c r="AS837" t="s">
        <v>15592</v>
      </c>
      <c r="AT837" t="s">
        <v>216</v>
      </c>
      <c r="AU837">
        <v>2021</v>
      </c>
      <c r="AV837">
        <v>75</v>
      </c>
      <c r="AW837" t="s">
        <v>74</v>
      </c>
      <c r="AX837" t="s">
        <v>74</v>
      </c>
      <c r="AY837" t="s">
        <v>74</v>
      </c>
      <c r="AZ837" t="s">
        <v>74</v>
      </c>
      <c r="BA837" t="s">
        <v>74</v>
      </c>
      <c r="BB837" t="s">
        <v>74</v>
      </c>
      <c r="BC837" t="s">
        <v>74</v>
      </c>
      <c r="BD837">
        <v>103297</v>
      </c>
      <c r="BE837" t="s">
        <v>15593</v>
      </c>
      <c r="BF837" t="str">
        <f>HYPERLINK("http://dx.doi.org/10.1016/j.scs.2021.103297","http://dx.doi.org/10.1016/j.scs.2021.103297")</f>
        <v>http://dx.doi.org/10.1016/j.scs.2021.103297</v>
      </c>
      <c r="BG837" t="s">
        <v>74</v>
      </c>
      <c r="BH837" t="s">
        <v>722</v>
      </c>
      <c r="BI837">
        <v>10</v>
      </c>
      <c r="BJ837" t="s">
        <v>15594</v>
      </c>
      <c r="BK837" t="s">
        <v>98</v>
      </c>
      <c r="BL837" t="s">
        <v>15595</v>
      </c>
      <c r="BM837" t="s">
        <v>15596</v>
      </c>
      <c r="BN837" t="s">
        <v>74</v>
      </c>
      <c r="BO837" t="s">
        <v>74</v>
      </c>
      <c r="BP837" t="s">
        <v>74</v>
      </c>
      <c r="BQ837" t="s">
        <v>74</v>
      </c>
      <c r="BR837" t="s">
        <v>102</v>
      </c>
      <c r="BS837" t="s">
        <v>15597</v>
      </c>
      <c r="BT837" t="str">
        <f>HYPERLINK("https%3A%2F%2Fwww.webofscience.com%2Fwos%2Fwoscc%2Ffull-record%2FWOS:000711887500001","View Full Record in Web of Science")</f>
        <v>View Full Record in Web of Science</v>
      </c>
    </row>
    <row r="838" spans="1:72" x14ac:dyDescent="0.2">
      <c r="A838" t="s">
        <v>72</v>
      </c>
      <c r="B838" t="s">
        <v>15598</v>
      </c>
      <c r="C838" t="s">
        <v>74</v>
      </c>
      <c r="D838" t="s">
        <v>74</v>
      </c>
      <c r="E838" t="s">
        <v>74</v>
      </c>
      <c r="F838" t="s">
        <v>15599</v>
      </c>
      <c r="G838" t="s">
        <v>74</v>
      </c>
      <c r="H838" t="s">
        <v>74</v>
      </c>
      <c r="I838" t="s">
        <v>15600</v>
      </c>
      <c r="J838" t="s">
        <v>4384</v>
      </c>
      <c r="K838" t="s">
        <v>74</v>
      </c>
      <c r="L838" t="s">
        <v>74</v>
      </c>
      <c r="M838" t="s">
        <v>78</v>
      </c>
      <c r="N838" t="s">
        <v>108</v>
      </c>
      <c r="O838" t="s">
        <v>74</v>
      </c>
      <c r="P838" t="s">
        <v>74</v>
      </c>
      <c r="Q838" t="s">
        <v>74</v>
      </c>
      <c r="R838" t="s">
        <v>74</v>
      </c>
      <c r="S838" t="s">
        <v>74</v>
      </c>
      <c r="T838" t="s">
        <v>15601</v>
      </c>
      <c r="U838" t="s">
        <v>15602</v>
      </c>
      <c r="V838" t="s">
        <v>15603</v>
      </c>
      <c r="W838" t="s">
        <v>15604</v>
      </c>
      <c r="X838" t="s">
        <v>15605</v>
      </c>
      <c r="Y838" t="s">
        <v>15606</v>
      </c>
      <c r="Z838" t="s">
        <v>15607</v>
      </c>
      <c r="AA838" t="s">
        <v>15608</v>
      </c>
      <c r="AB838" t="s">
        <v>15609</v>
      </c>
      <c r="AC838" t="s">
        <v>15610</v>
      </c>
      <c r="AD838" t="s">
        <v>987</v>
      </c>
      <c r="AE838" t="s">
        <v>15611</v>
      </c>
      <c r="AF838" t="s">
        <v>74</v>
      </c>
      <c r="AG838">
        <v>47</v>
      </c>
      <c r="AH838">
        <v>2</v>
      </c>
      <c r="AI838">
        <v>2</v>
      </c>
      <c r="AJ838">
        <v>1</v>
      </c>
      <c r="AK838">
        <v>13</v>
      </c>
      <c r="AL838" t="s">
        <v>167</v>
      </c>
      <c r="AM838" t="s">
        <v>168</v>
      </c>
      <c r="AN838" t="s">
        <v>169</v>
      </c>
      <c r="AO838" t="s">
        <v>4393</v>
      </c>
      <c r="AP838" t="s">
        <v>74</v>
      </c>
      <c r="AQ838" t="s">
        <v>74</v>
      </c>
      <c r="AR838" t="s">
        <v>4384</v>
      </c>
      <c r="AS838" t="s">
        <v>4394</v>
      </c>
      <c r="AT838" t="s">
        <v>74</v>
      </c>
      <c r="AU838">
        <v>2018</v>
      </c>
      <c r="AV838">
        <v>6</v>
      </c>
      <c r="AW838" t="s">
        <v>74</v>
      </c>
      <c r="AX838" t="s">
        <v>74</v>
      </c>
      <c r="AY838" t="s">
        <v>74</v>
      </c>
      <c r="AZ838" t="s">
        <v>74</v>
      </c>
      <c r="BA838" t="s">
        <v>74</v>
      </c>
      <c r="BB838">
        <v>12539</v>
      </c>
      <c r="BC838">
        <v>12550</v>
      </c>
      <c r="BD838" t="s">
        <v>74</v>
      </c>
      <c r="BE838" t="s">
        <v>15612</v>
      </c>
      <c r="BF838" t="str">
        <f>HYPERLINK("http://dx.doi.org/10.1109/ACCESS.2018.2806340","http://dx.doi.org/10.1109/ACCESS.2018.2806340")</f>
        <v>http://dx.doi.org/10.1109/ACCESS.2018.2806340</v>
      </c>
      <c r="BG838" t="s">
        <v>74</v>
      </c>
      <c r="BH838" t="s">
        <v>74</v>
      </c>
      <c r="BI838">
        <v>12</v>
      </c>
      <c r="BJ838" t="s">
        <v>2959</v>
      </c>
      <c r="BK838" t="s">
        <v>98</v>
      </c>
      <c r="BL838" t="s">
        <v>2960</v>
      </c>
      <c r="BM838" t="s">
        <v>15613</v>
      </c>
      <c r="BN838" t="s">
        <v>74</v>
      </c>
      <c r="BO838" t="s">
        <v>126</v>
      </c>
      <c r="BP838" t="s">
        <v>74</v>
      </c>
      <c r="BQ838" t="s">
        <v>74</v>
      </c>
      <c r="BR838" t="s">
        <v>102</v>
      </c>
      <c r="BS838" t="s">
        <v>15614</v>
      </c>
      <c r="BT838" t="str">
        <f>HYPERLINK("https%3A%2F%2Fwww.webofscience.com%2Fwos%2Fwoscc%2Ffull-record%2FWOS:000428594800001","View Full Record in Web of Science")</f>
        <v>View Full Record in Web of Science</v>
      </c>
    </row>
    <row r="839" spans="1:72" x14ac:dyDescent="0.2">
      <c r="A839" t="s">
        <v>72</v>
      </c>
      <c r="B839" t="s">
        <v>15615</v>
      </c>
      <c r="C839" t="s">
        <v>74</v>
      </c>
      <c r="D839" t="s">
        <v>74</v>
      </c>
      <c r="E839" t="s">
        <v>74</v>
      </c>
      <c r="F839" t="s">
        <v>15616</v>
      </c>
      <c r="G839" t="s">
        <v>74</v>
      </c>
      <c r="H839" t="s">
        <v>74</v>
      </c>
      <c r="I839" t="s">
        <v>15617</v>
      </c>
      <c r="J839" t="s">
        <v>976</v>
      </c>
      <c r="K839" t="s">
        <v>74</v>
      </c>
      <c r="L839" t="s">
        <v>74</v>
      </c>
      <c r="M839" t="s">
        <v>78</v>
      </c>
      <c r="N839" t="s">
        <v>108</v>
      </c>
      <c r="O839" t="s">
        <v>74</v>
      </c>
      <c r="P839" t="s">
        <v>74</v>
      </c>
      <c r="Q839" t="s">
        <v>74</v>
      </c>
      <c r="R839" t="s">
        <v>74</v>
      </c>
      <c r="S839" t="s">
        <v>74</v>
      </c>
      <c r="T839" t="s">
        <v>15618</v>
      </c>
      <c r="U839" t="s">
        <v>15619</v>
      </c>
      <c r="V839" t="s">
        <v>15620</v>
      </c>
      <c r="W839" t="s">
        <v>15621</v>
      </c>
      <c r="X839" t="s">
        <v>15622</v>
      </c>
      <c r="Y839" t="s">
        <v>15623</v>
      </c>
      <c r="Z839" t="s">
        <v>15624</v>
      </c>
      <c r="AA839" t="s">
        <v>74</v>
      </c>
      <c r="AB839" t="s">
        <v>74</v>
      </c>
      <c r="AC839" t="s">
        <v>15625</v>
      </c>
      <c r="AD839" t="s">
        <v>15626</v>
      </c>
      <c r="AE839" t="s">
        <v>15627</v>
      </c>
      <c r="AF839" t="s">
        <v>74</v>
      </c>
      <c r="AG839">
        <v>36</v>
      </c>
      <c r="AH839">
        <v>28</v>
      </c>
      <c r="AI839">
        <v>28</v>
      </c>
      <c r="AJ839">
        <v>13</v>
      </c>
      <c r="AK839">
        <v>128</v>
      </c>
      <c r="AL839" t="s">
        <v>259</v>
      </c>
      <c r="AM839" t="s">
        <v>260</v>
      </c>
      <c r="AN839" t="s">
        <v>261</v>
      </c>
      <c r="AO839" t="s">
        <v>989</v>
      </c>
      <c r="AP839" t="s">
        <v>990</v>
      </c>
      <c r="AQ839" t="s">
        <v>74</v>
      </c>
      <c r="AR839" t="s">
        <v>991</v>
      </c>
      <c r="AS839" t="s">
        <v>992</v>
      </c>
      <c r="AT839" t="s">
        <v>5137</v>
      </c>
      <c r="AU839">
        <v>2019</v>
      </c>
      <c r="AV839">
        <v>227</v>
      </c>
      <c r="AW839" t="s">
        <v>74</v>
      </c>
      <c r="AX839" t="s">
        <v>74</v>
      </c>
      <c r="AY839" t="s">
        <v>74</v>
      </c>
      <c r="AZ839" t="s">
        <v>74</v>
      </c>
      <c r="BA839" t="s">
        <v>74</v>
      </c>
      <c r="BB839">
        <v>532</v>
      </c>
      <c r="BC839">
        <v>542</v>
      </c>
      <c r="BD839" t="s">
        <v>74</v>
      </c>
      <c r="BE839" t="s">
        <v>15628</v>
      </c>
      <c r="BF839" t="str">
        <f>HYPERLINK("http://dx.doi.org/10.1016/j.jclepro.2019.04.252","http://dx.doi.org/10.1016/j.jclepro.2019.04.252")</f>
        <v>http://dx.doi.org/10.1016/j.jclepro.2019.04.252</v>
      </c>
      <c r="BG839" t="s">
        <v>74</v>
      </c>
      <c r="BH839" t="s">
        <v>74</v>
      </c>
      <c r="BI839">
        <v>11</v>
      </c>
      <c r="BJ839" t="s">
        <v>995</v>
      </c>
      <c r="BK839" t="s">
        <v>98</v>
      </c>
      <c r="BL839" t="s">
        <v>996</v>
      </c>
      <c r="BM839" t="s">
        <v>15629</v>
      </c>
      <c r="BN839" t="s">
        <v>74</v>
      </c>
      <c r="BO839" t="s">
        <v>74</v>
      </c>
      <c r="BP839" t="s">
        <v>74</v>
      </c>
      <c r="BQ839" t="s">
        <v>74</v>
      </c>
      <c r="BR839" t="s">
        <v>102</v>
      </c>
      <c r="BS839" t="s">
        <v>15630</v>
      </c>
      <c r="BT839" t="str">
        <f>HYPERLINK("https%3A%2F%2Fwww.webofscience.com%2Fwos%2Fwoscc%2Ffull-record%2FWOS:000470939600050","View Full Record in Web of Science")</f>
        <v>View Full Record in Web of Science</v>
      </c>
    </row>
    <row r="840" spans="1:72" x14ac:dyDescent="0.2">
      <c r="A840" t="s">
        <v>72</v>
      </c>
      <c r="B840" t="s">
        <v>15631</v>
      </c>
      <c r="C840" t="s">
        <v>74</v>
      </c>
      <c r="D840" t="s">
        <v>74</v>
      </c>
      <c r="E840" t="s">
        <v>74</v>
      </c>
      <c r="F840" t="s">
        <v>15632</v>
      </c>
      <c r="G840" t="s">
        <v>74</v>
      </c>
      <c r="H840" t="s">
        <v>74</v>
      </c>
      <c r="I840" t="s">
        <v>15633</v>
      </c>
      <c r="J840" t="s">
        <v>15634</v>
      </c>
      <c r="K840" t="s">
        <v>74</v>
      </c>
      <c r="L840" t="s">
        <v>74</v>
      </c>
      <c r="M840" t="s">
        <v>78</v>
      </c>
      <c r="N840" t="s">
        <v>108</v>
      </c>
      <c r="O840" t="s">
        <v>74</v>
      </c>
      <c r="P840" t="s">
        <v>74</v>
      </c>
      <c r="Q840" t="s">
        <v>74</v>
      </c>
      <c r="R840" t="s">
        <v>74</v>
      </c>
      <c r="S840" t="s">
        <v>74</v>
      </c>
      <c r="T840" t="s">
        <v>15635</v>
      </c>
      <c r="U840" t="s">
        <v>15636</v>
      </c>
      <c r="V840" t="s">
        <v>15637</v>
      </c>
      <c r="W840" t="s">
        <v>15638</v>
      </c>
      <c r="X840" t="s">
        <v>15639</v>
      </c>
      <c r="Y840" t="s">
        <v>15640</v>
      </c>
      <c r="Z840" t="s">
        <v>15641</v>
      </c>
      <c r="AA840" t="s">
        <v>74</v>
      </c>
      <c r="AB840" t="s">
        <v>74</v>
      </c>
      <c r="AC840" t="s">
        <v>74</v>
      </c>
      <c r="AD840" t="s">
        <v>74</v>
      </c>
      <c r="AE840" t="s">
        <v>74</v>
      </c>
      <c r="AF840" t="s">
        <v>74</v>
      </c>
      <c r="AG840">
        <v>78</v>
      </c>
      <c r="AH840">
        <v>12</v>
      </c>
      <c r="AI840">
        <v>12</v>
      </c>
      <c r="AJ840">
        <v>2</v>
      </c>
      <c r="AK840">
        <v>15</v>
      </c>
      <c r="AL840" t="s">
        <v>209</v>
      </c>
      <c r="AM840" t="s">
        <v>210</v>
      </c>
      <c r="AN840" t="s">
        <v>211</v>
      </c>
      <c r="AO840" t="s">
        <v>15642</v>
      </c>
      <c r="AP840" t="s">
        <v>74</v>
      </c>
      <c r="AQ840" t="s">
        <v>74</v>
      </c>
      <c r="AR840" t="s">
        <v>15643</v>
      </c>
      <c r="AS840" t="s">
        <v>15644</v>
      </c>
      <c r="AT840" t="s">
        <v>174</v>
      </c>
      <c r="AU840">
        <v>2021</v>
      </c>
      <c r="AV840">
        <v>64</v>
      </c>
      <c r="AW840" t="s">
        <v>74</v>
      </c>
      <c r="AX840" t="s">
        <v>74</v>
      </c>
      <c r="AY840" t="s">
        <v>74</v>
      </c>
      <c r="AZ840" t="s">
        <v>74</v>
      </c>
      <c r="BA840" t="s">
        <v>74</v>
      </c>
      <c r="BB840" t="s">
        <v>74</v>
      </c>
      <c r="BC840" t="s">
        <v>74</v>
      </c>
      <c r="BD840">
        <v>102496</v>
      </c>
      <c r="BE840" t="s">
        <v>15645</v>
      </c>
      <c r="BF840" t="str">
        <f>HYPERLINK("http://dx.doi.org/10.1016/j.ijdrr.2021.102496","http://dx.doi.org/10.1016/j.ijdrr.2021.102496")</f>
        <v>http://dx.doi.org/10.1016/j.ijdrr.2021.102496</v>
      </c>
      <c r="BG840" t="s">
        <v>74</v>
      </c>
      <c r="BH840" t="s">
        <v>1373</v>
      </c>
      <c r="BI840">
        <v>13</v>
      </c>
      <c r="BJ840" t="s">
        <v>15646</v>
      </c>
      <c r="BK840" t="s">
        <v>147</v>
      </c>
      <c r="BL840" t="s">
        <v>15647</v>
      </c>
      <c r="BM840" t="s">
        <v>15648</v>
      </c>
      <c r="BN840">
        <v>36570387</v>
      </c>
      <c r="BO840" t="s">
        <v>332</v>
      </c>
      <c r="BP840" t="s">
        <v>74</v>
      </c>
      <c r="BQ840" t="s">
        <v>74</v>
      </c>
      <c r="BR840" t="s">
        <v>102</v>
      </c>
      <c r="BS840" t="s">
        <v>15649</v>
      </c>
      <c r="BT840" t="str">
        <f>HYPERLINK("https%3A%2F%2Fwww.webofscience.com%2Fwos%2Fwoscc%2Ffull-record%2FWOS:000697413900001","View Full Record in Web of Science")</f>
        <v>View Full Record in Web of Science</v>
      </c>
    </row>
    <row r="841" spans="1:72" x14ac:dyDescent="0.2">
      <c r="A841" t="s">
        <v>72</v>
      </c>
      <c r="B841" t="s">
        <v>15650</v>
      </c>
      <c r="C841" t="s">
        <v>74</v>
      </c>
      <c r="D841" t="s">
        <v>74</v>
      </c>
      <c r="E841" t="s">
        <v>74</v>
      </c>
      <c r="F841" t="s">
        <v>15651</v>
      </c>
      <c r="G841" t="s">
        <v>74</v>
      </c>
      <c r="H841" t="s">
        <v>74</v>
      </c>
      <c r="I841" t="s">
        <v>15652</v>
      </c>
      <c r="J841" t="s">
        <v>2249</v>
      </c>
      <c r="K841" t="s">
        <v>74</v>
      </c>
      <c r="L841" t="s">
        <v>74</v>
      </c>
      <c r="M841" t="s">
        <v>78</v>
      </c>
      <c r="N841" t="s">
        <v>108</v>
      </c>
      <c r="O841" t="s">
        <v>74</v>
      </c>
      <c r="P841" t="s">
        <v>74</v>
      </c>
      <c r="Q841" t="s">
        <v>74</v>
      </c>
      <c r="R841" t="s">
        <v>74</v>
      </c>
      <c r="S841" t="s">
        <v>74</v>
      </c>
      <c r="T841" t="s">
        <v>15653</v>
      </c>
      <c r="U841" t="s">
        <v>15654</v>
      </c>
      <c r="V841" t="s">
        <v>15655</v>
      </c>
      <c r="W841" t="s">
        <v>15656</v>
      </c>
      <c r="X841" t="s">
        <v>15657</v>
      </c>
      <c r="Y841" t="s">
        <v>15658</v>
      </c>
      <c r="Z841" t="s">
        <v>15659</v>
      </c>
      <c r="AA841" t="s">
        <v>15660</v>
      </c>
      <c r="AB841" t="s">
        <v>15661</v>
      </c>
      <c r="AC841" t="s">
        <v>15662</v>
      </c>
      <c r="AD841" t="s">
        <v>15663</v>
      </c>
      <c r="AE841" t="s">
        <v>15664</v>
      </c>
      <c r="AF841" t="s">
        <v>74</v>
      </c>
      <c r="AG841">
        <v>75</v>
      </c>
      <c r="AH841">
        <v>75</v>
      </c>
      <c r="AI841">
        <v>79</v>
      </c>
      <c r="AJ841">
        <v>4</v>
      </c>
      <c r="AK841">
        <v>156</v>
      </c>
      <c r="AL841" t="s">
        <v>543</v>
      </c>
      <c r="AM841" t="s">
        <v>260</v>
      </c>
      <c r="AN841" t="s">
        <v>544</v>
      </c>
      <c r="AO841" t="s">
        <v>2257</v>
      </c>
      <c r="AP841" t="s">
        <v>74</v>
      </c>
      <c r="AQ841" t="s">
        <v>74</v>
      </c>
      <c r="AR841" t="s">
        <v>2258</v>
      </c>
      <c r="AS841" t="s">
        <v>2259</v>
      </c>
      <c r="AT841" t="s">
        <v>616</v>
      </c>
      <c r="AU841">
        <v>2019</v>
      </c>
      <c r="AV841">
        <v>83</v>
      </c>
      <c r="AW841" t="s">
        <v>74</v>
      </c>
      <c r="AX841" t="s">
        <v>74</v>
      </c>
      <c r="AY841" t="s">
        <v>74</v>
      </c>
      <c r="AZ841" t="s">
        <v>74</v>
      </c>
      <c r="BA841" t="s">
        <v>74</v>
      </c>
      <c r="BB841">
        <v>26</v>
      </c>
      <c r="BC841">
        <v>38</v>
      </c>
      <c r="BD841" t="s">
        <v>74</v>
      </c>
      <c r="BE841" t="s">
        <v>15665</v>
      </c>
      <c r="BF841" t="str">
        <f>HYPERLINK("http://dx.doi.org/10.1016/j.omega.2018.02.001","http://dx.doi.org/10.1016/j.omega.2018.02.001")</f>
        <v>http://dx.doi.org/10.1016/j.omega.2018.02.001</v>
      </c>
      <c r="BG841" t="s">
        <v>74</v>
      </c>
      <c r="BH841" t="s">
        <v>74</v>
      </c>
      <c r="BI841">
        <v>13</v>
      </c>
      <c r="BJ841" t="s">
        <v>524</v>
      </c>
      <c r="BK841" t="s">
        <v>147</v>
      </c>
      <c r="BL841" t="s">
        <v>525</v>
      </c>
      <c r="BM841" t="s">
        <v>15666</v>
      </c>
      <c r="BN841" t="s">
        <v>74</v>
      </c>
      <c r="BO841" t="s">
        <v>74</v>
      </c>
      <c r="BP841" t="s">
        <v>74</v>
      </c>
      <c r="BQ841" t="s">
        <v>74</v>
      </c>
      <c r="BR841" t="s">
        <v>102</v>
      </c>
      <c r="BS841" t="s">
        <v>15667</v>
      </c>
      <c r="BT841" t="str">
        <f>HYPERLINK("https%3A%2F%2Fwww.webofscience.com%2Fwos%2Fwoscc%2Ffull-record%2FWOS:000455068400003","View Full Record in Web of Science")</f>
        <v>View Full Record in Web of Science</v>
      </c>
    </row>
    <row r="842" spans="1:72" x14ac:dyDescent="0.2">
      <c r="A842" t="s">
        <v>72</v>
      </c>
      <c r="B842" t="s">
        <v>15668</v>
      </c>
      <c r="C842" t="s">
        <v>74</v>
      </c>
      <c r="D842" t="s">
        <v>74</v>
      </c>
      <c r="E842" t="s">
        <v>74</v>
      </c>
      <c r="F842" t="s">
        <v>15669</v>
      </c>
      <c r="G842" t="s">
        <v>74</v>
      </c>
      <c r="H842" t="s">
        <v>74</v>
      </c>
      <c r="I842" t="s">
        <v>15670</v>
      </c>
      <c r="J842" t="s">
        <v>15671</v>
      </c>
      <c r="K842" t="s">
        <v>74</v>
      </c>
      <c r="L842" t="s">
        <v>74</v>
      </c>
      <c r="M842" t="s">
        <v>78</v>
      </c>
      <c r="N842" t="s">
        <v>108</v>
      </c>
      <c r="O842" t="s">
        <v>74</v>
      </c>
      <c r="P842" t="s">
        <v>74</v>
      </c>
      <c r="Q842" t="s">
        <v>74</v>
      </c>
      <c r="R842" t="s">
        <v>74</v>
      </c>
      <c r="S842" t="s">
        <v>74</v>
      </c>
      <c r="T842" t="s">
        <v>15672</v>
      </c>
      <c r="U842" t="s">
        <v>14469</v>
      </c>
      <c r="V842" t="s">
        <v>15673</v>
      </c>
      <c r="W842" t="s">
        <v>15674</v>
      </c>
      <c r="X842" t="s">
        <v>15675</v>
      </c>
      <c r="Y842" t="s">
        <v>15676</v>
      </c>
      <c r="Z842" t="s">
        <v>15677</v>
      </c>
      <c r="AA842" t="s">
        <v>15678</v>
      </c>
      <c r="AB842" t="s">
        <v>15679</v>
      </c>
      <c r="AC842" t="s">
        <v>15680</v>
      </c>
      <c r="AD842" t="s">
        <v>15681</v>
      </c>
      <c r="AE842" t="s">
        <v>15682</v>
      </c>
      <c r="AF842" t="s">
        <v>74</v>
      </c>
      <c r="AG842">
        <v>47</v>
      </c>
      <c r="AH842">
        <v>1</v>
      </c>
      <c r="AI842">
        <v>1</v>
      </c>
      <c r="AJ842">
        <v>11</v>
      </c>
      <c r="AK842">
        <v>14</v>
      </c>
      <c r="AL842" t="s">
        <v>321</v>
      </c>
      <c r="AM842" t="s">
        <v>322</v>
      </c>
      <c r="AN842" t="s">
        <v>323</v>
      </c>
      <c r="AO842" t="s">
        <v>15683</v>
      </c>
      <c r="AP842" t="s">
        <v>15684</v>
      </c>
      <c r="AQ842" t="s">
        <v>74</v>
      </c>
      <c r="AR842" t="s">
        <v>15685</v>
      </c>
      <c r="AS842" t="s">
        <v>15686</v>
      </c>
      <c r="AT842" t="s">
        <v>800</v>
      </c>
      <c r="AU842">
        <v>2023</v>
      </c>
      <c r="AV842">
        <v>32</v>
      </c>
      <c r="AW842">
        <v>2</v>
      </c>
      <c r="AX842" t="s">
        <v>74</v>
      </c>
      <c r="AY842" t="s">
        <v>74</v>
      </c>
      <c r="AZ842" t="s">
        <v>74</v>
      </c>
      <c r="BA842" t="s">
        <v>74</v>
      </c>
      <c r="BB842">
        <v>359</v>
      </c>
      <c r="BC842">
        <v>394</v>
      </c>
      <c r="BD842" t="s">
        <v>74</v>
      </c>
      <c r="BE842" t="s">
        <v>15687</v>
      </c>
      <c r="BF842" t="str">
        <f>HYPERLINK("http://dx.doi.org/10.1007/s10726-022-09811-z","http://dx.doi.org/10.1007/s10726-022-09811-z")</f>
        <v>http://dx.doi.org/10.1007/s10726-022-09811-z</v>
      </c>
      <c r="BG842" t="s">
        <v>74</v>
      </c>
      <c r="BH842" t="s">
        <v>779</v>
      </c>
      <c r="BI842">
        <v>36</v>
      </c>
      <c r="BJ842" t="s">
        <v>11079</v>
      </c>
      <c r="BK842" t="s">
        <v>242</v>
      </c>
      <c r="BL842" t="s">
        <v>647</v>
      </c>
      <c r="BM842" t="s">
        <v>15688</v>
      </c>
      <c r="BN842">
        <v>36691641</v>
      </c>
      <c r="BO842" t="s">
        <v>332</v>
      </c>
      <c r="BP842" t="s">
        <v>74</v>
      </c>
      <c r="BQ842" t="s">
        <v>74</v>
      </c>
      <c r="BR842" t="s">
        <v>102</v>
      </c>
      <c r="BS842" t="s">
        <v>15689</v>
      </c>
      <c r="BT842" t="str">
        <f>HYPERLINK("https%3A%2F%2Fwww.webofscience.com%2Fwos%2Fwoscc%2Ffull-record%2FWOS:000913737700001","View Full Record in Web of Science")</f>
        <v>View Full Record in Web of Science</v>
      </c>
    </row>
    <row r="843" spans="1:72" x14ac:dyDescent="0.2">
      <c r="A843" t="s">
        <v>72</v>
      </c>
      <c r="B843" t="s">
        <v>15690</v>
      </c>
      <c r="C843" t="s">
        <v>74</v>
      </c>
      <c r="D843" t="s">
        <v>74</v>
      </c>
      <c r="E843" t="s">
        <v>74</v>
      </c>
      <c r="F843" t="s">
        <v>15691</v>
      </c>
      <c r="G843" t="s">
        <v>74</v>
      </c>
      <c r="H843" t="s">
        <v>74</v>
      </c>
      <c r="I843" t="s">
        <v>15692</v>
      </c>
      <c r="J843" t="s">
        <v>3951</v>
      </c>
      <c r="K843" t="s">
        <v>74</v>
      </c>
      <c r="L843" t="s">
        <v>74</v>
      </c>
      <c r="M843" t="s">
        <v>78</v>
      </c>
      <c r="N843" t="s">
        <v>108</v>
      </c>
      <c r="O843" t="s">
        <v>74</v>
      </c>
      <c r="P843" t="s">
        <v>74</v>
      </c>
      <c r="Q843" t="s">
        <v>74</v>
      </c>
      <c r="R843" t="s">
        <v>74</v>
      </c>
      <c r="S843" t="s">
        <v>74</v>
      </c>
      <c r="T843" t="s">
        <v>74</v>
      </c>
      <c r="U843" t="s">
        <v>15693</v>
      </c>
      <c r="V843" t="s">
        <v>15694</v>
      </c>
      <c r="W843" t="s">
        <v>15695</v>
      </c>
      <c r="X843" t="s">
        <v>15696</v>
      </c>
      <c r="Y843" t="s">
        <v>15697</v>
      </c>
      <c r="Z843" t="s">
        <v>15698</v>
      </c>
      <c r="AA843" t="s">
        <v>74</v>
      </c>
      <c r="AB843" t="s">
        <v>15699</v>
      </c>
      <c r="AC843" t="s">
        <v>15700</v>
      </c>
      <c r="AD843" t="s">
        <v>15701</v>
      </c>
      <c r="AE843" t="s">
        <v>15702</v>
      </c>
      <c r="AF843" t="s">
        <v>74</v>
      </c>
      <c r="AG843">
        <v>62</v>
      </c>
      <c r="AH843">
        <v>28</v>
      </c>
      <c r="AI843">
        <v>28</v>
      </c>
      <c r="AJ843">
        <v>43</v>
      </c>
      <c r="AK843">
        <v>216</v>
      </c>
      <c r="AL843" t="s">
        <v>3963</v>
      </c>
      <c r="AM843" t="s">
        <v>90</v>
      </c>
      <c r="AN843" t="s">
        <v>3964</v>
      </c>
      <c r="AO843" t="s">
        <v>3965</v>
      </c>
      <c r="AP843" t="s">
        <v>3966</v>
      </c>
      <c r="AQ843" t="s">
        <v>74</v>
      </c>
      <c r="AR843" t="s">
        <v>3967</v>
      </c>
      <c r="AS843" t="s">
        <v>3968</v>
      </c>
      <c r="AT843" t="s">
        <v>15703</v>
      </c>
      <c r="AU843">
        <v>2019</v>
      </c>
      <c r="AV843">
        <v>2019</v>
      </c>
      <c r="AW843" t="s">
        <v>74</v>
      </c>
      <c r="AX843" t="s">
        <v>74</v>
      </c>
      <c r="AY843" t="s">
        <v>74</v>
      </c>
      <c r="AZ843" t="s">
        <v>74</v>
      </c>
      <c r="BA843" t="s">
        <v>74</v>
      </c>
      <c r="BB843" t="s">
        <v>74</v>
      </c>
      <c r="BC843" t="s">
        <v>74</v>
      </c>
      <c r="BD843">
        <v>8503252</v>
      </c>
      <c r="BE843" t="s">
        <v>15704</v>
      </c>
      <c r="BF843" t="str">
        <f>HYPERLINK("http://dx.doi.org/10.1155/2019/8503252","http://dx.doi.org/10.1155/2019/8503252")</f>
        <v>http://dx.doi.org/10.1155/2019/8503252</v>
      </c>
      <c r="BG843" t="s">
        <v>74</v>
      </c>
      <c r="BH843" t="s">
        <v>74</v>
      </c>
      <c r="BI843">
        <v>15</v>
      </c>
      <c r="BJ843" t="s">
        <v>3970</v>
      </c>
      <c r="BK843" t="s">
        <v>98</v>
      </c>
      <c r="BL843" t="s">
        <v>3971</v>
      </c>
      <c r="BM843" t="s">
        <v>15705</v>
      </c>
      <c r="BN843" t="s">
        <v>74</v>
      </c>
      <c r="BO843" t="s">
        <v>126</v>
      </c>
      <c r="BP843" t="s">
        <v>74</v>
      </c>
      <c r="BQ843" t="s">
        <v>74</v>
      </c>
      <c r="BR843" t="s">
        <v>102</v>
      </c>
      <c r="BS843" t="s">
        <v>15706</v>
      </c>
      <c r="BT843" t="str">
        <f>HYPERLINK("https%3A%2F%2Fwww.webofscience.com%2Fwos%2Fwoscc%2Ffull-record%2FWOS:000488460000001","View Full Record in Web of Science")</f>
        <v>View Full Record in Web of Science</v>
      </c>
    </row>
    <row r="844" spans="1:72" x14ac:dyDescent="0.2">
      <c r="A844" t="s">
        <v>72</v>
      </c>
      <c r="B844" t="s">
        <v>15707</v>
      </c>
      <c r="C844" t="s">
        <v>74</v>
      </c>
      <c r="D844" t="s">
        <v>74</v>
      </c>
      <c r="E844" t="s">
        <v>74</v>
      </c>
      <c r="F844" t="s">
        <v>15708</v>
      </c>
      <c r="G844" t="s">
        <v>74</v>
      </c>
      <c r="H844" t="s">
        <v>74</v>
      </c>
      <c r="I844" t="s">
        <v>15709</v>
      </c>
      <c r="J844" t="s">
        <v>15710</v>
      </c>
      <c r="K844" t="s">
        <v>74</v>
      </c>
      <c r="L844" t="s">
        <v>74</v>
      </c>
      <c r="M844" t="s">
        <v>78</v>
      </c>
      <c r="N844" t="s">
        <v>108</v>
      </c>
      <c r="O844" t="s">
        <v>74</v>
      </c>
      <c r="P844" t="s">
        <v>74</v>
      </c>
      <c r="Q844" t="s">
        <v>74</v>
      </c>
      <c r="R844" t="s">
        <v>74</v>
      </c>
      <c r="S844" t="s">
        <v>74</v>
      </c>
      <c r="T844" t="s">
        <v>74</v>
      </c>
      <c r="U844" t="s">
        <v>15711</v>
      </c>
      <c r="V844" t="s">
        <v>15712</v>
      </c>
      <c r="W844" t="s">
        <v>15713</v>
      </c>
      <c r="X844" t="s">
        <v>15714</v>
      </c>
      <c r="Y844" t="s">
        <v>15715</v>
      </c>
      <c r="Z844" t="s">
        <v>15716</v>
      </c>
      <c r="AA844" t="s">
        <v>74</v>
      </c>
      <c r="AB844" t="s">
        <v>15717</v>
      </c>
      <c r="AC844" t="s">
        <v>15718</v>
      </c>
      <c r="AD844" t="s">
        <v>15719</v>
      </c>
      <c r="AE844" t="s">
        <v>15720</v>
      </c>
      <c r="AF844" t="s">
        <v>74</v>
      </c>
      <c r="AG844">
        <v>52</v>
      </c>
      <c r="AH844">
        <v>0</v>
      </c>
      <c r="AI844">
        <v>0</v>
      </c>
      <c r="AJ844">
        <v>2</v>
      </c>
      <c r="AK844">
        <v>10</v>
      </c>
      <c r="AL844" t="s">
        <v>15721</v>
      </c>
      <c r="AM844" t="s">
        <v>15722</v>
      </c>
      <c r="AN844" t="s">
        <v>15723</v>
      </c>
      <c r="AO844" t="s">
        <v>15724</v>
      </c>
      <c r="AP844" t="s">
        <v>15725</v>
      </c>
      <c r="AQ844" t="s">
        <v>74</v>
      </c>
      <c r="AR844" t="s">
        <v>15726</v>
      </c>
      <c r="AS844" t="s">
        <v>15727</v>
      </c>
      <c r="AT844" t="s">
        <v>15728</v>
      </c>
      <c r="AU844">
        <v>2022</v>
      </c>
      <c r="AV844">
        <v>26</v>
      </c>
      <c r="AW844">
        <v>19</v>
      </c>
      <c r="AX844" t="s">
        <v>74</v>
      </c>
      <c r="AY844" t="s">
        <v>74</v>
      </c>
      <c r="AZ844" t="s">
        <v>74</v>
      </c>
      <c r="BA844" t="s">
        <v>74</v>
      </c>
      <c r="BB844">
        <v>4823</v>
      </c>
      <c r="BC844">
        <v>4836</v>
      </c>
      <c r="BD844" t="s">
        <v>74</v>
      </c>
      <c r="BE844" t="s">
        <v>15729</v>
      </c>
      <c r="BF844" t="str">
        <f>HYPERLINK("http://dx.doi.org/10.5194/hess-26-4823-2022","http://dx.doi.org/10.5194/hess-26-4823-2022")</f>
        <v>http://dx.doi.org/10.5194/hess-26-4823-2022</v>
      </c>
      <c r="BG844" t="s">
        <v>74</v>
      </c>
      <c r="BH844" t="s">
        <v>74</v>
      </c>
      <c r="BI844">
        <v>14</v>
      </c>
      <c r="BJ844" t="s">
        <v>15730</v>
      </c>
      <c r="BK844" t="s">
        <v>98</v>
      </c>
      <c r="BL844" t="s">
        <v>15731</v>
      </c>
      <c r="BM844" t="s">
        <v>15732</v>
      </c>
      <c r="BN844" t="s">
        <v>74</v>
      </c>
      <c r="BO844" t="s">
        <v>306</v>
      </c>
      <c r="BP844" t="s">
        <v>74</v>
      </c>
      <c r="BQ844" t="s">
        <v>74</v>
      </c>
      <c r="BR844" t="s">
        <v>102</v>
      </c>
      <c r="BS844" t="s">
        <v>15733</v>
      </c>
      <c r="BT844" t="str">
        <f>HYPERLINK("https%3A%2F%2Fwww.webofscience.com%2Fwos%2Fwoscc%2Ffull-record%2FWOS:000863618800001","View Full Record in Web of Science")</f>
        <v>View Full Record in Web of Science</v>
      </c>
    </row>
    <row r="845" spans="1:72" x14ac:dyDescent="0.2">
      <c r="A845" t="s">
        <v>72</v>
      </c>
      <c r="B845" t="s">
        <v>15734</v>
      </c>
      <c r="C845" t="s">
        <v>74</v>
      </c>
      <c r="D845" t="s">
        <v>74</v>
      </c>
      <c r="E845" t="s">
        <v>74</v>
      </c>
      <c r="F845" t="s">
        <v>15735</v>
      </c>
      <c r="G845" t="s">
        <v>74</v>
      </c>
      <c r="H845" t="s">
        <v>74</v>
      </c>
      <c r="I845" t="s">
        <v>15736</v>
      </c>
      <c r="J845" t="s">
        <v>15737</v>
      </c>
      <c r="K845" t="s">
        <v>74</v>
      </c>
      <c r="L845" t="s">
        <v>74</v>
      </c>
      <c r="M845" t="s">
        <v>78</v>
      </c>
      <c r="N845" t="s">
        <v>79</v>
      </c>
      <c r="O845" t="s">
        <v>74</v>
      </c>
      <c r="P845" t="s">
        <v>74</v>
      </c>
      <c r="Q845" t="s">
        <v>74</v>
      </c>
      <c r="R845" t="s">
        <v>74</v>
      </c>
      <c r="S845" t="s">
        <v>74</v>
      </c>
      <c r="T845" t="s">
        <v>15738</v>
      </c>
      <c r="U845" t="s">
        <v>15739</v>
      </c>
      <c r="V845" t="s">
        <v>15740</v>
      </c>
      <c r="W845" t="s">
        <v>15741</v>
      </c>
      <c r="X845" t="s">
        <v>15742</v>
      </c>
      <c r="Y845" t="s">
        <v>15743</v>
      </c>
      <c r="Z845" t="s">
        <v>15744</v>
      </c>
      <c r="AA845" t="s">
        <v>15745</v>
      </c>
      <c r="AB845" t="s">
        <v>15746</v>
      </c>
      <c r="AC845" t="s">
        <v>15747</v>
      </c>
      <c r="AD845" t="s">
        <v>15748</v>
      </c>
      <c r="AE845" t="s">
        <v>15749</v>
      </c>
      <c r="AF845" t="s">
        <v>74</v>
      </c>
      <c r="AG845">
        <v>108</v>
      </c>
      <c r="AH845">
        <v>14</v>
      </c>
      <c r="AI845">
        <v>14</v>
      </c>
      <c r="AJ845">
        <v>24</v>
      </c>
      <c r="AK845">
        <v>119</v>
      </c>
      <c r="AL845" t="s">
        <v>15750</v>
      </c>
      <c r="AM845" t="s">
        <v>15751</v>
      </c>
      <c r="AN845" t="s">
        <v>15752</v>
      </c>
      <c r="AO845" t="s">
        <v>15753</v>
      </c>
      <c r="AP845" t="s">
        <v>74</v>
      </c>
      <c r="AQ845" t="s">
        <v>74</v>
      </c>
      <c r="AR845" t="s">
        <v>15754</v>
      </c>
      <c r="AS845" t="s">
        <v>15755</v>
      </c>
      <c r="AT845" t="s">
        <v>6813</v>
      </c>
      <c r="AU845">
        <v>2022</v>
      </c>
      <c r="AV845">
        <v>9</v>
      </c>
      <c r="AW845">
        <v>1</v>
      </c>
      <c r="AX845" t="s">
        <v>74</v>
      </c>
      <c r="AY845" t="s">
        <v>74</v>
      </c>
      <c r="AZ845" t="s">
        <v>74</v>
      </c>
      <c r="BA845" t="s">
        <v>74</v>
      </c>
      <c r="BB845" t="s">
        <v>74</v>
      </c>
      <c r="BC845" t="s">
        <v>74</v>
      </c>
      <c r="BD845">
        <v>2034264</v>
      </c>
      <c r="BE845" t="s">
        <v>15756</v>
      </c>
      <c r="BF845" t="str">
        <f>HYPERLINK("http://dx.doi.org/10.1080/23311916.2022.2034264","http://dx.doi.org/10.1080/23311916.2022.2034264")</f>
        <v>http://dx.doi.org/10.1080/23311916.2022.2034264</v>
      </c>
      <c r="BG845" t="s">
        <v>74</v>
      </c>
      <c r="BH845" t="s">
        <v>74</v>
      </c>
      <c r="BI845">
        <v>26</v>
      </c>
      <c r="BJ845" t="s">
        <v>2462</v>
      </c>
      <c r="BK845" t="s">
        <v>124</v>
      </c>
      <c r="BL845" t="s">
        <v>1292</v>
      </c>
      <c r="BM845" t="s">
        <v>15757</v>
      </c>
      <c r="BN845" t="s">
        <v>74</v>
      </c>
      <c r="BO845" t="s">
        <v>126</v>
      </c>
      <c r="BP845" t="s">
        <v>74</v>
      </c>
      <c r="BQ845" t="s">
        <v>74</v>
      </c>
      <c r="BR845" t="s">
        <v>102</v>
      </c>
      <c r="BS845" t="s">
        <v>15758</v>
      </c>
      <c r="BT845" t="str">
        <f>HYPERLINK("https%3A%2F%2Fwww.webofscience.com%2Fwos%2Fwoscc%2Ffull-record%2FWOS:000758659000001","View Full Record in Web of Science")</f>
        <v>View Full Record in Web of Science</v>
      </c>
    </row>
    <row r="846" spans="1:72" x14ac:dyDescent="0.2">
      <c r="A846" t="s">
        <v>72</v>
      </c>
      <c r="B846" t="s">
        <v>15759</v>
      </c>
      <c r="C846" t="s">
        <v>74</v>
      </c>
      <c r="D846" t="s">
        <v>74</v>
      </c>
      <c r="E846" t="s">
        <v>74</v>
      </c>
      <c r="F846" t="s">
        <v>15760</v>
      </c>
      <c r="G846" t="s">
        <v>74</v>
      </c>
      <c r="H846" t="s">
        <v>74</v>
      </c>
      <c r="I846" t="s">
        <v>15761</v>
      </c>
      <c r="J846" t="s">
        <v>15762</v>
      </c>
      <c r="K846" t="s">
        <v>74</v>
      </c>
      <c r="L846" t="s">
        <v>74</v>
      </c>
      <c r="M846" t="s">
        <v>78</v>
      </c>
      <c r="N846" t="s">
        <v>108</v>
      </c>
      <c r="O846" t="s">
        <v>74</v>
      </c>
      <c r="P846" t="s">
        <v>74</v>
      </c>
      <c r="Q846" t="s">
        <v>74</v>
      </c>
      <c r="R846" t="s">
        <v>74</v>
      </c>
      <c r="S846" t="s">
        <v>74</v>
      </c>
      <c r="T846" t="s">
        <v>15763</v>
      </c>
      <c r="U846" t="s">
        <v>15764</v>
      </c>
      <c r="V846" t="s">
        <v>15765</v>
      </c>
      <c r="W846" t="s">
        <v>15766</v>
      </c>
      <c r="X846" t="s">
        <v>15767</v>
      </c>
      <c r="Y846" t="s">
        <v>15768</v>
      </c>
      <c r="Z846" t="s">
        <v>15769</v>
      </c>
      <c r="AA846" t="s">
        <v>15770</v>
      </c>
      <c r="AB846" t="s">
        <v>15771</v>
      </c>
      <c r="AC846" t="s">
        <v>15772</v>
      </c>
      <c r="AD846" t="s">
        <v>15772</v>
      </c>
      <c r="AE846" t="s">
        <v>15773</v>
      </c>
      <c r="AF846" t="s">
        <v>74</v>
      </c>
      <c r="AG846">
        <v>31</v>
      </c>
      <c r="AH846">
        <v>3</v>
      </c>
      <c r="AI846">
        <v>3</v>
      </c>
      <c r="AJ846">
        <v>3</v>
      </c>
      <c r="AK846">
        <v>23</v>
      </c>
      <c r="AL846" t="s">
        <v>15774</v>
      </c>
      <c r="AM846" t="s">
        <v>15775</v>
      </c>
      <c r="AN846" t="s">
        <v>15776</v>
      </c>
      <c r="AO846" t="s">
        <v>15777</v>
      </c>
      <c r="AP846" t="s">
        <v>15778</v>
      </c>
      <c r="AQ846" t="s">
        <v>74</v>
      </c>
      <c r="AR846" t="s">
        <v>15779</v>
      </c>
      <c r="AS846" t="s">
        <v>15780</v>
      </c>
      <c r="AT846" t="s">
        <v>2778</v>
      </c>
      <c r="AU846">
        <v>2021</v>
      </c>
      <c r="AV846">
        <v>9</v>
      </c>
      <c r="AW846">
        <v>2</v>
      </c>
      <c r="AX846" t="s">
        <v>74</v>
      </c>
      <c r="AY846" t="s">
        <v>74</v>
      </c>
      <c r="AZ846" t="s">
        <v>74</v>
      </c>
      <c r="BA846" t="s">
        <v>74</v>
      </c>
      <c r="BB846">
        <v>79</v>
      </c>
      <c r="BC846">
        <v>88</v>
      </c>
      <c r="BD846" t="s">
        <v>74</v>
      </c>
      <c r="BE846" t="s">
        <v>15781</v>
      </c>
      <c r="BF846" t="str">
        <f>HYPERLINK("http://dx.doi.org/10.1089/big.2020.0047","http://dx.doi.org/10.1089/big.2020.0047")</f>
        <v>http://dx.doi.org/10.1089/big.2020.0047</v>
      </c>
      <c r="BG846" t="s">
        <v>74</v>
      </c>
      <c r="BH846" t="s">
        <v>1882</v>
      </c>
      <c r="BI846">
        <v>10</v>
      </c>
      <c r="BJ846" t="s">
        <v>15782</v>
      </c>
      <c r="BK846" t="s">
        <v>147</v>
      </c>
      <c r="BL846" t="s">
        <v>99</v>
      </c>
      <c r="BM846" t="s">
        <v>15783</v>
      </c>
      <c r="BN846">
        <v>33259727</v>
      </c>
      <c r="BO846" t="s">
        <v>74</v>
      </c>
      <c r="BP846" t="s">
        <v>74</v>
      </c>
      <c r="BQ846" t="s">
        <v>74</v>
      </c>
      <c r="BR846" t="s">
        <v>102</v>
      </c>
      <c r="BS846" t="s">
        <v>15784</v>
      </c>
      <c r="BT846" t="str">
        <f>HYPERLINK("https%3A%2F%2Fwww.webofscience.com%2Fwos%2Fwoscc%2Ffull-record%2FWOS:000595030500001","View Full Record in Web of Science")</f>
        <v>View Full Record in Web of Science</v>
      </c>
    </row>
    <row r="847" spans="1:72" x14ac:dyDescent="0.2">
      <c r="A847" t="s">
        <v>72</v>
      </c>
      <c r="B847" t="s">
        <v>15785</v>
      </c>
      <c r="C847" t="s">
        <v>74</v>
      </c>
      <c r="D847" t="s">
        <v>74</v>
      </c>
      <c r="E847" t="s">
        <v>74</v>
      </c>
      <c r="F847" t="s">
        <v>15786</v>
      </c>
      <c r="G847" t="s">
        <v>74</v>
      </c>
      <c r="H847" t="s">
        <v>74</v>
      </c>
      <c r="I847" t="s">
        <v>15787</v>
      </c>
      <c r="J847" t="s">
        <v>15788</v>
      </c>
      <c r="K847" t="s">
        <v>74</v>
      </c>
      <c r="L847" t="s">
        <v>74</v>
      </c>
      <c r="M847" t="s">
        <v>78</v>
      </c>
      <c r="N847" t="s">
        <v>108</v>
      </c>
      <c r="O847" t="s">
        <v>74</v>
      </c>
      <c r="P847" t="s">
        <v>74</v>
      </c>
      <c r="Q847" t="s">
        <v>74</v>
      </c>
      <c r="R847" t="s">
        <v>74</v>
      </c>
      <c r="S847" t="s">
        <v>74</v>
      </c>
      <c r="T847" t="s">
        <v>15789</v>
      </c>
      <c r="U847" t="s">
        <v>15790</v>
      </c>
      <c r="V847" t="s">
        <v>15791</v>
      </c>
      <c r="W847" t="s">
        <v>15792</v>
      </c>
      <c r="X847" t="s">
        <v>15793</v>
      </c>
      <c r="Y847" t="s">
        <v>15794</v>
      </c>
      <c r="Z847" t="s">
        <v>15795</v>
      </c>
      <c r="AA847" t="s">
        <v>74</v>
      </c>
      <c r="AB847" t="s">
        <v>15796</v>
      </c>
      <c r="AC847" t="s">
        <v>15797</v>
      </c>
      <c r="AD847" t="s">
        <v>15798</v>
      </c>
      <c r="AE847" t="s">
        <v>15799</v>
      </c>
      <c r="AF847" t="s">
        <v>74</v>
      </c>
      <c r="AG847">
        <v>112</v>
      </c>
      <c r="AH847">
        <v>1</v>
      </c>
      <c r="AI847">
        <v>1</v>
      </c>
      <c r="AJ847">
        <v>11</v>
      </c>
      <c r="AK847">
        <v>32</v>
      </c>
      <c r="AL847" t="s">
        <v>116</v>
      </c>
      <c r="AM847" t="s">
        <v>117</v>
      </c>
      <c r="AN847" t="s">
        <v>118</v>
      </c>
      <c r="AO847" t="s">
        <v>74</v>
      </c>
      <c r="AP847" t="s">
        <v>15800</v>
      </c>
      <c r="AQ847" t="s">
        <v>74</v>
      </c>
      <c r="AR847" t="s">
        <v>15801</v>
      </c>
      <c r="AS847" t="s">
        <v>15802</v>
      </c>
      <c r="AT847" t="s">
        <v>174</v>
      </c>
      <c r="AU847">
        <v>2022</v>
      </c>
      <c r="AV847">
        <v>19</v>
      </c>
      <c r="AW847">
        <v>19</v>
      </c>
      <c r="AX847" t="s">
        <v>74</v>
      </c>
      <c r="AY847" t="s">
        <v>74</v>
      </c>
      <c r="AZ847" t="s">
        <v>74</v>
      </c>
      <c r="BA847" t="s">
        <v>74</v>
      </c>
      <c r="BB847" t="s">
        <v>74</v>
      </c>
      <c r="BC847" t="s">
        <v>74</v>
      </c>
      <c r="BD847">
        <v>12508</v>
      </c>
      <c r="BE847" t="s">
        <v>15803</v>
      </c>
      <c r="BF847" t="str">
        <f>HYPERLINK("http://dx.doi.org/10.3390/ijerph191912508","http://dx.doi.org/10.3390/ijerph191912508")</f>
        <v>http://dx.doi.org/10.3390/ijerph191912508</v>
      </c>
      <c r="BG847" t="s">
        <v>74</v>
      </c>
      <c r="BH847" t="s">
        <v>74</v>
      </c>
      <c r="BI847">
        <v>25</v>
      </c>
      <c r="BJ847" t="s">
        <v>15804</v>
      </c>
      <c r="BK847" t="s">
        <v>147</v>
      </c>
      <c r="BL847" t="s">
        <v>15805</v>
      </c>
      <c r="BM847" t="s">
        <v>15806</v>
      </c>
      <c r="BN847">
        <v>36231804</v>
      </c>
      <c r="BO847" t="s">
        <v>623</v>
      </c>
      <c r="BP847" t="s">
        <v>74</v>
      </c>
      <c r="BQ847" t="s">
        <v>74</v>
      </c>
      <c r="BR847" t="s">
        <v>102</v>
      </c>
      <c r="BS847" t="s">
        <v>15807</v>
      </c>
      <c r="BT847" t="str">
        <f>HYPERLINK("https%3A%2F%2Fwww.webofscience.com%2Fwos%2Fwoscc%2Ffull-record%2FWOS:000867980000001","View Full Record in Web of Science")</f>
        <v>View Full Record in Web of Science</v>
      </c>
    </row>
    <row r="848" spans="1:72" x14ac:dyDescent="0.2">
      <c r="A848" t="s">
        <v>72</v>
      </c>
      <c r="B848" t="s">
        <v>15808</v>
      </c>
      <c r="C848" t="s">
        <v>74</v>
      </c>
      <c r="D848" t="s">
        <v>74</v>
      </c>
      <c r="E848" t="s">
        <v>74</v>
      </c>
      <c r="F848" t="s">
        <v>15809</v>
      </c>
      <c r="G848" t="s">
        <v>74</v>
      </c>
      <c r="H848" t="s">
        <v>74</v>
      </c>
      <c r="I848" t="s">
        <v>15810</v>
      </c>
      <c r="J848" t="s">
        <v>4045</v>
      </c>
      <c r="K848" t="s">
        <v>74</v>
      </c>
      <c r="L848" t="s">
        <v>74</v>
      </c>
      <c r="M848" t="s">
        <v>78</v>
      </c>
      <c r="N848" t="s">
        <v>108</v>
      </c>
      <c r="O848" t="s">
        <v>74</v>
      </c>
      <c r="P848" t="s">
        <v>74</v>
      </c>
      <c r="Q848" t="s">
        <v>74</v>
      </c>
      <c r="R848" t="s">
        <v>74</v>
      </c>
      <c r="S848" t="s">
        <v>74</v>
      </c>
      <c r="T848" t="s">
        <v>15811</v>
      </c>
      <c r="U848" t="s">
        <v>15812</v>
      </c>
      <c r="V848" t="s">
        <v>15813</v>
      </c>
      <c r="W848" t="s">
        <v>15814</v>
      </c>
      <c r="X848" t="s">
        <v>15815</v>
      </c>
      <c r="Y848" t="s">
        <v>15816</v>
      </c>
      <c r="Z848" t="s">
        <v>15817</v>
      </c>
      <c r="AA848" t="s">
        <v>15818</v>
      </c>
      <c r="AB848" t="s">
        <v>15819</v>
      </c>
      <c r="AC848" t="s">
        <v>15820</v>
      </c>
      <c r="AD848" t="s">
        <v>15821</v>
      </c>
      <c r="AE848" t="s">
        <v>15822</v>
      </c>
      <c r="AF848" t="s">
        <v>74</v>
      </c>
      <c r="AG848">
        <v>108</v>
      </c>
      <c r="AH848">
        <v>67</v>
      </c>
      <c r="AI848">
        <v>69</v>
      </c>
      <c r="AJ848">
        <v>2</v>
      </c>
      <c r="AK848">
        <v>75</v>
      </c>
      <c r="AL848" t="s">
        <v>409</v>
      </c>
      <c r="AM848" t="s">
        <v>410</v>
      </c>
      <c r="AN848" t="s">
        <v>411</v>
      </c>
      <c r="AO848" t="s">
        <v>4055</v>
      </c>
      <c r="AP848" t="s">
        <v>4056</v>
      </c>
      <c r="AQ848" t="s">
        <v>74</v>
      </c>
      <c r="AR848" t="s">
        <v>4057</v>
      </c>
      <c r="AS848" t="s">
        <v>4058</v>
      </c>
      <c r="AT848" t="s">
        <v>3419</v>
      </c>
      <c r="AU848">
        <v>2018</v>
      </c>
      <c r="AV848">
        <v>26</v>
      </c>
      <c r="AW848">
        <v>1</v>
      </c>
      <c r="AX848" t="s">
        <v>74</v>
      </c>
      <c r="AY848" t="s">
        <v>74</v>
      </c>
      <c r="AZ848" t="s">
        <v>74</v>
      </c>
      <c r="BA848" t="s">
        <v>74</v>
      </c>
      <c r="BB848">
        <v>1</v>
      </c>
      <c r="BC848">
        <v>17</v>
      </c>
      <c r="BD848" t="s">
        <v>74</v>
      </c>
      <c r="BE848" t="s">
        <v>15823</v>
      </c>
      <c r="BF848" t="str">
        <f>HYPERLINK("http://dx.doi.org/10.1002/sd.1687","http://dx.doi.org/10.1002/sd.1687")</f>
        <v>http://dx.doi.org/10.1002/sd.1687</v>
      </c>
      <c r="BG848" t="s">
        <v>74</v>
      </c>
      <c r="BH848" t="s">
        <v>74</v>
      </c>
      <c r="BI848">
        <v>17</v>
      </c>
      <c r="BJ848" t="s">
        <v>4061</v>
      </c>
      <c r="BK848" t="s">
        <v>242</v>
      </c>
      <c r="BL848" t="s">
        <v>4062</v>
      </c>
      <c r="BM848" t="s">
        <v>15824</v>
      </c>
      <c r="BN848" t="s">
        <v>74</v>
      </c>
      <c r="BO848" t="s">
        <v>804</v>
      </c>
      <c r="BP848" t="s">
        <v>74</v>
      </c>
      <c r="BQ848" t="s">
        <v>74</v>
      </c>
      <c r="BR848" t="s">
        <v>102</v>
      </c>
      <c r="BS848" t="s">
        <v>15825</v>
      </c>
      <c r="BT848" t="str">
        <f>HYPERLINK("https%3A%2F%2Fwww.webofscience.com%2Fwos%2Fwoscc%2Ffull-record%2FWOS:000424392200001","View Full Record in Web of Science")</f>
        <v>View Full Record in Web of Science</v>
      </c>
    </row>
    <row r="849" spans="1:72" x14ac:dyDescent="0.2">
      <c r="A849" t="s">
        <v>72</v>
      </c>
      <c r="B849" t="s">
        <v>15826</v>
      </c>
      <c r="C849" t="s">
        <v>74</v>
      </c>
      <c r="D849" t="s">
        <v>74</v>
      </c>
      <c r="E849" t="s">
        <v>74</v>
      </c>
      <c r="F849" t="s">
        <v>15827</v>
      </c>
      <c r="G849" t="s">
        <v>74</v>
      </c>
      <c r="H849" t="s">
        <v>74</v>
      </c>
      <c r="I849" t="s">
        <v>15828</v>
      </c>
      <c r="J849" t="s">
        <v>14507</v>
      </c>
      <c r="K849" t="s">
        <v>74</v>
      </c>
      <c r="L849" t="s">
        <v>74</v>
      </c>
      <c r="M849" t="s">
        <v>78</v>
      </c>
      <c r="N849" t="s">
        <v>108</v>
      </c>
      <c r="O849" t="s">
        <v>74</v>
      </c>
      <c r="P849" t="s">
        <v>74</v>
      </c>
      <c r="Q849" t="s">
        <v>74</v>
      </c>
      <c r="R849" t="s">
        <v>74</v>
      </c>
      <c r="S849" t="s">
        <v>74</v>
      </c>
      <c r="T849" t="s">
        <v>15829</v>
      </c>
      <c r="U849" t="s">
        <v>2570</v>
      </c>
      <c r="V849" t="s">
        <v>15830</v>
      </c>
      <c r="W849" t="s">
        <v>15831</v>
      </c>
      <c r="X849" t="s">
        <v>15832</v>
      </c>
      <c r="Y849" t="s">
        <v>15833</v>
      </c>
      <c r="Z849" t="s">
        <v>15834</v>
      </c>
      <c r="AA849" t="s">
        <v>15835</v>
      </c>
      <c r="AB849" t="s">
        <v>15836</v>
      </c>
      <c r="AC849" t="s">
        <v>74</v>
      </c>
      <c r="AD849" t="s">
        <v>74</v>
      </c>
      <c r="AE849" t="s">
        <v>74</v>
      </c>
      <c r="AF849" t="s">
        <v>74</v>
      </c>
      <c r="AG849">
        <v>20</v>
      </c>
      <c r="AH849">
        <v>0</v>
      </c>
      <c r="AI849">
        <v>0</v>
      </c>
      <c r="AJ849">
        <v>0</v>
      </c>
      <c r="AK849">
        <v>2</v>
      </c>
      <c r="AL849" t="s">
        <v>409</v>
      </c>
      <c r="AM849" t="s">
        <v>410</v>
      </c>
      <c r="AN849" t="s">
        <v>411</v>
      </c>
      <c r="AO849" t="s">
        <v>14518</v>
      </c>
      <c r="AP849" t="s">
        <v>14519</v>
      </c>
      <c r="AQ849" t="s">
        <v>74</v>
      </c>
      <c r="AR849" t="s">
        <v>14520</v>
      </c>
      <c r="AS849" t="s">
        <v>14521</v>
      </c>
      <c r="AT849" t="s">
        <v>174</v>
      </c>
      <c r="AU849">
        <v>2018</v>
      </c>
      <c r="AV849">
        <v>34</v>
      </c>
      <c r="AW849">
        <v>6</v>
      </c>
      <c r="AX849" t="s">
        <v>74</v>
      </c>
      <c r="AY849" t="s">
        <v>74</v>
      </c>
      <c r="AZ849" t="s">
        <v>74</v>
      </c>
      <c r="BA849" t="s">
        <v>74</v>
      </c>
      <c r="BB849">
        <v>1271</v>
      </c>
      <c r="BC849">
        <v>1288</v>
      </c>
      <c r="BD849" t="s">
        <v>74</v>
      </c>
      <c r="BE849" t="s">
        <v>15837</v>
      </c>
      <c r="BF849" t="str">
        <f>HYPERLINK("http://dx.doi.org/10.1002/qre.2324","http://dx.doi.org/10.1002/qre.2324")</f>
        <v>http://dx.doi.org/10.1002/qre.2324</v>
      </c>
      <c r="BG849" t="s">
        <v>74</v>
      </c>
      <c r="BH849" t="s">
        <v>74</v>
      </c>
      <c r="BI849">
        <v>18</v>
      </c>
      <c r="BJ849" t="s">
        <v>11494</v>
      </c>
      <c r="BK849" t="s">
        <v>98</v>
      </c>
      <c r="BL849" t="s">
        <v>781</v>
      </c>
      <c r="BM849" t="s">
        <v>15838</v>
      </c>
      <c r="BN849" t="s">
        <v>74</v>
      </c>
      <c r="BO849" t="s">
        <v>74</v>
      </c>
      <c r="BP849" t="s">
        <v>74</v>
      </c>
      <c r="BQ849" t="s">
        <v>74</v>
      </c>
      <c r="BR849" t="s">
        <v>102</v>
      </c>
      <c r="BS849" t="s">
        <v>15839</v>
      </c>
      <c r="BT849" t="str">
        <f>HYPERLINK("https%3A%2F%2Fwww.webofscience.com%2Fwos%2Fwoscc%2Ffull-record%2FWOS:000444966500022","View Full Record in Web of Science")</f>
        <v>View Full Record in Web of Science</v>
      </c>
    </row>
    <row r="850" spans="1:72" x14ac:dyDescent="0.2">
      <c r="A850" t="s">
        <v>72</v>
      </c>
      <c r="B850" t="s">
        <v>15840</v>
      </c>
      <c r="C850" t="s">
        <v>74</v>
      </c>
      <c r="D850" t="s">
        <v>74</v>
      </c>
      <c r="E850" t="s">
        <v>74</v>
      </c>
      <c r="F850" t="s">
        <v>15841</v>
      </c>
      <c r="G850" t="s">
        <v>74</v>
      </c>
      <c r="H850" t="s">
        <v>74</v>
      </c>
      <c r="I850" t="s">
        <v>15842</v>
      </c>
      <c r="J850" t="s">
        <v>15843</v>
      </c>
      <c r="K850" t="s">
        <v>74</v>
      </c>
      <c r="L850" t="s">
        <v>74</v>
      </c>
      <c r="M850" t="s">
        <v>78</v>
      </c>
      <c r="N850" t="s">
        <v>108</v>
      </c>
      <c r="O850" t="s">
        <v>74</v>
      </c>
      <c r="P850" t="s">
        <v>74</v>
      </c>
      <c r="Q850" t="s">
        <v>74</v>
      </c>
      <c r="R850" t="s">
        <v>74</v>
      </c>
      <c r="S850" t="s">
        <v>74</v>
      </c>
      <c r="T850" t="s">
        <v>15844</v>
      </c>
      <c r="U850" t="s">
        <v>74</v>
      </c>
      <c r="V850" t="s">
        <v>15845</v>
      </c>
      <c r="W850" t="s">
        <v>15846</v>
      </c>
      <c r="X850" t="s">
        <v>15847</v>
      </c>
      <c r="Y850" t="s">
        <v>15848</v>
      </c>
      <c r="Z850" t="s">
        <v>15849</v>
      </c>
      <c r="AA850" t="s">
        <v>74</v>
      </c>
      <c r="AB850" t="s">
        <v>15850</v>
      </c>
      <c r="AC850" t="s">
        <v>15851</v>
      </c>
      <c r="AD850" t="s">
        <v>15851</v>
      </c>
      <c r="AE850" t="s">
        <v>15852</v>
      </c>
      <c r="AF850" t="s">
        <v>74</v>
      </c>
      <c r="AG850">
        <v>41</v>
      </c>
      <c r="AH850">
        <v>1</v>
      </c>
      <c r="AI850">
        <v>1</v>
      </c>
      <c r="AJ850">
        <v>6</v>
      </c>
      <c r="AK850">
        <v>8</v>
      </c>
      <c r="AL850" t="s">
        <v>321</v>
      </c>
      <c r="AM850" t="s">
        <v>322</v>
      </c>
      <c r="AN850" t="s">
        <v>323</v>
      </c>
      <c r="AO850" t="s">
        <v>15853</v>
      </c>
      <c r="AP850" t="s">
        <v>15854</v>
      </c>
      <c r="AQ850" t="s">
        <v>74</v>
      </c>
      <c r="AR850" t="s">
        <v>15843</v>
      </c>
      <c r="AS850" t="s">
        <v>15855</v>
      </c>
      <c r="AT850" t="s">
        <v>738</v>
      </c>
      <c r="AU850">
        <v>2023</v>
      </c>
      <c r="AV850">
        <v>50</v>
      </c>
      <c r="AW850">
        <v>1</v>
      </c>
      <c r="AX850" t="s">
        <v>74</v>
      </c>
      <c r="AY850" t="s">
        <v>74</v>
      </c>
      <c r="AZ850" t="s">
        <v>570</v>
      </c>
      <c r="BA850" t="s">
        <v>74</v>
      </c>
      <c r="BB850">
        <v>7</v>
      </c>
      <c r="BC850">
        <v>33</v>
      </c>
      <c r="BD850" t="s">
        <v>74</v>
      </c>
      <c r="BE850" t="s">
        <v>15856</v>
      </c>
      <c r="BF850" t="str">
        <f>HYPERLINK("http://dx.doi.org/10.1007/s10663-022-09560-x","http://dx.doi.org/10.1007/s10663-022-09560-x")</f>
        <v>http://dx.doi.org/10.1007/s10663-022-09560-x</v>
      </c>
      <c r="BG850" t="s">
        <v>74</v>
      </c>
      <c r="BH850" t="s">
        <v>740</v>
      </c>
      <c r="BI850">
        <v>27</v>
      </c>
      <c r="BJ850" t="s">
        <v>1661</v>
      </c>
      <c r="BK850" t="s">
        <v>242</v>
      </c>
      <c r="BL850" t="s">
        <v>419</v>
      </c>
      <c r="BM850" t="s">
        <v>15857</v>
      </c>
      <c r="BN850">
        <v>36588823</v>
      </c>
      <c r="BO850" t="s">
        <v>1138</v>
      </c>
      <c r="BP850" t="s">
        <v>74</v>
      </c>
      <c r="BQ850" t="s">
        <v>74</v>
      </c>
      <c r="BR850" t="s">
        <v>102</v>
      </c>
      <c r="BS850" t="s">
        <v>15858</v>
      </c>
      <c r="BT850" t="str">
        <f>HYPERLINK("https%3A%2F%2Fwww.webofscience.com%2Fwos%2Fwoscc%2Ffull-record%2FWOS:000905509400001","View Full Record in Web of Science")</f>
        <v>View Full Record in Web of Science</v>
      </c>
    </row>
    <row r="851" spans="1:72" x14ac:dyDescent="0.2">
      <c r="A851" t="s">
        <v>72</v>
      </c>
      <c r="B851" t="s">
        <v>15859</v>
      </c>
      <c r="C851" t="s">
        <v>74</v>
      </c>
      <c r="D851" t="s">
        <v>74</v>
      </c>
      <c r="E851" t="s">
        <v>74</v>
      </c>
      <c r="F851" t="s">
        <v>15860</v>
      </c>
      <c r="G851" t="s">
        <v>74</v>
      </c>
      <c r="H851" t="s">
        <v>74</v>
      </c>
      <c r="I851" t="s">
        <v>15861</v>
      </c>
      <c r="J851" t="s">
        <v>15862</v>
      </c>
      <c r="K851" t="s">
        <v>74</v>
      </c>
      <c r="L851" t="s">
        <v>74</v>
      </c>
      <c r="M851" t="s">
        <v>78</v>
      </c>
      <c r="N851" t="s">
        <v>108</v>
      </c>
      <c r="O851" t="s">
        <v>74</v>
      </c>
      <c r="P851" t="s">
        <v>74</v>
      </c>
      <c r="Q851" t="s">
        <v>74</v>
      </c>
      <c r="R851" t="s">
        <v>74</v>
      </c>
      <c r="S851" t="s">
        <v>74</v>
      </c>
      <c r="T851" t="s">
        <v>15863</v>
      </c>
      <c r="U851" t="s">
        <v>74</v>
      </c>
      <c r="V851" t="s">
        <v>15864</v>
      </c>
      <c r="W851" t="s">
        <v>15865</v>
      </c>
      <c r="X851" t="s">
        <v>15866</v>
      </c>
      <c r="Y851" t="s">
        <v>15867</v>
      </c>
      <c r="Z851" t="s">
        <v>15868</v>
      </c>
      <c r="AA851" t="s">
        <v>74</v>
      </c>
      <c r="AB851" t="s">
        <v>15869</v>
      </c>
      <c r="AC851" t="s">
        <v>15870</v>
      </c>
      <c r="AD851" t="s">
        <v>15871</v>
      </c>
      <c r="AE851" t="s">
        <v>15872</v>
      </c>
      <c r="AF851" t="s">
        <v>74</v>
      </c>
      <c r="AG851">
        <v>34</v>
      </c>
      <c r="AH851">
        <v>0</v>
      </c>
      <c r="AI851">
        <v>0</v>
      </c>
      <c r="AJ851">
        <v>6</v>
      </c>
      <c r="AK851">
        <v>10</v>
      </c>
      <c r="AL851" t="s">
        <v>2752</v>
      </c>
      <c r="AM851" t="s">
        <v>2753</v>
      </c>
      <c r="AN851" t="s">
        <v>2754</v>
      </c>
      <c r="AO851" t="s">
        <v>15873</v>
      </c>
      <c r="AP851" t="s">
        <v>15874</v>
      </c>
      <c r="AQ851" t="s">
        <v>74</v>
      </c>
      <c r="AR851" t="s">
        <v>15875</v>
      </c>
      <c r="AS851" t="s">
        <v>15876</v>
      </c>
      <c r="AT851" t="s">
        <v>2503</v>
      </c>
      <c r="AU851">
        <v>2023</v>
      </c>
      <c r="AV851">
        <v>32</v>
      </c>
      <c r="AW851">
        <v>10</v>
      </c>
      <c r="AX851" t="s">
        <v>74</v>
      </c>
      <c r="AY851" t="s">
        <v>74</v>
      </c>
      <c r="AZ851" t="s">
        <v>74</v>
      </c>
      <c r="BA851" t="s">
        <v>74</v>
      </c>
      <c r="BB851" t="s">
        <v>74</v>
      </c>
      <c r="BC851" t="s">
        <v>74</v>
      </c>
      <c r="BD851" t="s">
        <v>74</v>
      </c>
      <c r="BE851" t="s">
        <v>15877</v>
      </c>
      <c r="BF851" t="str">
        <f>HYPERLINK("http://dx.doi.org/10.1142/S0218126623501700","http://dx.doi.org/10.1142/S0218126623501700")</f>
        <v>http://dx.doi.org/10.1142/S0218126623501700</v>
      </c>
      <c r="BG851" t="s">
        <v>74</v>
      </c>
      <c r="BH851" t="s">
        <v>6185</v>
      </c>
      <c r="BI851">
        <v>13</v>
      </c>
      <c r="BJ851" t="s">
        <v>8964</v>
      </c>
      <c r="BK851" t="s">
        <v>98</v>
      </c>
      <c r="BL851" t="s">
        <v>269</v>
      </c>
      <c r="BM851" t="s">
        <v>15878</v>
      </c>
      <c r="BN851" t="s">
        <v>74</v>
      </c>
      <c r="BO851" t="s">
        <v>74</v>
      </c>
      <c r="BP851" t="s">
        <v>74</v>
      </c>
      <c r="BQ851" t="s">
        <v>74</v>
      </c>
      <c r="BR851" t="s">
        <v>102</v>
      </c>
      <c r="BS851" t="s">
        <v>15879</v>
      </c>
      <c r="BT851" t="str">
        <f>HYPERLINK("https%3A%2F%2Fwww.webofscience.com%2Fwos%2Fwoscc%2Ffull-record%2FWOS:000938040800003","View Full Record in Web of Science")</f>
        <v>View Full Record in Web of Science</v>
      </c>
    </row>
    <row r="852" spans="1:72" x14ac:dyDescent="0.2">
      <c r="A852" t="s">
        <v>72</v>
      </c>
      <c r="B852" t="s">
        <v>15880</v>
      </c>
      <c r="C852" t="s">
        <v>74</v>
      </c>
      <c r="D852" t="s">
        <v>74</v>
      </c>
      <c r="E852" t="s">
        <v>74</v>
      </c>
      <c r="F852" t="s">
        <v>15881</v>
      </c>
      <c r="G852" t="s">
        <v>74</v>
      </c>
      <c r="H852" t="s">
        <v>74</v>
      </c>
      <c r="I852" t="s">
        <v>15882</v>
      </c>
      <c r="J852" t="s">
        <v>15883</v>
      </c>
      <c r="K852" t="s">
        <v>74</v>
      </c>
      <c r="L852" t="s">
        <v>74</v>
      </c>
      <c r="M852" t="s">
        <v>78</v>
      </c>
      <c r="N852" t="s">
        <v>108</v>
      </c>
      <c r="O852" t="s">
        <v>74</v>
      </c>
      <c r="P852" t="s">
        <v>74</v>
      </c>
      <c r="Q852" t="s">
        <v>74</v>
      </c>
      <c r="R852" t="s">
        <v>74</v>
      </c>
      <c r="S852" t="s">
        <v>74</v>
      </c>
      <c r="T852" t="s">
        <v>15884</v>
      </c>
      <c r="U852" t="s">
        <v>15885</v>
      </c>
      <c r="V852" t="s">
        <v>15886</v>
      </c>
      <c r="W852" t="s">
        <v>15887</v>
      </c>
      <c r="X852" t="s">
        <v>15888</v>
      </c>
      <c r="Y852" t="s">
        <v>15889</v>
      </c>
      <c r="Z852" t="s">
        <v>15890</v>
      </c>
      <c r="AA852" t="s">
        <v>74</v>
      </c>
      <c r="AB852" t="s">
        <v>74</v>
      </c>
      <c r="AC852" t="s">
        <v>74</v>
      </c>
      <c r="AD852" t="s">
        <v>74</v>
      </c>
      <c r="AE852" t="s">
        <v>74</v>
      </c>
      <c r="AF852" t="s">
        <v>74</v>
      </c>
      <c r="AG852">
        <v>42</v>
      </c>
      <c r="AH852">
        <v>1</v>
      </c>
      <c r="AI852">
        <v>1</v>
      </c>
      <c r="AJ852">
        <v>0</v>
      </c>
      <c r="AK852">
        <v>29</v>
      </c>
      <c r="AL852" t="s">
        <v>4005</v>
      </c>
      <c r="AM852" t="s">
        <v>4006</v>
      </c>
      <c r="AN852" t="s">
        <v>4007</v>
      </c>
      <c r="AO852" t="s">
        <v>15891</v>
      </c>
      <c r="AP852" t="s">
        <v>15892</v>
      </c>
      <c r="AQ852" t="s">
        <v>74</v>
      </c>
      <c r="AR852" t="s">
        <v>15893</v>
      </c>
      <c r="AS852" t="s">
        <v>15894</v>
      </c>
      <c r="AT852" t="s">
        <v>216</v>
      </c>
      <c r="AU852">
        <v>2017</v>
      </c>
      <c r="AV852">
        <v>7</v>
      </c>
      <c r="AW852">
        <v>3</v>
      </c>
      <c r="AX852" t="s">
        <v>74</v>
      </c>
      <c r="AY852" t="s">
        <v>74</v>
      </c>
      <c r="AZ852" t="s">
        <v>74</v>
      </c>
      <c r="BA852" t="s">
        <v>74</v>
      </c>
      <c r="BB852">
        <v>375</v>
      </c>
      <c r="BC852">
        <v>388</v>
      </c>
      <c r="BD852" t="s">
        <v>74</v>
      </c>
      <c r="BE852" t="s">
        <v>15895</v>
      </c>
      <c r="BF852" t="str">
        <f>HYPERLINK("http://dx.doi.org/10.1007/s40821-016-0059-z","http://dx.doi.org/10.1007/s40821-016-0059-z")</f>
        <v>http://dx.doi.org/10.1007/s40821-016-0059-z</v>
      </c>
      <c r="BG852" t="s">
        <v>74</v>
      </c>
      <c r="BH852" t="s">
        <v>74</v>
      </c>
      <c r="BI852">
        <v>14</v>
      </c>
      <c r="BJ852" t="s">
        <v>1705</v>
      </c>
      <c r="BK852" t="s">
        <v>242</v>
      </c>
      <c r="BL852" t="s">
        <v>419</v>
      </c>
      <c r="BM852" t="s">
        <v>15896</v>
      </c>
      <c r="BN852" t="s">
        <v>74</v>
      </c>
      <c r="BO852" t="s">
        <v>74</v>
      </c>
      <c r="BP852" t="s">
        <v>74</v>
      </c>
      <c r="BQ852" t="s">
        <v>74</v>
      </c>
      <c r="BR852" t="s">
        <v>102</v>
      </c>
      <c r="BS852" t="s">
        <v>15897</v>
      </c>
      <c r="BT852" t="str">
        <f>HYPERLINK("https%3A%2F%2Fwww.webofscience.com%2Fwos%2Fwoscc%2Ffull-record%2FWOS:000413856800003","View Full Record in Web of Science")</f>
        <v>View Full Record in Web of Science</v>
      </c>
    </row>
    <row r="853" spans="1:72" x14ac:dyDescent="0.2">
      <c r="A853" t="s">
        <v>72</v>
      </c>
      <c r="B853" t="s">
        <v>15898</v>
      </c>
      <c r="C853" t="s">
        <v>74</v>
      </c>
      <c r="D853" t="s">
        <v>74</v>
      </c>
      <c r="E853" t="s">
        <v>74</v>
      </c>
      <c r="F853" t="s">
        <v>15899</v>
      </c>
      <c r="G853" t="s">
        <v>74</v>
      </c>
      <c r="H853" t="s">
        <v>74</v>
      </c>
      <c r="I853" t="s">
        <v>15900</v>
      </c>
      <c r="J853" t="s">
        <v>15901</v>
      </c>
      <c r="K853" t="s">
        <v>74</v>
      </c>
      <c r="L853" t="s">
        <v>74</v>
      </c>
      <c r="M853" t="s">
        <v>78</v>
      </c>
      <c r="N853" t="s">
        <v>108</v>
      </c>
      <c r="O853" t="s">
        <v>74</v>
      </c>
      <c r="P853" t="s">
        <v>74</v>
      </c>
      <c r="Q853" t="s">
        <v>74</v>
      </c>
      <c r="R853" t="s">
        <v>74</v>
      </c>
      <c r="S853" t="s">
        <v>74</v>
      </c>
      <c r="T853" t="s">
        <v>15902</v>
      </c>
      <c r="U853" t="s">
        <v>74</v>
      </c>
      <c r="V853" t="s">
        <v>15903</v>
      </c>
      <c r="W853" t="s">
        <v>15904</v>
      </c>
      <c r="X853" t="s">
        <v>15905</v>
      </c>
      <c r="Y853" t="s">
        <v>15906</v>
      </c>
      <c r="Z853" t="s">
        <v>15907</v>
      </c>
      <c r="AA853" t="s">
        <v>15908</v>
      </c>
      <c r="AB853" t="s">
        <v>15909</v>
      </c>
      <c r="AC853" t="s">
        <v>15910</v>
      </c>
      <c r="AD853" t="s">
        <v>15911</v>
      </c>
      <c r="AE853" t="s">
        <v>15912</v>
      </c>
      <c r="AF853" t="s">
        <v>74</v>
      </c>
      <c r="AG853">
        <v>28</v>
      </c>
      <c r="AH853">
        <v>1</v>
      </c>
      <c r="AI853">
        <v>1</v>
      </c>
      <c r="AJ853">
        <v>4</v>
      </c>
      <c r="AK853">
        <v>15</v>
      </c>
      <c r="AL853" t="s">
        <v>167</v>
      </c>
      <c r="AM853" t="s">
        <v>168</v>
      </c>
      <c r="AN853" t="s">
        <v>169</v>
      </c>
      <c r="AO853" t="s">
        <v>15913</v>
      </c>
      <c r="AP853" t="s">
        <v>15914</v>
      </c>
      <c r="AQ853" t="s">
        <v>74</v>
      </c>
      <c r="AR853" t="s">
        <v>15915</v>
      </c>
      <c r="AS853" t="s">
        <v>15916</v>
      </c>
      <c r="AT853" t="s">
        <v>74</v>
      </c>
      <c r="AU853">
        <v>2022</v>
      </c>
      <c r="AV853">
        <v>71</v>
      </c>
      <c r="AW853" t="s">
        <v>74</v>
      </c>
      <c r="AX853" t="s">
        <v>74</v>
      </c>
      <c r="AY853" t="s">
        <v>74</v>
      </c>
      <c r="AZ853" t="s">
        <v>74</v>
      </c>
      <c r="BA853" t="s">
        <v>74</v>
      </c>
      <c r="BB853" t="s">
        <v>74</v>
      </c>
      <c r="BC853" t="s">
        <v>74</v>
      </c>
      <c r="BD853">
        <v>5020814</v>
      </c>
      <c r="BE853" t="s">
        <v>15917</v>
      </c>
      <c r="BF853" t="str">
        <f>HYPERLINK("http://dx.doi.org/10.1109/TIM.2022.3204091","http://dx.doi.org/10.1109/TIM.2022.3204091")</f>
        <v>http://dx.doi.org/10.1109/TIM.2022.3204091</v>
      </c>
      <c r="BG853" t="s">
        <v>74</v>
      </c>
      <c r="BH853" t="s">
        <v>74</v>
      </c>
      <c r="BI853">
        <v>14</v>
      </c>
      <c r="BJ853" t="s">
        <v>15918</v>
      </c>
      <c r="BK853" t="s">
        <v>98</v>
      </c>
      <c r="BL853" t="s">
        <v>2157</v>
      </c>
      <c r="BM853" t="s">
        <v>15919</v>
      </c>
      <c r="BN853" t="s">
        <v>74</v>
      </c>
      <c r="BO853" t="s">
        <v>74</v>
      </c>
      <c r="BP853" t="s">
        <v>74</v>
      </c>
      <c r="BQ853" t="s">
        <v>74</v>
      </c>
      <c r="BR853" t="s">
        <v>102</v>
      </c>
      <c r="BS853" t="s">
        <v>15920</v>
      </c>
      <c r="BT853" t="str">
        <f>HYPERLINK("https%3A%2F%2Fwww.webofscience.com%2Fwos%2Fwoscc%2Ffull-record%2FWOS:000854588300001","View Full Record in Web of Science")</f>
        <v>View Full Record in Web of Science</v>
      </c>
    </row>
    <row r="854" spans="1:72" x14ac:dyDescent="0.2">
      <c r="A854" t="s">
        <v>72</v>
      </c>
      <c r="B854" t="s">
        <v>15921</v>
      </c>
      <c r="C854" t="s">
        <v>74</v>
      </c>
      <c r="D854" t="s">
        <v>74</v>
      </c>
      <c r="E854" t="s">
        <v>74</v>
      </c>
      <c r="F854" t="s">
        <v>15922</v>
      </c>
      <c r="G854" t="s">
        <v>74</v>
      </c>
      <c r="H854" t="s">
        <v>74</v>
      </c>
      <c r="I854" t="s">
        <v>15923</v>
      </c>
      <c r="J854" t="s">
        <v>8407</v>
      </c>
      <c r="K854" t="s">
        <v>74</v>
      </c>
      <c r="L854" t="s">
        <v>74</v>
      </c>
      <c r="M854" t="s">
        <v>78</v>
      </c>
      <c r="N854" t="s">
        <v>108</v>
      </c>
      <c r="O854" t="s">
        <v>74</v>
      </c>
      <c r="P854" t="s">
        <v>74</v>
      </c>
      <c r="Q854" t="s">
        <v>74</v>
      </c>
      <c r="R854" t="s">
        <v>74</v>
      </c>
      <c r="S854" t="s">
        <v>74</v>
      </c>
      <c r="T854" t="s">
        <v>15924</v>
      </c>
      <c r="U854" t="s">
        <v>15925</v>
      </c>
      <c r="V854" t="s">
        <v>15926</v>
      </c>
      <c r="W854" t="s">
        <v>15927</v>
      </c>
      <c r="X854" t="s">
        <v>15928</v>
      </c>
      <c r="Y854" t="s">
        <v>15929</v>
      </c>
      <c r="Z854" t="s">
        <v>15930</v>
      </c>
      <c r="AA854" t="s">
        <v>74</v>
      </c>
      <c r="AB854" t="s">
        <v>15931</v>
      </c>
      <c r="AC854" t="s">
        <v>74</v>
      </c>
      <c r="AD854" t="s">
        <v>74</v>
      </c>
      <c r="AE854" t="s">
        <v>74</v>
      </c>
      <c r="AF854" t="s">
        <v>74</v>
      </c>
      <c r="AG854">
        <v>61</v>
      </c>
      <c r="AH854">
        <v>7</v>
      </c>
      <c r="AI854">
        <v>7</v>
      </c>
      <c r="AJ854">
        <v>3</v>
      </c>
      <c r="AK854">
        <v>12</v>
      </c>
      <c r="AL854" t="s">
        <v>209</v>
      </c>
      <c r="AM854" t="s">
        <v>210</v>
      </c>
      <c r="AN854" t="s">
        <v>211</v>
      </c>
      <c r="AO854" t="s">
        <v>8417</v>
      </c>
      <c r="AP854" t="s">
        <v>8418</v>
      </c>
      <c r="AQ854" t="s">
        <v>74</v>
      </c>
      <c r="AR854" t="s">
        <v>8419</v>
      </c>
      <c r="AS854" t="s">
        <v>8420</v>
      </c>
      <c r="AT854" t="s">
        <v>372</v>
      </c>
      <c r="AU854">
        <v>2021</v>
      </c>
      <c r="AV854">
        <v>98</v>
      </c>
      <c r="AW854" t="s">
        <v>74</v>
      </c>
      <c r="AX854" t="s">
        <v>74</v>
      </c>
      <c r="AY854" t="s">
        <v>74</v>
      </c>
      <c r="AZ854" t="s">
        <v>74</v>
      </c>
      <c r="BA854" t="s">
        <v>74</v>
      </c>
      <c r="BB854" t="s">
        <v>74</v>
      </c>
      <c r="BC854" t="s">
        <v>74</v>
      </c>
      <c r="BD854">
        <v>106811</v>
      </c>
      <c r="BE854" t="s">
        <v>15932</v>
      </c>
      <c r="BF854" t="str">
        <f>HYPERLINK("http://dx.doi.org/10.1016/j.asoc.2020.106811","http://dx.doi.org/10.1016/j.asoc.2020.106811")</f>
        <v>http://dx.doi.org/10.1016/j.asoc.2020.106811</v>
      </c>
      <c r="BG854" t="s">
        <v>74</v>
      </c>
      <c r="BH854" t="s">
        <v>74</v>
      </c>
      <c r="BI854">
        <v>12</v>
      </c>
      <c r="BJ854" t="s">
        <v>4166</v>
      </c>
      <c r="BK854" t="s">
        <v>98</v>
      </c>
      <c r="BL854" t="s">
        <v>99</v>
      </c>
      <c r="BM854" t="s">
        <v>15933</v>
      </c>
      <c r="BN854" t="s">
        <v>74</v>
      </c>
      <c r="BO854" t="s">
        <v>74</v>
      </c>
      <c r="BP854" t="s">
        <v>74</v>
      </c>
      <c r="BQ854" t="s">
        <v>74</v>
      </c>
      <c r="BR854" t="s">
        <v>102</v>
      </c>
      <c r="BS854" t="s">
        <v>15934</v>
      </c>
      <c r="BT854" t="str">
        <f>HYPERLINK("https%3A%2F%2Fwww.webofscience.com%2Fwos%2Fwoscc%2Ffull-record%2FWOS:000603366400008","View Full Record in Web of Science")</f>
        <v>View Full Record in Web of Science</v>
      </c>
    </row>
    <row r="855" spans="1:72" x14ac:dyDescent="0.2">
      <c r="A855" t="s">
        <v>72</v>
      </c>
      <c r="B855" t="s">
        <v>15935</v>
      </c>
      <c r="C855" t="s">
        <v>74</v>
      </c>
      <c r="D855" t="s">
        <v>74</v>
      </c>
      <c r="E855" t="s">
        <v>74</v>
      </c>
      <c r="F855" t="s">
        <v>15936</v>
      </c>
      <c r="G855" t="s">
        <v>74</v>
      </c>
      <c r="H855" t="s">
        <v>74</v>
      </c>
      <c r="I855" t="s">
        <v>15937</v>
      </c>
      <c r="J855" t="s">
        <v>531</v>
      </c>
      <c r="K855" t="s">
        <v>74</v>
      </c>
      <c r="L855" t="s">
        <v>74</v>
      </c>
      <c r="M855" t="s">
        <v>78</v>
      </c>
      <c r="N855" t="s">
        <v>108</v>
      </c>
      <c r="O855" t="s">
        <v>74</v>
      </c>
      <c r="P855" t="s">
        <v>74</v>
      </c>
      <c r="Q855" t="s">
        <v>74</v>
      </c>
      <c r="R855" t="s">
        <v>74</v>
      </c>
      <c r="S855" t="s">
        <v>74</v>
      </c>
      <c r="T855" t="s">
        <v>15938</v>
      </c>
      <c r="U855" t="s">
        <v>15939</v>
      </c>
      <c r="V855" t="s">
        <v>15940</v>
      </c>
      <c r="W855" t="s">
        <v>15941</v>
      </c>
      <c r="X855" t="s">
        <v>15942</v>
      </c>
      <c r="Y855" t="s">
        <v>15943</v>
      </c>
      <c r="Z855" t="s">
        <v>15944</v>
      </c>
      <c r="AA855" t="s">
        <v>15945</v>
      </c>
      <c r="AB855" t="s">
        <v>15946</v>
      </c>
      <c r="AC855" t="s">
        <v>74</v>
      </c>
      <c r="AD855" t="s">
        <v>74</v>
      </c>
      <c r="AE855" t="s">
        <v>74</v>
      </c>
      <c r="AF855" t="s">
        <v>74</v>
      </c>
      <c r="AG855">
        <v>90</v>
      </c>
      <c r="AH855">
        <v>53</v>
      </c>
      <c r="AI855">
        <v>53</v>
      </c>
      <c r="AJ855">
        <v>9</v>
      </c>
      <c r="AK855">
        <v>153</v>
      </c>
      <c r="AL855" t="s">
        <v>543</v>
      </c>
      <c r="AM855" t="s">
        <v>260</v>
      </c>
      <c r="AN855" t="s">
        <v>544</v>
      </c>
      <c r="AO855" t="s">
        <v>545</v>
      </c>
      <c r="AP855" t="s">
        <v>546</v>
      </c>
      <c r="AQ855" t="s">
        <v>74</v>
      </c>
      <c r="AR855" t="s">
        <v>547</v>
      </c>
      <c r="AS855" t="s">
        <v>548</v>
      </c>
      <c r="AT855" t="s">
        <v>194</v>
      </c>
      <c r="AU855">
        <v>2016</v>
      </c>
      <c r="AV855">
        <v>101</v>
      </c>
      <c r="AW855" t="s">
        <v>74</v>
      </c>
      <c r="AX855" t="s">
        <v>74</v>
      </c>
      <c r="AY855" t="s">
        <v>74</v>
      </c>
      <c r="AZ855" t="s">
        <v>74</v>
      </c>
      <c r="BA855" t="s">
        <v>74</v>
      </c>
      <c r="BB855">
        <v>599</v>
      </c>
      <c r="BC855">
        <v>613</v>
      </c>
      <c r="BD855" t="s">
        <v>74</v>
      </c>
      <c r="BE855" t="s">
        <v>15947</v>
      </c>
      <c r="BF855" t="str">
        <f>HYPERLINK("http://dx.doi.org/10.1016/j.cie.2016.06.004","http://dx.doi.org/10.1016/j.cie.2016.06.004")</f>
        <v>http://dx.doi.org/10.1016/j.cie.2016.06.004</v>
      </c>
      <c r="BG855" t="s">
        <v>74</v>
      </c>
      <c r="BH855" t="s">
        <v>74</v>
      </c>
      <c r="BI855">
        <v>15</v>
      </c>
      <c r="BJ855" t="s">
        <v>550</v>
      </c>
      <c r="BK855" t="s">
        <v>147</v>
      </c>
      <c r="BL855" t="s">
        <v>269</v>
      </c>
      <c r="BM855" t="s">
        <v>15948</v>
      </c>
      <c r="BN855" t="s">
        <v>74</v>
      </c>
      <c r="BO855" t="s">
        <v>74</v>
      </c>
      <c r="BP855" t="s">
        <v>74</v>
      </c>
      <c r="BQ855" t="s">
        <v>74</v>
      </c>
      <c r="BR855" t="s">
        <v>102</v>
      </c>
      <c r="BS855" t="s">
        <v>15949</v>
      </c>
      <c r="BT855" t="str">
        <f>HYPERLINK("https%3A%2F%2Fwww.webofscience.com%2Fwos%2Fwoscc%2Ffull-record%2FWOS:000390497900049","View Full Record in Web of Science")</f>
        <v>View Full Record in Web of Science</v>
      </c>
    </row>
    <row r="856" spans="1:72" x14ac:dyDescent="0.2">
      <c r="A856" t="s">
        <v>72</v>
      </c>
      <c r="B856" t="s">
        <v>15950</v>
      </c>
      <c r="C856" t="s">
        <v>74</v>
      </c>
      <c r="D856" t="s">
        <v>74</v>
      </c>
      <c r="E856" t="s">
        <v>74</v>
      </c>
      <c r="F856" t="s">
        <v>15951</v>
      </c>
      <c r="G856" t="s">
        <v>74</v>
      </c>
      <c r="H856" t="s">
        <v>74</v>
      </c>
      <c r="I856" t="s">
        <v>15952</v>
      </c>
      <c r="J856" t="s">
        <v>15953</v>
      </c>
      <c r="K856" t="s">
        <v>74</v>
      </c>
      <c r="L856" t="s">
        <v>74</v>
      </c>
      <c r="M856" t="s">
        <v>78</v>
      </c>
      <c r="N856" t="s">
        <v>108</v>
      </c>
      <c r="O856" t="s">
        <v>74</v>
      </c>
      <c r="P856" t="s">
        <v>74</v>
      </c>
      <c r="Q856" t="s">
        <v>74</v>
      </c>
      <c r="R856" t="s">
        <v>74</v>
      </c>
      <c r="S856" t="s">
        <v>74</v>
      </c>
      <c r="T856" t="s">
        <v>15954</v>
      </c>
      <c r="U856" t="s">
        <v>74</v>
      </c>
      <c r="V856" t="s">
        <v>15955</v>
      </c>
      <c r="W856" t="s">
        <v>15956</v>
      </c>
      <c r="X856" t="s">
        <v>15957</v>
      </c>
      <c r="Y856" t="s">
        <v>15958</v>
      </c>
      <c r="Z856" t="s">
        <v>15959</v>
      </c>
      <c r="AA856" t="s">
        <v>74</v>
      </c>
      <c r="AB856" t="s">
        <v>74</v>
      </c>
      <c r="AC856" t="s">
        <v>15960</v>
      </c>
      <c r="AD856" t="s">
        <v>15961</v>
      </c>
      <c r="AE856" t="s">
        <v>15962</v>
      </c>
      <c r="AF856" t="s">
        <v>74</v>
      </c>
      <c r="AG856">
        <v>13</v>
      </c>
      <c r="AH856">
        <v>1</v>
      </c>
      <c r="AI856">
        <v>1</v>
      </c>
      <c r="AJ856">
        <v>2</v>
      </c>
      <c r="AK856">
        <v>18</v>
      </c>
      <c r="AL856" t="s">
        <v>5092</v>
      </c>
      <c r="AM856" t="s">
        <v>5093</v>
      </c>
      <c r="AN856" t="s">
        <v>5094</v>
      </c>
      <c r="AO856" t="s">
        <v>15963</v>
      </c>
      <c r="AP856" t="s">
        <v>15964</v>
      </c>
      <c r="AQ856" t="s">
        <v>74</v>
      </c>
      <c r="AR856" t="s">
        <v>15965</v>
      </c>
      <c r="AS856" t="s">
        <v>15966</v>
      </c>
      <c r="AT856" t="s">
        <v>74</v>
      </c>
      <c r="AU856">
        <v>2019</v>
      </c>
      <c r="AV856">
        <v>3</v>
      </c>
      <c r="AW856">
        <v>2</v>
      </c>
      <c r="AX856" t="s">
        <v>74</v>
      </c>
      <c r="AY856" t="s">
        <v>74</v>
      </c>
      <c r="AZ856" t="s">
        <v>74</v>
      </c>
      <c r="BA856" t="s">
        <v>74</v>
      </c>
      <c r="BB856">
        <v>95</v>
      </c>
      <c r="BC856">
        <v>105</v>
      </c>
      <c r="BD856" t="s">
        <v>74</v>
      </c>
      <c r="BE856" t="s">
        <v>15967</v>
      </c>
      <c r="BF856" t="str">
        <f>HYPERLINK("http://dx.doi.org/10.1520/SSMS20190025","http://dx.doi.org/10.1520/SSMS20190025")</f>
        <v>http://dx.doi.org/10.1520/SSMS20190025</v>
      </c>
      <c r="BG856" t="s">
        <v>74</v>
      </c>
      <c r="BH856" t="s">
        <v>74</v>
      </c>
      <c r="BI856">
        <v>11</v>
      </c>
      <c r="BJ856" t="s">
        <v>7735</v>
      </c>
      <c r="BK856" t="s">
        <v>124</v>
      </c>
      <c r="BL856" t="s">
        <v>1292</v>
      </c>
      <c r="BM856" t="s">
        <v>15968</v>
      </c>
      <c r="BN856" t="s">
        <v>74</v>
      </c>
      <c r="BO856" t="s">
        <v>74</v>
      </c>
      <c r="BP856" t="s">
        <v>74</v>
      </c>
      <c r="BQ856" t="s">
        <v>74</v>
      </c>
      <c r="BR856" t="s">
        <v>102</v>
      </c>
      <c r="BS856" t="s">
        <v>15969</v>
      </c>
      <c r="BT856" t="str">
        <f>HYPERLINK("https%3A%2F%2Fwww.webofscience.com%2Fwos%2Fwoscc%2Ffull-record%2FWOS:000502628800008","View Full Record in Web of Science")</f>
        <v>View Full Record in Web of Science</v>
      </c>
    </row>
    <row r="857" spans="1:72" x14ac:dyDescent="0.2">
      <c r="A857" t="s">
        <v>72</v>
      </c>
      <c r="B857" t="s">
        <v>15970</v>
      </c>
      <c r="C857" t="s">
        <v>74</v>
      </c>
      <c r="D857" t="s">
        <v>74</v>
      </c>
      <c r="E857" t="s">
        <v>74</v>
      </c>
      <c r="F857" t="s">
        <v>15971</v>
      </c>
      <c r="G857" t="s">
        <v>74</v>
      </c>
      <c r="H857" t="s">
        <v>74</v>
      </c>
      <c r="I857" t="s">
        <v>15972</v>
      </c>
      <c r="J857" t="s">
        <v>976</v>
      </c>
      <c r="K857" t="s">
        <v>74</v>
      </c>
      <c r="L857" t="s">
        <v>74</v>
      </c>
      <c r="M857" t="s">
        <v>78</v>
      </c>
      <c r="N857" t="s">
        <v>108</v>
      </c>
      <c r="O857" t="s">
        <v>74</v>
      </c>
      <c r="P857" t="s">
        <v>74</v>
      </c>
      <c r="Q857" t="s">
        <v>74</v>
      </c>
      <c r="R857" t="s">
        <v>74</v>
      </c>
      <c r="S857" t="s">
        <v>74</v>
      </c>
      <c r="T857" t="s">
        <v>15973</v>
      </c>
      <c r="U857" t="s">
        <v>15974</v>
      </c>
      <c r="V857" t="s">
        <v>15975</v>
      </c>
      <c r="W857" t="s">
        <v>15976</v>
      </c>
      <c r="X857" t="s">
        <v>15977</v>
      </c>
      <c r="Y857" t="s">
        <v>15978</v>
      </c>
      <c r="Z857" t="s">
        <v>15395</v>
      </c>
      <c r="AA857" t="s">
        <v>15979</v>
      </c>
      <c r="AB857" t="s">
        <v>15980</v>
      </c>
      <c r="AC857" t="s">
        <v>15981</v>
      </c>
      <c r="AD857" t="s">
        <v>15982</v>
      </c>
      <c r="AE857" t="s">
        <v>15983</v>
      </c>
      <c r="AF857" t="s">
        <v>74</v>
      </c>
      <c r="AG857">
        <v>73</v>
      </c>
      <c r="AH857">
        <v>137</v>
      </c>
      <c r="AI857">
        <v>142</v>
      </c>
      <c r="AJ857">
        <v>9</v>
      </c>
      <c r="AK857">
        <v>231</v>
      </c>
      <c r="AL857" t="s">
        <v>259</v>
      </c>
      <c r="AM857" t="s">
        <v>260</v>
      </c>
      <c r="AN857" t="s">
        <v>261</v>
      </c>
      <c r="AO857" t="s">
        <v>989</v>
      </c>
      <c r="AP857" t="s">
        <v>990</v>
      </c>
      <c r="AQ857" t="s">
        <v>74</v>
      </c>
      <c r="AR857" t="s">
        <v>991</v>
      </c>
      <c r="AS857" t="s">
        <v>992</v>
      </c>
      <c r="AT857" t="s">
        <v>5015</v>
      </c>
      <c r="AU857">
        <v>2017</v>
      </c>
      <c r="AV857">
        <v>159</v>
      </c>
      <c r="AW857" t="s">
        <v>74</v>
      </c>
      <c r="AX857" t="s">
        <v>74</v>
      </c>
      <c r="AY857" t="s">
        <v>74</v>
      </c>
      <c r="AZ857" t="s">
        <v>74</v>
      </c>
      <c r="BA857" t="s">
        <v>74</v>
      </c>
      <c r="BB857">
        <v>229</v>
      </c>
      <c r="BC857">
        <v>240</v>
      </c>
      <c r="BD857" t="s">
        <v>74</v>
      </c>
      <c r="BE857" t="s">
        <v>15984</v>
      </c>
      <c r="BF857" t="str">
        <f>HYPERLINK("http://dx.doi.org/10.1016/j.jclepro.2017.04.172","http://dx.doi.org/10.1016/j.jclepro.2017.04.172")</f>
        <v>http://dx.doi.org/10.1016/j.jclepro.2017.04.172</v>
      </c>
      <c r="BG857" t="s">
        <v>74</v>
      </c>
      <c r="BH857" t="s">
        <v>74</v>
      </c>
      <c r="BI857">
        <v>12</v>
      </c>
      <c r="BJ857" t="s">
        <v>995</v>
      </c>
      <c r="BK857" t="s">
        <v>98</v>
      </c>
      <c r="BL857" t="s">
        <v>996</v>
      </c>
      <c r="BM857" t="s">
        <v>15985</v>
      </c>
      <c r="BN857" t="s">
        <v>74</v>
      </c>
      <c r="BO857" t="s">
        <v>2104</v>
      </c>
      <c r="BP857" t="s">
        <v>74</v>
      </c>
      <c r="BQ857" t="s">
        <v>74</v>
      </c>
      <c r="BR857" t="s">
        <v>102</v>
      </c>
      <c r="BS857" t="s">
        <v>15986</v>
      </c>
      <c r="BT857" t="str">
        <f>HYPERLINK("https%3A%2F%2Fwww.webofscience.com%2Fwos%2Fwoscc%2Ffull-record%2FWOS:000403854200021","View Full Record in Web of Science")</f>
        <v>View Full Record in Web of Science</v>
      </c>
    </row>
    <row r="858" spans="1:72" x14ac:dyDescent="0.2">
      <c r="A858" t="s">
        <v>72</v>
      </c>
      <c r="B858" t="s">
        <v>15987</v>
      </c>
      <c r="C858" t="s">
        <v>74</v>
      </c>
      <c r="D858" t="s">
        <v>74</v>
      </c>
      <c r="E858" t="s">
        <v>74</v>
      </c>
      <c r="F858" t="s">
        <v>15988</v>
      </c>
      <c r="G858" t="s">
        <v>74</v>
      </c>
      <c r="H858" t="s">
        <v>74</v>
      </c>
      <c r="I858" t="s">
        <v>15989</v>
      </c>
      <c r="J858" t="s">
        <v>2491</v>
      </c>
      <c r="K858" t="s">
        <v>74</v>
      </c>
      <c r="L858" t="s">
        <v>74</v>
      </c>
      <c r="M858" t="s">
        <v>78</v>
      </c>
      <c r="N858" t="s">
        <v>108</v>
      </c>
      <c r="O858" t="s">
        <v>74</v>
      </c>
      <c r="P858" t="s">
        <v>74</v>
      </c>
      <c r="Q858" t="s">
        <v>74</v>
      </c>
      <c r="R858" t="s">
        <v>74</v>
      </c>
      <c r="S858" t="s">
        <v>74</v>
      </c>
      <c r="T858" t="s">
        <v>15990</v>
      </c>
      <c r="U858" t="s">
        <v>15991</v>
      </c>
      <c r="V858" t="s">
        <v>15992</v>
      </c>
      <c r="W858" t="s">
        <v>15993</v>
      </c>
      <c r="X858" t="s">
        <v>15994</v>
      </c>
      <c r="Y858" t="s">
        <v>15995</v>
      </c>
      <c r="Z858" t="s">
        <v>15996</v>
      </c>
      <c r="AA858" t="s">
        <v>74</v>
      </c>
      <c r="AB858" t="s">
        <v>74</v>
      </c>
      <c r="AC858" t="s">
        <v>74</v>
      </c>
      <c r="AD858" t="s">
        <v>74</v>
      </c>
      <c r="AE858" t="s">
        <v>74</v>
      </c>
      <c r="AF858" t="s">
        <v>74</v>
      </c>
      <c r="AG858">
        <v>15</v>
      </c>
      <c r="AH858">
        <v>4</v>
      </c>
      <c r="AI858">
        <v>4</v>
      </c>
      <c r="AJ858">
        <v>0</v>
      </c>
      <c r="AK858">
        <v>25</v>
      </c>
      <c r="AL858" t="s">
        <v>347</v>
      </c>
      <c r="AM858" t="s">
        <v>348</v>
      </c>
      <c r="AN858" t="s">
        <v>349</v>
      </c>
      <c r="AO858" t="s">
        <v>2499</v>
      </c>
      <c r="AP858" t="s">
        <v>2500</v>
      </c>
      <c r="AQ858" t="s">
        <v>74</v>
      </c>
      <c r="AR858" t="s">
        <v>2501</v>
      </c>
      <c r="AS858" t="s">
        <v>2502</v>
      </c>
      <c r="AT858" t="s">
        <v>3700</v>
      </c>
      <c r="AU858">
        <v>2007</v>
      </c>
      <c r="AV858">
        <v>177</v>
      </c>
      <c r="AW858">
        <v>17</v>
      </c>
      <c r="AX858" t="s">
        <v>74</v>
      </c>
      <c r="AY858" t="s">
        <v>74</v>
      </c>
      <c r="AZ858" t="s">
        <v>74</v>
      </c>
      <c r="BA858" t="s">
        <v>74</v>
      </c>
      <c r="BB858">
        <v>3539</v>
      </c>
      <c r="BC858">
        <v>3556</v>
      </c>
      <c r="BD858" t="s">
        <v>74</v>
      </c>
      <c r="BE858" t="s">
        <v>15997</v>
      </c>
      <c r="BF858" t="str">
        <f>HYPERLINK("http://dx.doi.org/10.1016/j.ins.2007.02.043","http://dx.doi.org/10.1016/j.ins.2007.02.043")</f>
        <v>http://dx.doi.org/10.1016/j.ins.2007.02.043</v>
      </c>
      <c r="BG858" t="s">
        <v>74</v>
      </c>
      <c r="BH858" t="s">
        <v>74</v>
      </c>
      <c r="BI858">
        <v>18</v>
      </c>
      <c r="BJ858" t="s">
        <v>123</v>
      </c>
      <c r="BK858" t="s">
        <v>98</v>
      </c>
      <c r="BL858" t="s">
        <v>99</v>
      </c>
      <c r="BM858" t="s">
        <v>15998</v>
      </c>
      <c r="BN858" t="s">
        <v>74</v>
      </c>
      <c r="BO858" t="s">
        <v>74</v>
      </c>
      <c r="BP858" t="s">
        <v>74</v>
      </c>
      <c r="BQ858" t="s">
        <v>74</v>
      </c>
      <c r="BR858" t="s">
        <v>102</v>
      </c>
      <c r="BS858" t="s">
        <v>15999</v>
      </c>
      <c r="BT858" t="str">
        <f>HYPERLINK("https%3A%2F%2Fwww.webofscience.com%2Fwos%2Fwoscc%2Ffull-record%2FWOS:000248169700007","View Full Record in Web of Science")</f>
        <v>View Full Record in Web of Science</v>
      </c>
    </row>
    <row r="859" spans="1:72" x14ac:dyDescent="0.2">
      <c r="A859" t="s">
        <v>72</v>
      </c>
      <c r="B859" t="s">
        <v>16000</v>
      </c>
      <c r="C859" t="s">
        <v>74</v>
      </c>
      <c r="D859" t="s">
        <v>74</v>
      </c>
      <c r="E859" t="s">
        <v>74</v>
      </c>
      <c r="F859" t="s">
        <v>16001</v>
      </c>
      <c r="G859" t="s">
        <v>74</v>
      </c>
      <c r="H859" t="s">
        <v>74</v>
      </c>
      <c r="I859" t="s">
        <v>16002</v>
      </c>
      <c r="J859" t="s">
        <v>4384</v>
      </c>
      <c r="K859" t="s">
        <v>74</v>
      </c>
      <c r="L859" t="s">
        <v>74</v>
      </c>
      <c r="M859" t="s">
        <v>78</v>
      </c>
      <c r="N859" t="s">
        <v>108</v>
      </c>
      <c r="O859" t="s">
        <v>74</v>
      </c>
      <c r="P859" t="s">
        <v>74</v>
      </c>
      <c r="Q859" t="s">
        <v>74</v>
      </c>
      <c r="R859" t="s">
        <v>74</v>
      </c>
      <c r="S859" t="s">
        <v>74</v>
      </c>
      <c r="T859" t="s">
        <v>16003</v>
      </c>
      <c r="U859" t="s">
        <v>16004</v>
      </c>
      <c r="V859" t="s">
        <v>16005</v>
      </c>
      <c r="W859" t="s">
        <v>16006</v>
      </c>
      <c r="X859" t="s">
        <v>16007</v>
      </c>
      <c r="Y859" t="s">
        <v>16008</v>
      </c>
      <c r="Z859" t="s">
        <v>16009</v>
      </c>
      <c r="AA859" t="s">
        <v>16010</v>
      </c>
      <c r="AB859" t="s">
        <v>16011</v>
      </c>
      <c r="AC859" t="s">
        <v>16012</v>
      </c>
      <c r="AD859" t="s">
        <v>16013</v>
      </c>
      <c r="AE859" t="s">
        <v>16014</v>
      </c>
      <c r="AF859" t="s">
        <v>74</v>
      </c>
      <c r="AG859">
        <v>29</v>
      </c>
      <c r="AH859">
        <v>0</v>
      </c>
      <c r="AI859">
        <v>0</v>
      </c>
      <c r="AJ859">
        <v>5</v>
      </c>
      <c r="AK859">
        <v>19</v>
      </c>
      <c r="AL859" t="s">
        <v>167</v>
      </c>
      <c r="AM859" t="s">
        <v>168</v>
      </c>
      <c r="AN859" t="s">
        <v>169</v>
      </c>
      <c r="AO859" t="s">
        <v>4393</v>
      </c>
      <c r="AP859" t="s">
        <v>74</v>
      </c>
      <c r="AQ859" t="s">
        <v>74</v>
      </c>
      <c r="AR859" t="s">
        <v>4384</v>
      </c>
      <c r="AS859" t="s">
        <v>4394</v>
      </c>
      <c r="AT859" t="s">
        <v>74</v>
      </c>
      <c r="AU859">
        <v>2022</v>
      </c>
      <c r="AV859">
        <v>10</v>
      </c>
      <c r="AW859" t="s">
        <v>74</v>
      </c>
      <c r="AX859" t="s">
        <v>74</v>
      </c>
      <c r="AY859" t="s">
        <v>74</v>
      </c>
      <c r="AZ859" t="s">
        <v>74</v>
      </c>
      <c r="BA859" t="s">
        <v>74</v>
      </c>
      <c r="BB859">
        <v>24203</v>
      </c>
      <c r="BC859">
        <v>24214</v>
      </c>
      <c r="BD859" t="s">
        <v>74</v>
      </c>
      <c r="BE859" t="s">
        <v>16015</v>
      </c>
      <c r="BF859" t="str">
        <f>HYPERLINK("http://dx.doi.org/10.1109/ACCESS.2022.3152211","http://dx.doi.org/10.1109/ACCESS.2022.3152211")</f>
        <v>http://dx.doi.org/10.1109/ACCESS.2022.3152211</v>
      </c>
      <c r="BG859" t="s">
        <v>74</v>
      </c>
      <c r="BH859" t="s">
        <v>74</v>
      </c>
      <c r="BI859">
        <v>12</v>
      </c>
      <c r="BJ859" t="s">
        <v>2959</v>
      </c>
      <c r="BK859" t="s">
        <v>98</v>
      </c>
      <c r="BL859" t="s">
        <v>2960</v>
      </c>
      <c r="BM859" t="s">
        <v>16016</v>
      </c>
      <c r="BN859" t="s">
        <v>74</v>
      </c>
      <c r="BO859" t="s">
        <v>126</v>
      </c>
      <c r="BP859" t="s">
        <v>74</v>
      </c>
      <c r="BQ859" t="s">
        <v>74</v>
      </c>
      <c r="BR859" t="s">
        <v>102</v>
      </c>
      <c r="BS859" t="s">
        <v>16017</v>
      </c>
      <c r="BT859" t="str">
        <f>HYPERLINK("https%3A%2F%2Fwww.webofscience.com%2Fwos%2Fwoscc%2Ffull-record%2FWOS:000766543100001","View Full Record in Web of Science")</f>
        <v>View Full Record in Web of Science</v>
      </c>
    </row>
    <row r="860" spans="1:72" x14ac:dyDescent="0.2">
      <c r="A860" t="s">
        <v>72</v>
      </c>
      <c r="B860" t="s">
        <v>16018</v>
      </c>
      <c r="C860" t="s">
        <v>74</v>
      </c>
      <c r="D860" t="s">
        <v>74</v>
      </c>
      <c r="E860" t="s">
        <v>74</v>
      </c>
      <c r="F860" t="s">
        <v>16019</v>
      </c>
      <c r="G860" t="s">
        <v>74</v>
      </c>
      <c r="H860" t="s">
        <v>74</v>
      </c>
      <c r="I860" t="s">
        <v>16020</v>
      </c>
      <c r="J860" t="s">
        <v>16021</v>
      </c>
      <c r="K860" t="s">
        <v>74</v>
      </c>
      <c r="L860" t="s">
        <v>74</v>
      </c>
      <c r="M860" t="s">
        <v>78</v>
      </c>
      <c r="N860" t="s">
        <v>79</v>
      </c>
      <c r="O860" t="s">
        <v>74</v>
      </c>
      <c r="P860" t="s">
        <v>74</v>
      </c>
      <c r="Q860" t="s">
        <v>74</v>
      </c>
      <c r="R860" t="s">
        <v>74</v>
      </c>
      <c r="S860" t="s">
        <v>74</v>
      </c>
      <c r="T860" t="s">
        <v>74</v>
      </c>
      <c r="U860" t="s">
        <v>16022</v>
      </c>
      <c r="V860" t="s">
        <v>16023</v>
      </c>
      <c r="W860" t="s">
        <v>16024</v>
      </c>
      <c r="X860" t="s">
        <v>16025</v>
      </c>
      <c r="Y860" t="s">
        <v>16026</v>
      </c>
      <c r="Z860" t="s">
        <v>16027</v>
      </c>
      <c r="AA860" t="s">
        <v>16028</v>
      </c>
      <c r="AB860" t="s">
        <v>16029</v>
      </c>
      <c r="AC860" t="s">
        <v>74</v>
      </c>
      <c r="AD860" t="s">
        <v>74</v>
      </c>
      <c r="AE860" t="s">
        <v>74</v>
      </c>
      <c r="AF860" t="s">
        <v>74</v>
      </c>
      <c r="AG860">
        <v>88</v>
      </c>
      <c r="AH860">
        <v>37</v>
      </c>
      <c r="AI860">
        <v>37</v>
      </c>
      <c r="AJ860">
        <v>8</v>
      </c>
      <c r="AK860">
        <v>49</v>
      </c>
      <c r="AL860" t="s">
        <v>321</v>
      </c>
      <c r="AM860" t="s">
        <v>322</v>
      </c>
      <c r="AN860" t="s">
        <v>323</v>
      </c>
      <c r="AO860" t="s">
        <v>16030</v>
      </c>
      <c r="AP860" t="s">
        <v>16031</v>
      </c>
      <c r="AQ860" t="s">
        <v>74</v>
      </c>
      <c r="AR860" t="s">
        <v>16032</v>
      </c>
      <c r="AS860" t="s">
        <v>16033</v>
      </c>
      <c r="AT860" t="s">
        <v>239</v>
      </c>
      <c r="AU860">
        <v>2022</v>
      </c>
      <c r="AV860">
        <v>29</v>
      </c>
      <c r="AW860">
        <v>5</v>
      </c>
      <c r="AX860" t="s">
        <v>74</v>
      </c>
      <c r="AY860" t="s">
        <v>74</v>
      </c>
      <c r="AZ860" t="s">
        <v>74</v>
      </c>
      <c r="BA860" t="s">
        <v>74</v>
      </c>
      <c r="BB860">
        <v>2781</v>
      </c>
      <c r="BC860">
        <v>2810</v>
      </c>
      <c r="BD860" t="s">
        <v>74</v>
      </c>
      <c r="BE860" t="s">
        <v>16034</v>
      </c>
      <c r="BF860" t="str">
        <f>HYPERLINK("http://dx.doi.org/10.1007/s11831-021-09675-7","http://dx.doi.org/10.1007/s11831-021-09675-7")</f>
        <v>http://dx.doi.org/10.1007/s11831-021-09675-7</v>
      </c>
      <c r="BG860" t="s">
        <v>74</v>
      </c>
      <c r="BH860" t="s">
        <v>5793</v>
      </c>
      <c r="BI860">
        <v>30</v>
      </c>
      <c r="BJ860" t="s">
        <v>16035</v>
      </c>
      <c r="BK860" t="s">
        <v>98</v>
      </c>
      <c r="BL860" t="s">
        <v>16036</v>
      </c>
      <c r="BM860" t="s">
        <v>16037</v>
      </c>
      <c r="BN860" t="s">
        <v>74</v>
      </c>
      <c r="BO860" t="s">
        <v>74</v>
      </c>
      <c r="BP860" t="s">
        <v>74</v>
      </c>
      <c r="BQ860" t="s">
        <v>74</v>
      </c>
      <c r="BR860" t="s">
        <v>102</v>
      </c>
      <c r="BS860" t="s">
        <v>16038</v>
      </c>
      <c r="BT860" t="str">
        <f>HYPERLINK("https%3A%2F%2Fwww.webofscience.com%2Fwos%2Fwoscc%2Ffull-record%2FWOS:000714297800001","View Full Record in Web of Science")</f>
        <v>View Full Record in Web of Science</v>
      </c>
    </row>
    <row r="861" spans="1:72" x14ac:dyDescent="0.2">
      <c r="A861" t="s">
        <v>72</v>
      </c>
      <c r="B861" t="s">
        <v>16039</v>
      </c>
      <c r="C861" t="s">
        <v>74</v>
      </c>
      <c r="D861" t="s">
        <v>74</v>
      </c>
      <c r="E861" t="s">
        <v>74</v>
      </c>
      <c r="F861" t="s">
        <v>16040</v>
      </c>
      <c r="G861" t="s">
        <v>74</v>
      </c>
      <c r="H861" t="s">
        <v>74</v>
      </c>
      <c r="I861" t="s">
        <v>16041</v>
      </c>
      <c r="J861" t="s">
        <v>8523</v>
      </c>
      <c r="K861" t="s">
        <v>74</v>
      </c>
      <c r="L861" t="s">
        <v>74</v>
      </c>
      <c r="M861" t="s">
        <v>78</v>
      </c>
      <c r="N861" t="s">
        <v>108</v>
      </c>
      <c r="O861" t="s">
        <v>74</v>
      </c>
      <c r="P861" t="s">
        <v>74</v>
      </c>
      <c r="Q861" t="s">
        <v>74</v>
      </c>
      <c r="R861" t="s">
        <v>74</v>
      </c>
      <c r="S861" t="s">
        <v>74</v>
      </c>
      <c r="T861" t="s">
        <v>16042</v>
      </c>
      <c r="U861" t="s">
        <v>16043</v>
      </c>
      <c r="V861" t="s">
        <v>16044</v>
      </c>
      <c r="W861" t="s">
        <v>16045</v>
      </c>
      <c r="X861" t="s">
        <v>16046</v>
      </c>
      <c r="Y861" t="s">
        <v>16047</v>
      </c>
      <c r="Z861" t="s">
        <v>16048</v>
      </c>
      <c r="AA861" t="s">
        <v>74</v>
      </c>
      <c r="AB861" t="s">
        <v>16049</v>
      </c>
      <c r="AC861" t="s">
        <v>16050</v>
      </c>
      <c r="AD861" t="s">
        <v>16051</v>
      </c>
      <c r="AE861" t="s">
        <v>16052</v>
      </c>
      <c r="AF861" t="s">
        <v>74</v>
      </c>
      <c r="AG861">
        <v>33</v>
      </c>
      <c r="AH861">
        <v>9</v>
      </c>
      <c r="AI861">
        <v>9</v>
      </c>
      <c r="AJ861">
        <v>1</v>
      </c>
      <c r="AK861">
        <v>20</v>
      </c>
      <c r="AL861" t="s">
        <v>1630</v>
      </c>
      <c r="AM861" t="s">
        <v>1631</v>
      </c>
      <c r="AN861" t="s">
        <v>1632</v>
      </c>
      <c r="AO861" t="s">
        <v>8534</v>
      </c>
      <c r="AP861" t="s">
        <v>74</v>
      </c>
      <c r="AQ861" t="s">
        <v>74</v>
      </c>
      <c r="AR861" t="s">
        <v>8535</v>
      </c>
      <c r="AS861" t="s">
        <v>8536</v>
      </c>
      <c r="AT861" t="s">
        <v>738</v>
      </c>
      <c r="AU861">
        <v>2018</v>
      </c>
      <c r="AV861">
        <v>6</v>
      </c>
      <c r="AW861">
        <v>2</v>
      </c>
      <c r="AX861" t="s">
        <v>74</v>
      </c>
      <c r="AY861" t="s">
        <v>74</v>
      </c>
      <c r="AZ861" t="s">
        <v>74</v>
      </c>
      <c r="BA861" t="s">
        <v>74</v>
      </c>
      <c r="BB861">
        <v>1961</v>
      </c>
      <c r="BC861">
        <v>1976</v>
      </c>
      <c r="BD861" t="s">
        <v>74</v>
      </c>
      <c r="BE861" t="s">
        <v>16053</v>
      </c>
      <c r="BF861" t="str">
        <f>HYPERLINK("http://dx.doi.org/10.1021/acssuschemeng.7b03379","http://dx.doi.org/10.1021/acssuschemeng.7b03379")</f>
        <v>http://dx.doi.org/10.1021/acssuschemeng.7b03379</v>
      </c>
      <c r="BG861" t="s">
        <v>74</v>
      </c>
      <c r="BH861" t="s">
        <v>74</v>
      </c>
      <c r="BI861">
        <v>16</v>
      </c>
      <c r="BJ861" t="s">
        <v>8538</v>
      </c>
      <c r="BK861" t="s">
        <v>98</v>
      </c>
      <c r="BL861" t="s">
        <v>8539</v>
      </c>
      <c r="BM861" t="s">
        <v>16054</v>
      </c>
      <c r="BN861">
        <v>32632354</v>
      </c>
      <c r="BO861" t="s">
        <v>594</v>
      </c>
      <c r="BP861" t="s">
        <v>74</v>
      </c>
      <c r="BQ861" t="s">
        <v>74</v>
      </c>
      <c r="BR861" t="s">
        <v>102</v>
      </c>
      <c r="BS861" t="s">
        <v>16055</v>
      </c>
      <c r="BT861" t="str">
        <f>HYPERLINK("https%3A%2F%2Fwww.webofscience.com%2Fwos%2Fwoscc%2Ffull-record%2FWOS:000424728300049","View Full Record in Web of Science")</f>
        <v>View Full Record in Web of Science</v>
      </c>
    </row>
    <row r="862" spans="1:72" x14ac:dyDescent="0.2">
      <c r="A862" t="s">
        <v>72</v>
      </c>
      <c r="B862" t="s">
        <v>16056</v>
      </c>
      <c r="C862" t="s">
        <v>74</v>
      </c>
      <c r="D862" t="s">
        <v>74</v>
      </c>
      <c r="E862" t="s">
        <v>74</v>
      </c>
      <c r="F862" t="s">
        <v>16057</v>
      </c>
      <c r="G862" t="s">
        <v>74</v>
      </c>
      <c r="H862" t="s">
        <v>74</v>
      </c>
      <c r="I862" t="s">
        <v>16058</v>
      </c>
      <c r="J862" t="s">
        <v>16059</v>
      </c>
      <c r="K862" t="s">
        <v>74</v>
      </c>
      <c r="L862" t="s">
        <v>74</v>
      </c>
      <c r="M862" t="s">
        <v>78</v>
      </c>
      <c r="N862" t="s">
        <v>108</v>
      </c>
      <c r="O862" t="s">
        <v>74</v>
      </c>
      <c r="P862" t="s">
        <v>74</v>
      </c>
      <c r="Q862" t="s">
        <v>74</v>
      </c>
      <c r="R862" t="s">
        <v>74</v>
      </c>
      <c r="S862" t="s">
        <v>74</v>
      </c>
      <c r="T862" t="s">
        <v>74</v>
      </c>
      <c r="U862" t="s">
        <v>16060</v>
      </c>
      <c r="V862" t="s">
        <v>16061</v>
      </c>
      <c r="W862" t="s">
        <v>16062</v>
      </c>
      <c r="X862" t="s">
        <v>16063</v>
      </c>
      <c r="Y862" t="s">
        <v>16064</v>
      </c>
      <c r="Z862" t="s">
        <v>16065</v>
      </c>
      <c r="AA862" t="s">
        <v>16066</v>
      </c>
      <c r="AB862" t="s">
        <v>16067</v>
      </c>
      <c r="AC862" t="s">
        <v>16068</v>
      </c>
      <c r="AD862" t="s">
        <v>16069</v>
      </c>
      <c r="AE862" t="s">
        <v>16070</v>
      </c>
      <c r="AF862" t="s">
        <v>74</v>
      </c>
      <c r="AG862">
        <v>34</v>
      </c>
      <c r="AH862">
        <v>8</v>
      </c>
      <c r="AI862">
        <v>8</v>
      </c>
      <c r="AJ862">
        <v>1</v>
      </c>
      <c r="AK862">
        <v>3</v>
      </c>
      <c r="AL862" t="s">
        <v>16071</v>
      </c>
      <c r="AM862" t="s">
        <v>16072</v>
      </c>
      <c r="AN862" t="s">
        <v>16073</v>
      </c>
      <c r="AO862" t="s">
        <v>16074</v>
      </c>
      <c r="AP862" t="s">
        <v>16075</v>
      </c>
      <c r="AQ862" t="s">
        <v>74</v>
      </c>
      <c r="AR862" t="s">
        <v>16076</v>
      </c>
      <c r="AS862" t="s">
        <v>16077</v>
      </c>
      <c r="AT862" t="s">
        <v>416</v>
      </c>
      <c r="AU862">
        <v>2020</v>
      </c>
      <c r="AV862">
        <v>10</v>
      </c>
      <c r="AW862">
        <v>1</v>
      </c>
      <c r="AX862" t="s">
        <v>74</v>
      </c>
      <c r="AY862" t="s">
        <v>74</v>
      </c>
      <c r="AZ862" t="s">
        <v>74</v>
      </c>
      <c r="BA862" t="s">
        <v>74</v>
      </c>
      <c r="BB862" t="s">
        <v>74</v>
      </c>
      <c r="BC862" t="s">
        <v>74</v>
      </c>
      <c r="BD862">
        <v>10425</v>
      </c>
      <c r="BE862" t="s">
        <v>16078</v>
      </c>
      <c r="BF862" t="str">
        <f>HYPERLINK("http://dx.doi.org/10.7189/jogh.10.010425","http://dx.doi.org/10.7189/jogh.10.010425")</f>
        <v>http://dx.doi.org/10.7189/jogh.10.010425</v>
      </c>
      <c r="BG862" t="s">
        <v>74</v>
      </c>
      <c r="BH862" t="s">
        <v>74</v>
      </c>
      <c r="BI862">
        <v>12</v>
      </c>
      <c r="BJ862" t="s">
        <v>1505</v>
      </c>
      <c r="BK862" t="s">
        <v>147</v>
      </c>
      <c r="BL862" t="s">
        <v>1505</v>
      </c>
      <c r="BM862" t="s">
        <v>16079</v>
      </c>
      <c r="BN862">
        <v>32509293</v>
      </c>
      <c r="BO862" t="s">
        <v>623</v>
      </c>
      <c r="BP862" t="s">
        <v>74</v>
      </c>
      <c r="BQ862" t="s">
        <v>74</v>
      </c>
      <c r="BR862" t="s">
        <v>102</v>
      </c>
      <c r="BS862" t="s">
        <v>16080</v>
      </c>
      <c r="BT862" t="str">
        <f>HYPERLINK("https%3A%2F%2Fwww.webofscience.com%2Fwos%2Fwoscc%2Ffull-record%2FWOS:000549898000112","View Full Record in Web of Science")</f>
        <v>View Full Record in Web of Science</v>
      </c>
    </row>
    <row r="863" spans="1:72" x14ac:dyDescent="0.2">
      <c r="A863" t="s">
        <v>72</v>
      </c>
      <c r="B863" t="s">
        <v>16081</v>
      </c>
      <c r="C863" t="s">
        <v>74</v>
      </c>
      <c r="D863" t="s">
        <v>74</v>
      </c>
      <c r="E863" t="s">
        <v>74</v>
      </c>
      <c r="F863" t="s">
        <v>16082</v>
      </c>
      <c r="G863" t="s">
        <v>74</v>
      </c>
      <c r="H863" t="s">
        <v>74</v>
      </c>
      <c r="I863" t="s">
        <v>16083</v>
      </c>
      <c r="J863" t="s">
        <v>16084</v>
      </c>
      <c r="K863" t="s">
        <v>74</v>
      </c>
      <c r="L863" t="s">
        <v>74</v>
      </c>
      <c r="M863" t="s">
        <v>78</v>
      </c>
      <c r="N863" t="s">
        <v>917</v>
      </c>
      <c r="O863" t="s">
        <v>74</v>
      </c>
      <c r="P863" t="s">
        <v>74</v>
      </c>
      <c r="Q863" t="s">
        <v>74</v>
      </c>
      <c r="R863" t="s">
        <v>74</v>
      </c>
      <c r="S863" t="s">
        <v>74</v>
      </c>
      <c r="T863" t="s">
        <v>16085</v>
      </c>
      <c r="U863" t="s">
        <v>16086</v>
      </c>
      <c r="V863" t="s">
        <v>16087</v>
      </c>
      <c r="W863" t="s">
        <v>16088</v>
      </c>
      <c r="X863" t="s">
        <v>16089</v>
      </c>
      <c r="Y863" t="s">
        <v>16090</v>
      </c>
      <c r="Z863" t="s">
        <v>16091</v>
      </c>
      <c r="AA863" t="s">
        <v>16092</v>
      </c>
      <c r="AB863" t="s">
        <v>16093</v>
      </c>
      <c r="AC863" t="s">
        <v>74</v>
      </c>
      <c r="AD863" t="s">
        <v>74</v>
      </c>
      <c r="AE863" t="s">
        <v>74</v>
      </c>
      <c r="AF863" t="s">
        <v>74</v>
      </c>
      <c r="AG863">
        <v>45</v>
      </c>
      <c r="AH863">
        <v>4</v>
      </c>
      <c r="AI863">
        <v>4</v>
      </c>
      <c r="AJ863">
        <v>11</v>
      </c>
      <c r="AK863">
        <v>33</v>
      </c>
      <c r="AL863" t="s">
        <v>409</v>
      </c>
      <c r="AM863" t="s">
        <v>410</v>
      </c>
      <c r="AN863" t="s">
        <v>411</v>
      </c>
      <c r="AO863" t="s">
        <v>16094</v>
      </c>
      <c r="AP863" t="s">
        <v>16095</v>
      </c>
      <c r="AQ863" t="s">
        <v>74</v>
      </c>
      <c r="AR863" t="s">
        <v>16096</v>
      </c>
      <c r="AS863" t="s">
        <v>16097</v>
      </c>
      <c r="AT863" t="s">
        <v>16098</v>
      </c>
      <c r="AU863">
        <v>2022</v>
      </c>
      <c r="AV863" t="s">
        <v>74</v>
      </c>
      <c r="AW863" t="s">
        <v>74</v>
      </c>
      <c r="AX863" t="s">
        <v>74</v>
      </c>
      <c r="AY863" t="s">
        <v>74</v>
      </c>
      <c r="AZ863" t="s">
        <v>74</v>
      </c>
      <c r="BA863" t="s">
        <v>74</v>
      </c>
      <c r="BB863" t="s">
        <v>74</v>
      </c>
      <c r="BC863" t="s">
        <v>74</v>
      </c>
      <c r="BD863" t="s">
        <v>74</v>
      </c>
      <c r="BE863" t="s">
        <v>16099</v>
      </c>
      <c r="BF863" t="str">
        <f>HYPERLINK("http://dx.doi.org/10.1002/pip.3626","http://dx.doi.org/10.1002/pip.3626")</f>
        <v>http://dx.doi.org/10.1002/pip.3626</v>
      </c>
      <c r="BG863" t="s">
        <v>74</v>
      </c>
      <c r="BH863" t="s">
        <v>4492</v>
      </c>
      <c r="BI863">
        <v>11</v>
      </c>
      <c r="BJ863" t="s">
        <v>16100</v>
      </c>
      <c r="BK863" t="s">
        <v>98</v>
      </c>
      <c r="BL863" t="s">
        <v>16101</v>
      </c>
      <c r="BM863" t="s">
        <v>16102</v>
      </c>
      <c r="BN863" t="s">
        <v>74</v>
      </c>
      <c r="BO863" t="s">
        <v>74</v>
      </c>
      <c r="BP863" t="s">
        <v>74</v>
      </c>
      <c r="BQ863" t="s">
        <v>74</v>
      </c>
      <c r="BR863" t="s">
        <v>102</v>
      </c>
      <c r="BS863" t="s">
        <v>16103</v>
      </c>
      <c r="BT863" t="str">
        <f>HYPERLINK("https%3A%2F%2Fwww.webofscience.com%2Fwos%2Fwoscc%2Ffull-record%2FWOS:000861742800001","View Full Record in Web of Science")</f>
        <v>View Full Record in Web of Science</v>
      </c>
    </row>
    <row r="864" spans="1:72" x14ac:dyDescent="0.2">
      <c r="A864" t="s">
        <v>72</v>
      </c>
      <c r="B864" t="s">
        <v>16104</v>
      </c>
      <c r="C864" t="s">
        <v>74</v>
      </c>
      <c r="D864" t="s">
        <v>74</v>
      </c>
      <c r="E864" t="s">
        <v>74</v>
      </c>
      <c r="F864" t="s">
        <v>16105</v>
      </c>
      <c r="G864" t="s">
        <v>74</v>
      </c>
      <c r="H864" t="s">
        <v>74</v>
      </c>
      <c r="I864" t="s">
        <v>16106</v>
      </c>
      <c r="J864" t="s">
        <v>16107</v>
      </c>
      <c r="K864" t="s">
        <v>74</v>
      </c>
      <c r="L864" t="s">
        <v>74</v>
      </c>
      <c r="M864" t="s">
        <v>78</v>
      </c>
      <c r="N864" t="s">
        <v>108</v>
      </c>
      <c r="O864" t="s">
        <v>74</v>
      </c>
      <c r="P864" t="s">
        <v>74</v>
      </c>
      <c r="Q864" t="s">
        <v>74</v>
      </c>
      <c r="R864" t="s">
        <v>74</v>
      </c>
      <c r="S864" t="s">
        <v>74</v>
      </c>
      <c r="T864" t="s">
        <v>16108</v>
      </c>
      <c r="U864" t="s">
        <v>16109</v>
      </c>
      <c r="V864" t="s">
        <v>16110</v>
      </c>
      <c r="W864" t="s">
        <v>16111</v>
      </c>
      <c r="X864" t="s">
        <v>16112</v>
      </c>
      <c r="Y864" t="s">
        <v>16113</v>
      </c>
      <c r="Z864" t="s">
        <v>16114</v>
      </c>
      <c r="AA864" t="s">
        <v>16115</v>
      </c>
      <c r="AB864" t="s">
        <v>16116</v>
      </c>
      <c r="AC864" t="s">
        <v>16117</v>
      </c>
      <c r="AD864" t="s">
        <v>16118</v>
      </c>
      <c r="AE864" t="s">
        <v>16119</v>
      </c>
      <c r="AF864" t="s">
        <v>74</v>
      </c>
      <c r="AG864">
        <v>50</v>
      </c>
      <c r="AH864">
        <v>46</v>
      </c>
      <c r="AI864">
        <v>46</v>
      </c>
      <c r="AJ864">
        <v>16</v>
      </c>
      <c r="AK864">
        <v>158</v>
      </c>
      <c r="AL864" t="s">
        <v>543</v>
      </c>
      <c r="AM864" t="s">
        <v>260</v>
      </c>
      <c r="AN864" t="s">
        <v>544</v>
      </c>
      <c r="AO864" t="s">
        <v>16120</v>
      </c>
      <c r="AP864" t="s">
        <v>16121</v>
      </c>
      <c r="AQ864" t="s">
        <v>74</v>
      </c>
      <c r="AR864" t="s">
        <v>16107</v>
      </c>
      <c r="AS864" t="s">
        <v>16122</v>
      </c>
      <c r="AT864" t="s">
        <v>5209</v>
      </c>
      <c r="AU864">
        <v>2019</v>
      </c>
      <c r="AV864">
        <v>170</v>
      </c>
      <c r="AW864" t="s">
        <v>74</v>
      </c>
      <c r="AX864" t="s">
        <v>74</v>
      </c>
      <c r="AY864" t="s">
        <v>74</v>
      </c>
      <c r="AZ864" t="s">
        <v>74</v>
      </c>
      <c r="BA864" t="s">
        <v>74</v>
      </c>
      <c r="BB864">
        <v>1191</v>
      </c>
      <c r="BC864">
        <v>1201</v>
      </c>
      <c r="BD864" t="s">
        <v>74</v>
      </c>
      <c r="BE864" t="s">
        <v>16123</v>
      </c>
      <c r="BF864" t="str">
        <f>HYPERLINK("http://dx.doi.org/10.1016/j.energy.2018.12.164","http://dx.doi.org/10.1016/j.energy.2018.12.164")</f>
        <v>http://dx.doi.org/10.1016/j.energy.2018.12.164</v>
      </c>
      <c r="BG864" t="s">
        <v>74</v>
      </c>
      <c r="BH864" t="s">
        <v>74</v>
      </c>
      <c r="BI864">
        <v>11</v>
      </c>
      <c r="BJ864" t="s">
        <v>16124</v>
      </c>
      <c r="BK864" t="s">
        <v>147</v>
      </c>
      <c r="BL864" t="s">
        <v>16124</v>
      </c>
      <c r="BM864" t="s">
        <v>16125</v>
      </c>
      <c r="BN864" t="s">
        <v>74</v>
      </c>
      <c r="BO864" t="s">
        <v>74</v>
      </c>
      <c r="BP864" t="s">
        <v>74</v>
      </c>
      <c r="BQ864" t="s">
        <v>74</v>
      </c>
      <c r="BR864" t="s">
        <v>102</v>
      </c>
      <c r="BS864" t="s">
        <v>16126</v>
      </c>
      <c r="BT864" t="str">
        <f>HYPERLINK("https%3A%2F%2Fwww.webofscience.com%2Fwos%2Fwoscc%2Ffull-record%2FWOS:000460845700097","View Full Record in Web of Science")</f>
        <v>View Full Record in Web of Science</v>
      </c>
    </row>
    <row r="865" spans="1:72" x14ac:dyDescent="0.2">
      <c r="A865" t="s">
        <v>72</v>
      </c>
      <c r="B865" t="s">
        <v>16127</v>
      </c>
      <c r="C865" t="s">
        <v>74</v>
      </c>
      <c r="D865" t="s">
        <v>74</v>
      </c>
      <c r="E865" t="s">
        <v>74</v>
      </c>
      <c r="F865" t="s">
        <v>16128</v>
      </c>
      <c r="G865" t="s">
        <v>74</v>
      </c>
      <c r="H865" t="s">
        <v>74</v>
      </c>
      <c r="I865" t="s">
        <v>16129</v>
      </c>
      <c r="J865" t="s">
        <v>976</v>
      </c>
      <c r="K865" t="s">
        <v>74</v>
      </c>
      <c r="L865" t="s">
        <v>74</v>
      </c>
      <c r="M865" t="s">
        <v>78</v>
      </c>
      <c r="N865" t="s">
        <v>108</v>
      </c>
      <c r="O865" t="s">
        <v>74</v>
      </c>
      <c r="P865" t="s">
        <v>74</v>
      </c>
      <c r="Q865" t="s">
        <v>74</v>
      </c>
      <c r="R865" t="s">
        <v>74</v>
      </c>
      <c r="S865" t="s">
        <v>74</v>
      </c>
      <c r="T865" t="s">
        <v>16130</v>
      </c>
      <c r="U865" t="s">
        <v>16131</v>
      </c>
      <c r="V865" t="s">
        <v>16132</v>
      </c>
      <c r="W865" t="s">
        <v>16133</v>
      </c>
      <c r="X865" t="s">
        <v>16134</v>
      </c>
      <c r="Y865" t="s">
        <v>16135</v>
      </c>
      <c r="Z865" t="s">
        <v>16136</v>
      </c>
      <c r="AA865" t="s">
        <v>16137</v>
      </c>
      <c r="AB865" t="s">
        <v>16138</v>
      </c>
      <c r="AC865" t="s">
        <v>16139</v>
      </c>
      <c r="AD865" t="s">
        <v>16140</v>
      </c>
      <c r="AE865" t="s">
        <v>16141</v>
      </c>
      <c r="AF865" t="s">
        <v>74</v>
      </c>
      <c r="AG865">
        <v>60</v>
      </c>
      <c r="AH865">
        <v>138</v>
      </c>
      <c r="AI865">
        <v>145</v>
      </c>
      <c r="AJ865">
        <v>16</v>
      </c>
      <c r="AK865">
        <v>221</v>
      </c>
      <c r="AL865" t="s">
        <v>259</v>
      </c>
      <c r="AM865" t="s">
        <v>260</v>
      </c>
      <c r="AN865" t="s">
        <v>261</v>
      </c>
      <c r="AO865" t="s">
        <v>989</v>
      </c>
      <c r="AP865" t="s">
        <v>990</v>
      </c>
      <c r="AQ865" t="s">
        <v>74</v>
      </c>
      <c r="AR865" t="s">
        <v>991</v>
      </c>
      <c r="AS865" t="s">
        <v>992</v>
      </c>
      <c r="AT865" t="s">
        <v>16142</v>
      </c>
      <c r="AU865">
        <v>2017</v>
      </c>
      <c r="AV865">
        <v>144</v>
      </c>
      <c r="AW865" t="s">
        <v>74</v>
      </c>
      <c r="AX865" t="s">
        <v>74</v>
      </c>
      <c r="AY865" t="s">
        <v>74</v>
      </c>
      <c r="AZ865" t="s">
        <v>74</v>
      </c>
      <c r="BA865" t="s">
        <v>74</v>
      </c>
      <c r="BB865">
        <v>203</v>
      </c>
      <c r="BC865">
        <v>219</v>
      </c>
      <c r="BD865" t="s">
        <v>74</v>
      </c>
      <c r="BE865" t="s">
        <v>16143</v>
      </c>
      <c r="BF865" t="str">
        <f>HYPERLINK("http://dx.doi.org/10.1016/j.jclepro.2017.01.001","http://dx.doi.org/10.1016/j.jclepro.2017.01.001")</f>
        <v>http://dx.doi.org/10.1016/j.jclepro.2017.01.001</v>
      </c>
      <c r="BG865" t="s">
        <v>74</v>
      </c>
      <c r="BH865" t="s">
        <v>74</v>
      </c>
      <c r="BI865">
        <v>17</v>
      </c>
      <c r="BJ865" t="s">
        <v>995</v>
      </c>
      <c r="BK865" t="s">
        <v>98</v>
      </c>
      <c r="BL865" t="s">
        <v>996</v>
      </c>
      <c r="BM865" t="s">
        <v>16144</v>
      </c>
      <c r="BN865" t="s">
        <v>74</v>
      </c>
      <c r="BO865" t="s">
        <v>74</v>
      </c>
      <c r="BP865" t="s">
        <v>74</v>
      </c>
      <c r="BQ865" t="s">
        <v>74</v>
      </c>
      <c r="BR865" t="s">
        <v>102</v>
      </c>
      <c r="BS865" t="s">
        <v>16145</v>
      </c>
      <c r="BT865" t="str">
        <f>HYPERLINK("https%3A%2F%2Fwww.webofscience.com%2Fwos%2Fwoscc%2Ffull-record%2FWOS:000393249300021","View Full Record in Web of Science")</f>
        <v>View Full Record in Web of Science</v>
      </c>
    </row>
    <row r="866" spans="1:72" x14ac:dyDescent="0.2">
      <c r="A866" t="s">
        <v>72</v>
      </c>
      <c r="B866" t="s">
        <v>16146</v>
      </c>
      <c r="C866" t="s">
        <v>74</v>
      </c>
      <c r="D866" t="s">
        <v>74</v>
      </c>
      <c r="E866" t="s">
        <v>74</v>
      </c>
      <c r="F866" t="s">
        <v>16147</v>
      </c>
      <c r="G866" t="s">
        <v>74</v>
      </c>
      <c r="H866" t="s">
        <v>74</v>
      </c>
      <c r="I866" t="s">
        <v>16148</v>
      </c>
      <c r="J866" t="s">
        <v>4384</v>
      </c>
      <c r="K866" t="s">
        <v>74</v>
      </c>
      <c r="L866" t="s">
        <v>74</v>
      </c>
      <c r="M866" t="s">
        <v>78</v>
      </c>
      <c r="N866" t="s">
        <v>108</v>
      </c>
      <c r="O866" t="s">
        <v>74</v>
      </c>
      <c r="P866" t="s">
        <v>74</v>
      </c>
      <c r="Q866" t="s">
        <v>74</v>
      </c>
      <c r="R866" t="s">
        <v>74</v>
      </c>
      <c r="S866" t="s">
        <v>74</v>
      </c>
      <c r="T866" t="s">
        <v>16149</v>
      </c>
      <c r="U866" t="s">
        <v>16150</v>
      </c>
      <c r="V866" t="s">
        <v>16151</v>
      </c>
      <c r="W866" t="s">
        <v>16152</v>
      </c>
      <c r="X866" t="s">
        <v>16153</v>
      </c>
      <c r="Y866" t="s">
        <v>16154</v>
      </c>
      <c r="Z866" t="s">
        <v>16155</v>
      </c>
      <c r="AA866" t="s">
        <v>16156</v>
      </c>
      <c r="AB866" t="s">
        <v>16157</v>
      </c>
      <c r="AC866" t="s">
        <v>16158</v>
      </c>
      <c r="AD866" t="s">
        <v>16159</v>
      </c>
      <c r="AE866" t="s">
        <v>16160</v>
      </c>
      <c r="AF866" t="s">
        <v>74</v>
      </c>
      <c r="AG866">
        <v>43</v>
      </c>
      <c r="AH866">
        <v>14</v>
      </c>
      <c r="AI866">
        <v>15</v>
      </c>
      <c r="AJ866">
        <v>24</v>
      </c>
      <c r="AK866">
        <v>79</v>
      </c>
      <c r="AL866" t="s">
        <v>167</v>
      </c>
      <c r="AM866" t="s">
        <v>168</v>
      </c>
      <c r="AN866" t="s">
        <v>169</v>
      </c>
      <c r="AO866" t="s">
        <v>4393</v>
      </c>
      <c r="AP866" t="s">
        <v>74</v>
      </c>
      <c r="AQ866" t="s">
        <v>74</v>
      </c>
      <c r="AR866" t="s">
        <v>4384</v>
      </c>
      <c r="AS866" t="s">
        <v>4394</v>
      </c>
      <c r="AT866" t="s">
        <v>74</v>
      </c>
      <c r="AU866">
        <v>2020</v>
      </c>
      <c r="AV866">
        <v>8</v>
      </c>
      <c r="AW866" t="s">
        <v>74</v>
      </c>
      <c r="AX866" t="s">
        <v>74</v>
      </c>
      <c r="AY866" t="s">
        <v>74</v>
      </c>
      <c r="AZ866" t="s">
        <v>74</v>
      </c>
      <c r="BA866" t="s">
        <v>74</v>
      </c>
      <c r="BB866">
        <v>108705</v>
      </c>
      <c r="BC866">
        <v>108719</v>
      </c>
      <c r="BD866" t="s">
        <v>74</v>
      </c>
      <c r="BE866" t="s">
        <v>16161</v>
      </c>
      <c r="BF866" t="str">
        <f>HYPERLINK("http://dx.doi.org/10.1109/ACCESS.2020.3001753","http://dx.doi.org/10.1109/ACCESS.2020.3001753")</f>
        <v>http://dx.doi.org/10.1109/ACCESS.2020.3001753</v>
      </c>
      <c r="BG866" t="s">
        <v>74</v>
      </c>
      <c r="BH866" t="s">
        <v>74</v>
      </c>
      <c r="BI866">
        <v>15</v>
      </c>
      <c r="BJ866" t="s">
        <v>2959</v>
      </c>
      <c r="BK866" t="s">
        <v>98</v>
      </c>
      <c r="BL866" t="s">
        <v>2960</v>
      </c>
      <c r="BM866" t="s">
        <v>16162</v>
      </c>
      <c r="BN866" t="s">
        <v>74</v>
      </c>
      <c r="BO866" t="s">
        <v>126</v>
      </c>
      <c r="BP866" t="s">
        <v>74</v>
      </c>
      <c r="BQ866" t="s">
        <v>74</v>
      </c>
      <c r="BR866" t="s">
        <v>102</v>
      </c>
      <c r="BS866" t="s">
        <v>16163</v>
      </c>
      <c r="BT866" t="str">
        <f>HYPERLINK("https%3A%2F%2Fwww.webofscience.com%2Fwos%2Fwoscc%2Ffull-record%2FWOS:000549853500001","View Full Record in Web of Science")</f>
        <v>View Full Record in Web of Science</v>
      </c>
    </row>
    <row r="867" spans="1:72" x14ac:dyDescent="0.2">
      <c r="A867" t="s">
        <v>72</v>
      </c>
      <c r="B867" t="s">
        <v>16164</v>
      </c>
      <c r="C867" t="s">
        <v>74</v>
      </c>
      <c r="D867" t="s">
        <v>74</v>
      </c>
      <c r="E867" t="s">
        <v>74</v>
      </c>
      <c r="F867" t="s">
        <v>16165</v>
      </c>
      <c r="G867" t="s">
        <v>74</v>
      </c>
      <c r="H867" t="s">
        <v>74</v>
      </c>
      <c r="I867" t="s">
        <v>16166</v>
      </c>
      <c r="J867" t="s">
        <v>9054</v>
      </c>
      <c r="K867" t="s">
        <v>74</v>
      </c>
      <c r="L867" t="s">
        <v>74</v>
      </c>
      <c r="M867" t="s">
        <v>78</v>
      </c>
      <c r="N867" t="s">
        <v>79</v>
      </c>
      <c r="O867" t="s">
        <v>74</v>
      </c>
      <c r="P867" t="s">
        <v>74</v>
      </c>
      <c r="Q867" t="s">
        <v>74</v>
      </c>
      <c r="R867" t="s">
        <v>74</v>
      </c>
      <c r="S867" t="s">
        <v>74</v>
      </c>
      <c r="T867" t="s">
        <v>16167</v>
      </c>
      <c r="U867" t="s">
        <v>16168</v>
      </c>
      <c r="V867" t="s">
        <v>16169</v>
      </c>
      <c r="W867" t="s">
        <v>16170</v>
      </c>
      <c r="X867" t="s">
        <v>16171</v>
      </c>
      <c r="Y867" t="s">
        <v>16172</v>
      </c>
      <c r="Z867" t="s">
        <v>16173</v>
      </c>
      <c r="AA867" t="s">
        <v>74</v>
      </c>
      <c r="AB867" t="s">
        <v>16174</v>
      </c>
      <c r="AC867" t="s">
        <v>74</v>
      </c>
      <c r="AD867" t="s">
        <v>74</v>
      </c>
      <c r="AE867" t="s">
        <v>74</v>
      </c>
      <c r="AF867" t="s">
        <v>74</v>
      </c>
      <c r="AG867">
        <v>423</v>
      </c>
      <c r="AH867">
        <v>38</v>
      </c>
      <c r="AI867">
        <v>38</v>
      </c>
      <c r="AJ867">
        <v>5</v>
      </c>
      <c r="AK867">
        <v>71</v>
      </c>
      <c r="AL867" t="s">
        <v>437</v>
      </c>
      <c r="AM867" t="s">
        <v>438</v>
      </c>
      <c r="AN867" t="s">
        <v>439</v>
      </c>
      <c r="AO867" t="s">
        <v>9064</v>
      </c>
      <c r="AP867" t="s">
        <v>9065</v>
      </c>
      <c r="AQ867" t="s">
        <v>74</v>
      </c>
      <c r="AR867" t="s">
        <v>9066</v>
      </c>
      <c r="AS867" t="s">
        <v>9067</v>
      </c>
      <c r="AT867" t="s">
        <v>74</v>
      </c>
      <c r="AU867">
        <v>2018</v>
      </c>
      <c r="AV867">
        <v>15</v>
      </c>
      <c r="AW867">
        <v>3</v>
      </c>
      <c r="AX867" t="s">
        <v>74</v>
      </c>
      <c r="AY867" t="s">
        <v>74</v>
      </c>
      <c r="AZ867" t="s">
        <v>74</v>
      </c>
      <c r="BA867" t="s">
        <v>74</v>
      </c>
      <c r="BB867">
        <v>306</v>
      </c>
      <c r="BC867">
        <v>346</v>
      </c>
      <c r="BD867" t="s">
        <v>74</v>
      </c>
      <c r="BE867" t="s">
        <v>16175</v>
      </c>
      <c r="BF867" t="str">
        <f>HYPERLINK("http://dx.doi.org/10.1108/JAMR-09-2017-0091","http://dx.doi.org/10.1108/JAMR-09-2017-0091")</f>
        <v>http://dx.doi.org/10.1108/JAMR-09-2017-0091</v>
      </c>
      <c r="BG867" t="s">
        <v>74</v>
      </c>
      <c r="BH867" t="s">
        <v>74</v>
      </c>
      <c r="BI867">
        <v>41</v>
      </c>
      <c r="BJ867" t="s">
        <v>418</v>
      </c>
      <c r="BK867" t="s">
        <v>124</v>
      </c>
      <c r="BL867" t="s">
        <v>419</v>
      </c>
      <c r="BM867" t="s">
        <v>16176</v>
      </c>
      <c r="BN867" t="s">
        <v>74</v>
      </c>
      <c r="BO867" t="s">
        <v>74</v>
      </c>
      <c r="BP867" t="s">
        <v>74</v>
      </c>
      <c r="BQ867" t="s">
        <v>74</v>
      </c>
      <c r="BR867" t="s">
        <v>102</v>
      </c>
      <c r="BS867" t="s">
        <v>16177</v>
      </c>
      <c r="BT867" t="str">
        <f>HYPERLINK("https%3A%2F%2Fwww.webofscience.com%2Fwos%2Fwoscc%2Ffull-record%2FWOS:000439696800005","View Full Record in Web of Science")</f>
        <v>View Full Record in Web of Science</v>
      </c>
    </row>
    <row r="868" spans="1:72" x14ac:dyDescent="0.2">
      <c r="A868" t="s">
        <v>72</v>
      </c>
      <c r="B868" t="s">
        <v>16178</v>
      </c>
      <c r="C868" t="s">
        <v>74</v>
      </c>
      <c r="D868" t="s">
        <v>74</v>
      </c>
      <c r="E868" t="s">
        <v>74</v>
      </c>
      <c r="F868" t="s">
        <v>16179</v>
      </c>
      <c r="G868" t="s">
        <v>74</v>
      </c>
      <c r="H868" t="s">
        <v>74</v>
      </c>
      <c r="I868" t="s">
        <v>16180</v>
      </c>
      <c r="J868" t="s">
        <v>337</v>
      </c>
      <c r="K868" t="s">
        <v>74</v>
      </c>
      <c r="L868" t="s">
        <v>74</v>
      </c>
      <c r="M868" t="s">
        <v>78</v>
      </c>
      <c r="N868" t="s">
        <v>482</v>
      </c>
      <c r="O868" t="s">
        <v>16181</v>
      </c>
      <c r="P868">
        <v>2017</v>
      </c>
      <c r="Q868" t="s">
        <v>16182</v>
      </c>
      <c r="R868" t="s">
        <v>74</v>
      </c>
      <c r="S868" t="s">
        <v>74</v>
      </c>
      <c r="T868" t="s">
        <v>16183</v>
      </c>
      <c r="U868" t="s">
        <v>16184</v>
      </c>
      <c r="V868" t="s">
        <v>16185</v>
      </c>
      <c r="W868" t="s">
        <v>16186</v>
      </c>
      <c r="X868" t="s">
        <v>16187</v>
      </c>
      <c r="Y868" t="s">
        <v>16188</v>
      </c>
      <c r="Z868" t="s">
        <v>16189</v>
      </c>
      <c r="AA868" t="s">
        <v>16190</v>
      </c>
      <c r="AB868" t="s">
        <v>16191</v>
      </c>
      <c r="AC868" t="s">
        <v>74</v>
      </c>
      <c r="AD868" t="s">
        <v>74</v>
      </c>
      <c r="AE868" t="s">
        <v>74</v>
      </c>
      <c r="AF868" t="s">
        <v>74</v>
      </c>
      <c r="AG868">
        <v>68</v>
      </c>
      <c r="AH868">
        <v>18</v>
      </c>
      <c r="AI868">
        <v>21</v>
      </c>
      <c r="AJ868">
        <v>9</v>
      </c>
      <c r="AK868">
        <v>65</v>
      </c>
      <c r="AL868" t="s">
        <v>347</v>
      </c>
      <c r="AM868" t="s">
        <v>348</v>
      </c>
      <c r="AN868" t="s">
        <v>349</v>
      </c>
      <c r="AO868" t="s">
        <v>350</v>
      </c>
      <c r="AP868" t="s">
        <v>351</v>
      </c>
      <c r="AQ868" t="s">
        <v>74</v>
      </c>
      <c r="AR868" t="s">
        <v>352</v>
      </c>
      <c r="AS868" t="s">
        <v>353</v>
      </c>
      <c r="AT868" t="s">
        <v>394</v>
      </c>
      <c r="AU868">
        <v>2019</v>
      </c>
      <c r="AV868">
        <v>146</v>
      </c>
      <c r="AW868" t="s">
        <v>74</v>
      </c>
      <c r="AX868" t="s">
        <v>74</v>
      </c>
      <c r="AY868" t="s">
        <v>74</v>
      </c>
      <c r="AZ868" t="s">
        <v>74</v>
      </c>
      <c r="BA868" t="s">
        <v>74</v>
      </c>
      <c r="BB868">
        <v>808</v>
      </c>
      <c r="BC868">
        <v>819</v>
      </c>
      <c r="BD868" t="s">
        <v>74</v>
      </c>
      <c r="BE868" t="s">
        <v>16192</v>
      </c>
      <c r="BF868" t="str">
        <f>HYPERLINK("http://dx.doi.org/10.1016/j.techfore.2018.07.044","http://dx.doi.org/10.1016/j.techfore.2018.07.044")</f>
        <v>http://dx.doi.org/10.1016/j.techfore.2018.07.044</v>
      </c>
      <c r="BG868" t="s">
        <v>74</v>
      </c>
      <c r="BH868" t="s">
        <v>74</v>
      </c>
      <c r="BI868">
        <v>12</v>
      </c>
      <c r="BJ868" t="s">
        <v>356</v>
      </c>
      <c r="BK868" t="s">
        <v>11193</v>
      </c>
      <c r="BL868" t="s">
        <v>357</v>
      </c>
      <c r="BM868" t="s">
        <v>16193</v>
      </c>
      <c r="BN868" t="s">
        <v>74</v>
      </c>
      <c r="BO868" t="s">
        <v>74</v>
      </c>
      <c r="BP868" t="s">
        <v>74</v>
      </c>
      <c r="BQ868" t="s">
        <v>74</v>
      </c>
      <c r="BR868" t="s">
        <v>102</v>
      </c>
      <c r="BS868" t="s">
        <v>16194</v>
      </c>
      <c r="BT868" t="str">
        <f>HYPERLINK("https%3A%2F%2Fwww.webofscience.com%2Fwos%2Fwoscc%2Ffull-record%2FWOS:000499922800064","View Full Record in Web of Science")</f>
        <v>View Full Record in Web of Science</v>
      </c>
    </row>
    <row r="869" spans="1:72" x14ac:dyDescent="0.2">
      <c r="A869" t="s">
        <v>72</v>
      </c>
      <c r="B869" t="s">
        <v>16195</v>
      </c>
      <c r="C869" t="s">
        <v>74</v>
      </c>
      <c r="D869" t="s">
        <v>74</v>
      </c>
      <c r="E869" t="s">
        <v>74</v>
      </c>
      <c r="F869" t="s">
        <v>16196</v>
      </c>
      <c r="G869" t="s">
        <v>74</v>
      </c>
      <c r="H869" t="s">
        <v>74</v>
      </c>
      <c r="I869" t="s">
        <v>16197</v>
      </c>
      <c r="J869" t="s">
        <v>8145</v>
      </c>
      <c r="K869" t="s">
        <v>74</v>
      </c>
      <c r="L869" t="s">
        <v>74</v>
      </c>
      <c r="M869" t="s">
        <v>78</v>
      </c>
      <c r="N869" t="s">
        <v>108</v>
      </c>
      <c r="O869" t="s">
        <v>74</v>
      </c>
      <c r="P869" t="s">
        <v>74</v>
      </c>
      <c r="Q869" t="s">
        <v>74</v>
      </c>
      <c r="R869" t="s">
        <v>74</v>
      </c>
      <c r="S869" t="s">
        <v>74</v>
      </c>
      <c r="T869" t="s">
        <v>16198</v>
      </c>
      <c r="U869" t="s">
        <v>74</v>
      </c>
      <c r="V869" t="s">
        <v>16199</v>
      </c>
      <c r="W869" t="s">
        <v>16200</v>
      </c>
      <c r="X869" t="s">
        <v>16201</v>
      </c>
      <c r="Y869" t="s">
        <v>16202</v>
      </c>
      <c r="Z869" t="s">
        <v>16203</v>
      </c>
      <c r="AA869" t="s">
        <v>16204</v>
      </c>
      <c r="AB869" t="s">
        <v>16205</v>
      </c>
      <c r="AC869" t="s">
        <v>74</v>
      </c>
      <c r="AD869" t="s">
        <v>74</v>
      </c>
      <c r="AE869" t="s">
        <v>74</v>
      </c>
      <c r="AF869" t="s">
        <v>74</v>
      </c>
      <c r="AG869">
        <v>35</v>
      </c>
      <c r="AH869">
        <v>0</v>
      </c>
      <c r="AI869">
        <v>0</v>
      </c>
      <c r="AJ869">
        <v>0</v>
      </c>
      <c r="AK869">
        <v>7</v>
      </c>
      <c r="AL869" t="s">
        <v>321</v>
      </c>
      <c r="AM869" t="s">
        <v>322</v>
      </c>
      <c r="AN869" t="s">
        <v>323</v>
      </c>
      <c r="AO869" t="s">
        <v>8155</v>
      </c>
      <c r="AP869" t="s">
        <v>8156</v>
      </c>
      <c r="AQ869" t="s">
        <v>74</v>
      </c>
      <c r="AR869" t="s">
        <v>8157</v>
      </c>
      <c r="AS869" t="s">
        <v>8158</v>
      </c>
      <c r="AT869" t="s">
        <v>394</v>
      </c>
      <c r="AU869">
        <v>2018</v>
      </c>
      <c r="AV869">
        <v>77</v>
      </c>
      <c r="AW869">
        <v>18</v>
      </c>
      <c r="AX869" t="s">
        <v>74</v>
      </c>
      <c r="AY869" t="s">
        <v>74</v>
      </c>
      <c r="AZ869" t="s">
        <v>74</v>
      </c>
      <c r="BA869" t="s">
        <v>74</v>
      </c>
      <c r="BB869">
        <v>24313</v>
      </c>
      <c r="BC869">
        <v>24331</v>
      </c>
      <c r="BD869" t="s">
        <v>74</v>
      </c>
      <c r="BE869" t="s">
        <v>16206</v>
      </c>
      <c r="BF869" t="str">
        <f>HYPERLINK("http://dx.doi.org/10.1007/s11042-018-5723-0","http://dx.doi.org/10.1007/s11042-018-5723-0")</f>
        <v>http://dx.doi.org/10.1007/s11042-018-5723-0</v>
      </c>
      <c r="BG869" t="s">
        <v>74</v>
      </c>
      <c r="BH869" t="s">
        <v>74</v>
      </c>
      <c r="BI869">
        <v>19</v>
      </c>
      <c r="BJ869" t="s">
        <v>8160</v>
      </c>
      <c r="BK869" t="s">
        <v>98</v>
      </c>
      <c r="BL869" t="s">
        <v>269</v>
      </c>
      <c r="BM869" t="s">
        <v>16207</v>
      </c>
      <c r="BN869" t="s">
        <v>74</v>
      </c>
      <c r="BO869" t="s">
        <v>74</v>
      </c>
      <c r="BP869" t="s">
        <v>74</v>
      </c>
      <c r="BQ869" t="s">
        <v>74</v>
      </c>
      <c r="BR869" t="s">
        <v>102</v>
      </c>
      <c r="BS869" t="s">
        <v>16208</v>
      </c>
      <c r="BT869" t="str">
        <f>HYPERLINK("https%3A%2F%2Fwww.webofscience.com%2Fwos%2Fwoscc%2Ffull-record%2FWOS:000441760900054","View Full Record in Web of Science")</f>
        <v>View Full Record in Web of Science</v>
      </c>
    </row>
    <row r="870" spans="1:72" x14ac:dyDescent="0.2">
      <c r="A870" t="s">
        <v>72</v>
      </c>
      <c r="B870" t="s">
        <v>16209</v>
      </c>
      <c r="C870" t="s">
        <v>74</v>
      </c>
      <c r="D870" t="s">
        <v>74</v>
      </c>
      <c r="E870" t="s">
        <v>74</v>
      </c>
      <c r="F870" t="s">
        <v>16210</v>
      </c>
      <c r="G870" t="s">
        <v>74</v>
      </c>
      <c r="H870" t="s">
        <v>74</v>
      </c>
      <c r="I870" t="s">
        <v>16211</v>
      </c>
      <c r="J870" t="s">
        <v>976</v>
      </c>
      <c r="K870" t="s">
        <v>74</v>
      </c>
      <c r="L870" t="s">
        <v>74</v>
      </c>
      <c r="M870" t="s">
        <v>78</v>
      </c>
      <c r="N870" t="s">
        <v>108</v>
      </c>
      <c r="O870" t="s">
        <v>74</v>
      </c>
      <c r="P870" t="s">
        <v>74</v>
      </c>
      <c r="Q870" t="s">
        <v>74</v>
      </c>
      <c r="R870" t="s">
        <v>74</v>
      </c>
      <c r="S870" t="s">
        <v>74</v>
      </c>
      <c r="T870" t="s">
        <v>16212</v>
      </c>
      <c r="U870" t="s">
        <v>16213</v>
      </c>
      <c r="V870" t="s">
        <v>16214</v>
      </c>
      <c r="W870" t="s">
        <v>16215</v>
      </c>
      <c r="X870" t="s">
        <v>16216</v>
      </c>
      <c r="Y870" t="s">
        <v>16217</v>
      </c>
      <c r="Z870" t="s">
        <v>16218</v>
      </c>
      <c r="AA870" t="s">
        <v>74</v>
      </c>
      <c r="AB870" t="s">
        <v>74</v>
      </c>
      <c r="AC870" t="s">
        <v>16219</v>
      </c>
      <c r="AD870" t="s">
        <v>16220</v>
      </c>
      <c r="AE870" t="s">
        <v>16221</v>
      </c>
      <c r="AF870" t="s">
        <v>74</v>
      </c>
      <c r="AG870">
        <v>46</v>
      </c>
      <c r="AH870">
        <v>68</v>
      </c>
      <c r="AI870">
        <v>69</v>
      </c>
      <c r="AJ870">
        <v>24</v>
      </c>
      <c r="AK870">
        <v>222</v>
      </c>
      <c r="AL870" t="s">
        <v>259</v>
      </c>
      <c r="AM870" t="s">
        <v>260</v>
      </c>
      <c r="AN870" t="s">
        <v>261</v>
      </c>
      <c r="AO870" t="s">
        <v>989</v>
      </c>
      <c r="AP870" t="s">
        <v>990</v>
      </c>
      <c r="AQ870" t="s">
        <v>74</v>
      </c>
      <c r="AR870" t="s">
        <v>991</v>
      </c>
      <c r="AS870" t="s">
        <v>992</v>
      </c>
      <c r="AT870" t="s">
        <v>8734</v>
      </c>
      <c r="AU870">
        <v>2021</v>
      </c>
      <c r="AV870">
        <v>278</v>
      </c>
      <c r="AW870" t="s">
        <v>74</v>
      </c>
      <c r="AX870" t="s">
        <v>74</v>
      </c>
      <c r="AY870" t="s">
        <v>74</v>
      </c>
      <c r="AZ870" t="s">
        <v>74</v>
      </c>
      <c r="BA870" t="s">
        <v>74</v>
      </c>
      <c r="BB870" t="s">
        <v>74</v>
      </c>
      <c r="BC870" t="s">
        <v>74</v>
      </c>
      <c r="BD870">
        <v>123611</v>
      </c>
      <c r="BE870" t="s">
        <v>16222</v>
      </c>
      <c r="BF870" t="str">
        <f>HYPERLINK("http://dx.doi.org/10.1016/j.jclepro.2020.123611","http://dx.doi.org/10.1016/j.jclepro.2020.123611")</f>
        <v>http://dx.doi.org/10.1016/j.jclepro.2020.123611</v>
      </c>
      <c r="BG870" t="s">
        <v>74</v>
      </c>
      <c r="BH870" t="s">
        <v>74</v>
      </c>
      <c r="BI870">
        <v>9</v>
      </c>
      <c r="BJ870" t="s">
        <v>995</v>
      </c>
      <c r="BK870" t="s">
        <v>98</v>
      </c>
      <c r="BL870" t="s">
        <v>996</v>
      </c>
      <c r="BM870" t="s">
        <v>16223</v>
      </c>
      <c r="BN870" t="s">
        <v>74</v>
      </c>
      <c r="BO870" t="s">
        <v>74</v>
      </c>
      <c r="BP870" t="s">
        <v>2105</v>
      </c>
      <c r="BQ870" t="s">
        <v>2106</v>
      </c>
      <c r="BR870" t="s">
        <v>102</v>
      </c>
      <c r="BS870" t="s">
        <v>16224</v>
      </c>
      <c r="BT870" t="str">
        <f>HYPERLINK("https%3A%2F%2Fwww.webofscience.com%2Fwos%2Fwoscc%2Ffull-record%2FWOS:000592391600017","View Full Record in Web of Science")</f>
        <v>View Full Record in Web of Science</v>
      </c>
    </row>
    <row r="871" spans="1:72" x14ac:dyDescent="0.2">
      <c r="A871" t="s">
        <v>72</v>
      </c>
      <c r="B871" t="s">
        <v>16225</v>
      </c>
      <c r="C871" t="s">
        <v>74</v>
      </c>
      <c r="D871" t="s">
        <v>74</v>
      </c>
      <c r="E871" t="s">
        <v>74</v>
      </c>
      <c r="F871" t="s">
        <v>16226</v>
      </c>
      <c r="G871" t="s">
        <v>74</v>
      </c>
      <c r="H871" t="s">
        <v>74</v>
      </c>
      <c r="I871" t="s">
        <v>16227</v>
      </c>
      <c r="J871" t="s">
        <v>16228</v>
      </c>
      <c r="K871" t="s">
        <v>74</v>
      </c>
      <c r="L871" t="s">
        <v>74</v>
      </c>
      <c r="M871" t="s">
        <v>78</v>
      </c>
      <c r="N871" t="s">
        <v>108</v>
      </c>
      <c r="O871" t="s">
        <v>74</v>
      </c>
      <c r="P871" t="s">
        <v>74</v>
      </c>
      <c r="Q871" t="s">
        <v>74</v>
      </c>
      <c r="R871" t="s">
        <v>74</v>
      </c>
      <c r="S871" t="s">
        <v>74</v>
      </c>
      <c r="T871" t="s">
        <v>16229</v>
      </c>
      <c r="U871" t="s">
        <v>16230</v>
      </c>
      <c r="V871" t="s">
        <v>16231</v>
      </c>
      <c r="W871" t="s">
        <v>16232</v>
      </c>
      <c r="X871" t="s">
        <v>16233</v>
      </c>
      <c r="Y871" t="s">
        <v>16234</v>
      </c>
      <c r="Z871" t="s">
        <v>16235</v>
      </c>
      <c r="AA871" t="s">
        <v>16236</v>
      </c>
      <c r="AB871" t="s">
        <v>16237</v>
      </c>
      <c r="AC871" t="s">
        <v>16238</v>
      </c>
      <c r="AD871" t="s">
        <v>16239</v>
      </c>
      <c r="AE871" t="s">
        <v>16240</v>
      </c>
      <c r="AF871" t="s">
        <v>74</v>
      </c>
      <c r="AG871">
        <v>64</v>
      </c>
      <c r="AH871">
        <v>3</v>
      </c>
      <c r="AI871">
        <v>3</v>
      </c>
      <c r="AJ871">
        <v>4</v>
      </c>
      <c r="AK871">
        <v>11</v>
      </c>
      <c r="AL871" t="s">
        <v>347</v>
      </c>
      <c r="AM871" t="s">
        <v>348</v>
      </c>
      <c r="AN871" t="s">
        <v>349</v>
      </c>
      <c r="AO871" t="s">
        <v>16241</v>
      </c>
      <c r="AP871" t="s">
        <v>16242</v>
      </c>
      <c r="AQ871" t="s">
        <v>74</v>
      </c>
      <c r="AR871" t="s">
        <v>16243</v>
      </c>
      <c r="AS871" t="s">
        <v>16244</v>
      </c>
      <c r="AT871" t="s">
        <v>616</v>
      </c>
      <c r="AU871">
        <v>2022</v>
      </c>
      <c r="AV871">
        <v>122</v>
      </c>
      <c r="AW871" t="s">
        <v>74</v>
      </c>
      <c r="AX871" t="s">
        <v>74</v>
      </c>
      <c r="AY871" t="s">
        <v>74</v>
      </c>
      <c r="AZ871" t="s">
        <v>74</v>
      </c>
      <c r="BA871" t="s">
        <v>74</v>
      </c>
      <c r="BB871">
        <v>294</v>
      </c>
      <c r="BC871">
        <v>311</v>
      </c>
      <c r="BD871" t="s">
        <v>74</v>
      </c>
      <c r="BE871" t="s">
        <v>16245</v>
      </c>
      <c r="BF871" t="str">
        <f>HYPERLINK("http://dx.doi.org/10.1016/j.isatra.2021.04.020","http://dx.doi.org/10.1016/j.isatra.2021.04.020")</f>
        <v>http://dx.doi.org/10.1016/j.isatra.2021.04.020</v>
      </c>
      <c r="BG871" t="s">
        <v>74</v>
      </c>
      <c r="BH871" t="s">
        <v>329</v>
      </c>
      <c r="BI871">
        <v>18</v>
      </c>
      <c r="BJ871" t="s">
        <v>16246</v>
      </c>
      <c r="BK871" t="s">
        <v>147</v>
      </c>
      <c r="BL871" t="s">
        <v>16247</v>
      </c>
      <c r="BM871" t="s">
        <v>16248</v>
      </c>
      <c r="BN871">
        <v>33962794</v>
      </c>
      <c r="BO871" t="s">
        <v>74</v>
      </c>
      <c r="BP871" t="s">
        <v>74</v>
      </c>
      <c r="BQ871" t="s">
        <v>74</v>
      </c>
      <c r="BR871" t="s">
        <v>102</v>
      </c>
      <c r="BS871" t="s">
        <v>16249</v>
      </c>
      <c r="BT871" t="str">
        <f>HYPERLINK("https%3A%2F%2Fwww.webofscience.com%2Fwos%2Fwoscc%2Ffull-record%2FWOS:000784448600012","View Full Record in Web of Science")</f>
        <v>View Full Record in Web of Science</v>
      </c>
    </row>
    <row r="872" spans="1:72" x14ac:dyDescent="0.2">
      <c r="A872" t="s">
        <v>72</v>
      </c>
      <c r="B872" t="s">
        <v>16250</v>
      </c>
      <c r="C872" t="s">
        <v>74</v>
      </c>
      <c r="D872" t="s">
        <v>74</v>
      </c>
      <c r="E872" t="s">
        <v>74</v>
      </c>
      <c r="F872" t="s">
        <v>16251</v>
      </c>
      <c r="G872" t="s">
        <v>74</v>
      </c>
      <c r="H872" t="s">
        <v>74</v>
      </c>
      <c r="I872" t="s">
        <v>16252</v>
      </c>
      <c r="J872" t="s">
        <v>16253</v>
      </c>
      <c r="K872" t="s">
        <v>74</v>
      </c>
      <c r="L872" t="s">
        <v>74</v>
      </c>
      <c r="M872" t="s">
        <v>78</v>
      </c>
      <c r="N872" t="s">
        <v>108</v>
      </c>
      <c r="O872" t="s">
        <v>74</v>
      </c>
      <c r="P872" t="s">
        <v>74</v>
      </c>
      <c r="Q872" t="s">
        <v>74</v>
      </c>
      <c r="R872" t="s">
        <v>74</v>
      </c>
      <c r="S872" t="s">
        <v>74</v>
      </c>
      <c r="T872" t="s">
        <v>16254</v>
      </c>
      <c r="U872" t="s">
        <v>16255</v>
      </c>
      <c r="V872" t="s">
        <v>16256</v>
      </c>
      <c r="W872" t="s">
        <v>16257</v>
      </c>
      <c r="X872" t="s">
        <v>16258</v>
      </c>
      <c r="Y872" t="s">
        <v>16259</v>
      </c>
      <c r="Z872" t="s">
        <v>16260</v>
      </c>
      <c r="AA872" t="s">
        <v>74</v>
      </c>
      <c r="AB872" t="s">
        <v>74</v>
      </c>
      <c r="AC872" t="s">
        <v>16261</v>
      </c>
      <c r="AD872" t="s">
        <v>16262</v>
      </c>
      <c r="AE872" t="s">
        <v>16263</v>
      </c>
      <c r="AF872" t="s">
        <v>74</v>
      </c>
      <c r="AG872">
        <v>20</v>
      </c>
      <c r="AH872">
        <v>0</v>
      </c>
      <c r="AI872">
        <v>0</v>
      </c>
      <c r="AJ872">
        <v>5</v>
      </c>
      <c r="AK872">
        <v>5</v>
      </c>
      <c r="AL872" t="s">
        <v>16264</v>
      </c>
      <c r="AM872" t="s">
        <v>16265</v>
      </c>
      <c r="AN872" t="s">
        <v>16266</v>
      </c>
      <c r="AO872" t="s">
        <v>16267</v>
      </c>
      <c r="AP872" t="s">
        <v>16268</v>
      </c>
      <c r="AQ872" t="s">
        <v>74</v>
      </c>
      <c r="AR872" t="s">
        <v>16269</v>
      </c>
      <c r="AS872" t="s">
        <v>16270</v>
      </c>
      <c r="AT872" t="s">
        <v>74</v>
      </c>
      <c r="AU872">
        <v>2024</v>
      </c>
      <c r="AV872">
        <v>54</v>
      </c>
      <c r="AW872">
        <v>2</v>
      </c>
      <c r="AX872" t="s">
        <v>74</v>
      </c>
      <c r="AY872" t="s">
        <v>74</v>
      </c>
      <c r="AZ872" t="s">
        <v>74</v>
      </c>
      <c r="BA872" t="s">
        <v>74</v>
      </c>
      <c r="BB872" t="s">
        <v>74</v>
      </c>
      <c r="BC872" t="s">
        <v>74</v>
      </c>
      <c r="BD872" t="s">
        <v>16271</v>
      </c>
      <c r="BE872" t="s">
        <v>16272</v>
      </c>
      <c r="BF872" t="str">
        <f>HYPERLINK("http://dx.doi.org/10.1590/0103-8478cr20220197","http://dx.doi.org/10.1590/0103-8478cr20220197")</f>
        <v>http://dx.doi.org/10.1590/0103-8478cr20220197</v>
      </c>
      <c r="BG872" t="s">
        <v>74</v>
      </c>
      <c r="BH872" t="s">
        <v>74</v>
      </c>
      <c r="BI872">
        <v>9</v>
      </c>
      <c r="BJ872" t="s">
        <v>9876</v>
      </c>
      <c r="BK872" t="s">
        <v>98</v>
      </c>
      <c r="BL872" t="s">
        <v>8268</v>
      </c>
      <c r="BM872" t="s">
        <v>16273</v>
      </c>
      <c r="BN872" t="s">
        <v>74</v>
      </c>
      <c r="BO872" t="s">
        <v>702</v>
      </c>
      <c r="BP872" t="s">
        <v>74</v>
      </c>
      <c r="BQ872" t="s">
        <v>74</v>
      </c>
      <c r="BR872" t="s">
        <v>102</v>
      </c>
      <c r="BS872" t="s">
        <v>16274</v>
      </c>
      <c r="BT872" t="str">
        <f>HYPERLINK("https%3A%2F%2Fwww.webofscience.com%2Fwos%2Fwoscc%2Ffull-record%2FWOS:001046314200001","View Full Record in Web of Science")</f>
        <v>View Full Record in Web of Science</v>
      </c>
    </row>
    <row r="873" spans="1:72" x14ac:dyDescent="0.2">
      <c r="A873" t="s">
        <v>72</v>
      </c>
      <c r="B873" t="s">
        <v>16275</v>
      </c>
      <c r="C873" t="s">
        <v>74</v>
      </c>
      <c r="D873" t="s">
        <v>74</v>
      </c>
      <c r="E873" t="s">
        <v>74</v>
      </c>
      <c r="F873" t="s">
        <v>16276</v>
      </c>
      <c r="G873" t="s">
        <v>74</v>
      </c>
      <c r="H873" t="s">
        <v>74</v>
      </c>
      <c r="I873" t="s">
        <v>16277</v>
      </c>
      <c r="J873" t="s">
        <v>16278</v>
      </c>
      <c r="K873" t="s">
        <v>74</v>
      </c>
      <c r="L873" t="s">
        <v>74</v>
      </c>
      <c r="M873" t="s">
        <v>78</v>
      </c>
      <c r="N873" t="s">
        <v>108</v>
      </c>
      <c r="O873" t="s">
        <v>74</v>
      </c>
      <c r="P873" t="s">
        <v>74</v>
      </c>
      <c r="Q873" t="s">
        <v>74</v>
      </c>
      <c r="R873" t="s">
        <v>74</v>
      </c>
      <c r="S873" t="s">
        <v>74</v>
      </c>
      <c r="T873" t="s">
        <v>16279</v>
      </c>
      <c r="U873" t="s">
        <v>16280</v>
      </c>
      <c r="V873" t="s">
        <v>16281</v>
      </c>
      <c r="W873" t="s">
        <v>16282</v>
      </c>
      <c r="X873" t="s">
        <v>16283</v>
      </c>
      <c r="Y873" t="s">
        <v>16284</v>
      </c>
      <c r="Z873" t="s">
        <v>16285</v>
      </c>
      <c r="AA873" t="s">
        <v>74</v>
      </c>
      <c r="AB873" t="s">
        <v>74</v>
      </c>
      <c r="AC873" t="s">
        <v>16286</v>
      </c>
      <c r="AD873" t="s">
        <v>16287</v>
      </c>
      <c r="AE873" t="s">
        <v>16288</v>
      </c>
      <c r="AF873" t="s">
        <v>74</v>
      </c>
      <c r="AG873">
        <v>36</v>
      </c>
      <c r="AH873">
        <v>0</v>
      </c>
      <c r="AI873">
        <v>0</v>
      </c>
      <c r="AJ873">
        <v>2</v>
      </c>
      <c r="AK873">
        <v>22</v>
      </c>
      <c r="AL873" t="s">
        <v>16289</v>
      </c>
      <c r="AM873" t="s">
        <v>16290</v>
      </c>
      <c r="AN873" t="s">
        <v>16291</v>
      </c>
      <c r="AO873" t="s">
        <v>16292</v>
      </c>
      <c r="AP873" t="s">
        <v>16293</v>
      </c>
      <c r="AQ873" t="s">
        <v>74</v>
      </c>
      <c r="AR873" t="s">
        <v>16294</v>
      </c>
      <c r="AS873" t="s">
        <v>16295</v>
      </c>
      <c r="AT873" t="s">
        <v>74</v>
      </c>
      <c r="AU873">
        <v>2021</v>
      </c>
      <c r="AV873">
        <v>29</v>
      </c>
      <c r="AW873">
        <v>1</v>
      </c>
      <c r="AX873" t="s">
        <v>74</v>
      </c>
      <c r="AY873" t="s">
        <v>74</v>
      </c>
      <c r="AZ873" t="s">
        <v>74</v>
      </c>
      <c r="BA873" t="s">
        <v>74</v>
      </c>
      <c r="BB873">
        <v>18</v>
      </c>
      <c r="BC873">
        <v>29</v>
      </c>
      <c r="BD873" t="s">
        <v>74</v>
      </c>
      <c r="BE873" t="s">
        <v>16296</v>
      </c>
      <c r="BF873" t="str">
        <f>HYPERLINK("http://dx.doi.org/10.51400/2709-6998.1001","http://dx.doi.org/10.51400/2709-6998.1001")</f>
        <v>http://dx.doi.org/10.51400/2709-6998.1001</v>
      </c>
      <c r="BG873" t="s">
        <v>74</v>
      </c>
      <c r="BH873" t="s">
        <v>74</v>
      </c>
      <c r="BI873">
        <v>12</v>
      </c>
      <c r="BJ873" t="s">
        <v>16297</v>
      </c>
      <c r="BK873" t="s">
        <v>98</v>
      </c>
      <c r="BL873" t="s">
        <v>7409</v>
      </c>
      <c r="BM873" t="s">
        <v>16298</v>
      </c>
      <c r="BN873" t="s">
        <v>74</v>
      </c>
      <c r="BO873" t="s">
        <v>804</v>
      </c>
      <c r="BP873" t="s">
        <v>74</v>
      </c>
      <c r="BQ873" t="s">
        <v>74</v>
      </c>
      <c r="BR873" t="s">
        <v>102</v>
      </c>
      <c r="BS873" t="s">
        <v>16299</v>
      </c>
      <c r="BT873" t="str">
        <f>HYPERLINK("https%3A%2F%2Fwww.webofscience.com%2Fwos%2Fwoscc%2Ffull-record%2FWOS:000638998800002","View Full Record in Web of Science")</f>
        <v>View Full Record in Web of Science</v>
      </c>
    </row>
    <row r="874" spans="1:72" x14ac:dyDescent="0.2">
      <c r="A874" t="s">
        <v>72</v>
      </c>
      <c r="B874" t="s">
        <v>16300</v>
      </c>
      <c r="C874" t="s">
        <v>74</v>
      </c>
      <c r="D874" t="s">
        <v>74</v>
      </c>
      <c r="E874" t="s">
        <v>74</v>
      </c>
      <c r="F874" t="s">
        <v>16301</v>
      </c>
      <c r="G874" t="s">
        <v>74</v>
      </c>
      <c r="H874" t="s">
        <v>74</v>
      </c>
      <c r="I874" t="s">
        <v>16302</v>
      </c>
      <c r="J874" t="s">
        <v>4106</v>
      </c>
      <c r="K874" t="s">
        <v>74</v>
      </c>
      <c r="L874" t="s">
        <v>74</v>
      </c>
      <c r="M874" t="s">
        <v>78</v>
      </c>
      <c r="N874" t="s">
        <v>917</v>
      </c>
      <c r="O874" t="s">
        <v>74</v>
      </c>
      <c r="P874" t="s">
        <v>74</v>
      </c>
      <c r="Q874" t="s">
        <v>74</v>
      </c>
      <c r="R874" t="s">
        <v>74</v>
      </c>
      <c r="S874" t="s">
        <v>74</v>
      </c>
      <c r="T874" t="s">
        <v>16303</v>
      </c>
      <c r="U874" t="s">
        <v>74</v>
      </c>
      <c r="V874" t="s">
        <v>16304</v>
      </c>
      <c r="W874" t="s">
        <v>16305</v>
      </c>
      <c r="X874" t="s">
        <v>16306</v>
      </c>
      <c r="Y874" t="s">
        <v>16307</v>
      </c>
      <c r="Z874" t="s">
        <v>16308</v>
      </c>
      <c r="AA874" t="s">
        <v>74</v>
      </c>
      <c r="AB874" t="s">
        <v>16309</v>
      </c>
      <c r="AC874" t="s">
        <v>16310</v>
      </c>
      <c r="AD874" t="s">
        <v>16310</v>
      </c>
      <c r="AE874" t="s">
        <v>16311</v>
      </c>
      <c r="AF874" t="s">
        <v>74</v>
      </c>
      <c r="AG874">
        <v>38</v>
      </c>
      <c r="AH874">
        <v>0</v>
      </c>
      <c r="AI874">
        <v>0</v>
      </c>
      <c r="AJ874">
        <v>2</v>
      </c>
      <c r="AK874">
        <v>2</v>
      </c>
      <c r="AL874" t="s">
        <v>321</v>
      </c>
      <c r="AM874" t="s">
        <v>322</v>
      </c>
      <c r="AN874" t="s">
        <v>323</v>
      </c>
      <c r="AO874" t="s">
        <v>4115</v>
      </c>
      <c r="AP874" t="s">
        <v>4116</v>
      </c>
      <c r="AQ874" t="s">
        <v>74</v>
      </c>
      <c r="AR874" t="s">
        <v>4117</v>
      </c>
      <c r="AS874" t="s">
        <v>4118</v>
      </c>
      <c r="AT874" t="s">
        <v>16312</v>
      </c>
      <c r="AU874">
        <v>2023</v>
      </c>
      <c r="AV874" t="s">
        <v>74</v>
      </c>
      <c r="AW874" t="s">
        <v>74</v>
      </c>
      <c r="AX874" t="s">
        <v>74</v>
      </c>
      <c r="AY874" t="s">
        <v>74</v>
      </c>
      <c r="AZ874" t="s">
        <v>74</v>
      </c>
      <c r="BA874" t="s">
        <v>74</v>
      </c>
      <c r="BB874" t="s">
        <v>74</v>
      </c>
      <c r="BC874" t="s">
        <v>74</v>
      </c>
      <c r="BD874" t="s">
        <v>74</v>
      </c>
      <c r="BE874" t="s">
        <v>16313</v>
      </c>
      <c r="BF874" t="str">
        <f>HYPERLINK("http://dx.doi.org/10.1007/s10845-023-02112-5","http://dx.doi.org/10.1007/s10845-023-02112-5")</f>
        <v>http://dx.doi.org/10.1007/s10845-023-02112-5</v>
      </c>
      <c r="BG874" t="s">
        <v>74</v>
      </c>
      <c r="BH874" t="s">
        <v>355</v>
      </c>
      <c r="BI874">
        <v>15</v>
      </c>
      <c r="BJ874" t="s">
        <v>4120</v>
      </c>
      <c r="BK874" t="s">
        <v>98</v>
      </c>
      <c r="BL874" t="s">
        <v>269</v>
      </c>
      <c r="BM874" t="s">
        <v>16314</v>
      </c>
      <c r="BN874" t="s">
        <v>74</v>
      </c>
      <c r="BO874" t="s">
        <v>726</v>
      </c>
      <c r="BP874" t="s">
        <v>74</v>
      </c>
      <c r="BQ874" t="s">
        <v>74</v>
      </c>
      <c r="BR874" t="s">
        <v>102</v>
      </c>
      <c r="BS874" t="s">
        <v>16315</v>
      </c>
      <c r="BT874" t="str">
        <f>HYPERLINK("https%3A%2F%2Fwww.webofscience.com%2Fwos%2Fwoscc%2Ffull-record%2FWOS:000966850700001","View Full Record in Web of Science")</f>
        <v>View Full Record in Web of Science</v>
      </c>
    </row>
    <row r="875" spans="1:72" x14ac:dyDescent="0.2">
      <c r="A875" t="s">
        <v>72</v>
      </c>
      <c r="B875" t="s">
        <v>16316</v>
      </c>
      <c r="C875" t="s">
        <v>74</v>
      </c>
      <c r="D875" t="s">
        <v>74</v>
      </c>
      <c r="E875" t="s">
        <v>74</v>
      </c>
      <c r="F875" t="s">
        <v>16317</v>
      </c>
      <c r="G875" t="s">
        <v>74</v>
      </c>
      <c r="H875" t="s">
        <v>74</v>
      </c>
      <c r="I875" t="s">
        <v>16318</v>
      </c>
      <c r="J875" t="s">
        <v>4106</v>
      </c>
      <c r="K875" t="s">
        <v>74</v>
      </c>
      <c r="L875" t="s">
        <v>74</v>
      </c>
      <c r="M875" t="s">
        <v>78</v>
      </c>
      <c r="N875" t="s">
        <v>108</v>
      </c>
      <c r="O875" t="s">
        <v>74</v>
      </c>
      <c r="P875" t="s">
        <v>74</v>
      </c>
      <c r="Q875" t="s">
        <v>74</v>
      </c>
      <c r="R875" t="s">
        <v>74</v>
      </c>
      <c r="S875" t="s">
        <v>74</v>
      </c>
      <c r="T875" t="s">
        <v>16319</v>
      </c>
      <c r="U875" t="s">
        <v>16320</v>
      </c>
      <c r="V875" t="s">
        <v>16321</v>
      </c>
      <c r="W875" t="s">
        <v>16322</v>
      </c>
      <c r="X875" t="s">
        <v>16323</v>
      </c>
      <c r="Y875" t="s">
        <v>16324</v>
      </c>
      <c r="Z875" t="s">
        <v>16325</v>
      </c>
      <c r="AA875" t="s">
        <v>74</v>
      </c>
      <c r="AB875" t="s">
        <v>74</v>
      </c>
      <c r="AC875" t="s">
        <v>74</v>
      </c>
      <c r="AD875" t="s">
        <v>74</v>
      </c>
      <c r="AE875" t="s">
        <v>74</v>
      </c>
      <c r="AF875" t="s">
        <v>74</v>
      </c>
      <c r="AG875">
        <v>90</v>
      </c>
      <c r="AH875">
        <v>18</v>
      </c>
      <c r="AI875">
        <v>19</v>
      </c>
      <c r="AJ875">
        <v>0</v>
      </c>
      <c r="AK875">
        <v>28</v>
      </c>
      <c r="AL875" t="s">
        <v>321</v>
      </c>
      <c r="AM875" t="s">
        <v>322</v>
      </c>
      <c r="AN875" t="s">
        <v>323</v>
      </c>
      <c r="AO875" t="s">
        <v>4115</v>
      </c>
      <c r="AP875" t="s">
        <v>4116</v>
      </c>
      <c r="AQ875" t="s">
        <v>74</v>
      </c>
      <c r="AR875" t="s">
        <v>4117</v>
      </c>
      <c r="AS875" t="s">
        <v>4118</v>
      </c>
      <c r="AT875" t="s">
        <v>616</v>
      </c>
      <c r="AU875">
        <v>2019</v>
      </c>
      <c r="AV875">
        <v>30</v>
      </c>
      <c r="AW875">
        <v>3</v>
      </c>
      <c r="AX875" t="s">
        <v>74</v>
      </c>
      <c r="AY875" t="s">
        <v>74</v>
      </c>
      <c r="AZ875" t="s">
        <v>74</v>
      </c>
      <c r="BA875" t="s">
        <v>74</v>
      </c>
      <c r="BB875">
        <v>1137</v>
      </c>
      <c r="BC875">
        <v>1154</v>
      </c>
      <c r="BD875" t="s">
        <v>74</v>
      </c>
      <c r="BE875" t="s">
        <v>16326</v>
      </c>
      <c r="BF875" t="str">
        <f>HYPERLINK("http://dx.doi.org/10.1007/s10845-017-1313-7","http://dx.doi.org/10.1007/s10845-017-1313-7")</f>
        <v>http://dx.doi.org/10.1007/s10845-017-1313-7</v>
      </c>
      <c r="BG875" t="s">
        <v>74</v>
      </c>
      <c r="BH875" t="s">
        <v>74</v>
      </c>
      <c r="BI875">
        <v>18</v>
      </c>
      <c r="BJ875" t="s">
        <v>4120</v>
      </c>
      <c r="BK875" t="s">
        <v>147</v>
      </c>
      <c r="BL875" t="s">
        <v>269</v>
      </c>
      <c r="BM875" t="s">
        <v>16327</v>
      </c>
      <c r="BN875" t="s">
        <v>74</v>
      </c>
      <c r="BO875" t="s">
        <v>74</v>
      </c>
      <c r="BP875" t="s">
        <v>74</v>
      </c>
      <c r="BQ875" t="s">
        <v>74</v>
      </c>
      <c r="BR875" t="s">
        <v>102</v>
      </c>
      <c r="BS875" t="s">
        <v>16328</v>
      </c>
      <c r="BT875" t="str">
        <f>HYPERLINK("https%3A%2F%2Fwww.webofscience.com%2Fwos%2Fwoscc%2Ffull-record%2FWOS:000459423700012","View Full Record in Web of Science")</f>
        <v>View Full Record in Web of Science</v>
      </c>
    </row>
    <row r="876" spans="1:72" x14ac:dyDescent="0.2">
      <c r="A876" t="s">
        <v>72</v>
      </c>
      <c r="B876" t="s">
        <v>16329</v>
      </c>
      <c r="C876" t="s">
        <v>74</v>
      </c>
      <c r="D876" t="s">
        <v>74</v>
      </c>
      <c r="E876" t="s">
        <v>74</v>
      </c>
      <c r="F876" t="s">
        <v>16330</v>
      </c>
      <c r="G876" t="s">
        <v>74</v>
      </c>
      <c r="H876" t="s">
        <v>74</v>
      </c>
      <c r="I876" t="s">
        <v>16331</v>
      </c>
      <c r="J876" t="s">
        <v>762</v>
      </c>
      <c r="K876" t="s">
        <v>74</v>
      </c>
      <c r="L876" t="s">
        <v>74</v>
      </c>
      <c r="M876" t="s">
        <v>78</v>
      </c>
      <c r="N876" t="s">
        <v>108</v>
      </c>
      <c r="O876" t="s">
        <v>74</v>
      </c>
      <c r="P876" t="s">
        <v>74</v>
      </c>
      <c r="Q876" t="s">
        <v>74</v>
      </c>
      <c r="R876" t="s">
        <v>74</v>
      </c>
      <c r="S876" t="s">
        <v>74</v>
      </c>
      <c r="T876" t="s">
        <v>16332</v>
      </c>
      <c r="U876" t="s">
        <v>16333</v>
      </c>
      <c r="V876" t="s">
        <v>16334</v>
      </c>
      <c r="W876" t="s">
        <v>16335</v>
      </c>
      <c r="X876" t="s">
        <v>10050</v>
      </c>
      <c r="Y876" t="s">
        <v>16336</v>
      </c>
      <c r="Z876" t="s">
        <v>16337</v>
      </c>
      <c r="AA876" t="s">
        <v>16338</v>
      </c>
      <c r="AB876" t="s">
        <v>16339</v>
      </c>
      <c r="AC876" t="s">
        <v>74</v>
      </c>
      <c r="AD876" t="s">
        <v>74</v>
      </c>
      <c r="AE876" t="s">
        <v>74</v>
      </c>
      <c r="AF876" t="s">
        <v>74</v>
      </c>
      <c r="AG876">
        <v>65</v>
      </c>
      <c r="AH876">
        <v>2</v>
      </c>
      <c r="AI876">
        <v>2</v>
      </c>
      <c r="AJ876">
        <v>5</v>
      </c>
      <c r="AK876">
        <v>21</v>
      </c>
      <c r="AL876" t="s">
        <v>279</v>
      </c>
      <c r="AM876" t="s">
        <v>280</v>
      </c>
      <c r="AN876" t="s">
        <v>281</v>
      </c>
      <c r="AO876" t="s">
        <v>773</v>
      </c>
      <c r="AP876" t="s">
        <v>774</v>
      </c>
      <c r="AQ876" t="s">
        <v>74</v>
      </c>
      <c r="AR876" t="s">
        <v>775</v>
      </c>
      <c r="AS876" t="s">
        <v>776</v>
      </c>
      <c r="AT876" t="s">
        <v>468</v>
      </c>
      <c r="AU876">
        <v>2022</v>
      </c>
      <c r="AV876">
        <v>60</v>
      </c>
      <c r="AW876">
        <v>19</v>
      </c>
      <c r="AX876" t="s">
        <v>74</v>
      </c>
      <c r="AY876" t="s">
        <v>74</v>
      </c>
      <c r="AZ876" t="s">
        <v>74</v>
      </c>
      <c r="BA876" t="s">
        <v>74</v>
      </c>
      <c r="BB876">
        <v>5835</v>
      </c>
      <c r="BC876">
        <v>5853</v>
      </c>
      <c r="BD876" t="s">
        <v>74</v>
      </c>
      <c r="BE876" t="s">
        <v>16340</v>
      </c>
      <c r="BF876" t="str">
        <f>HYPERLINK("http://dx.doi.org/10.1080/00207543.2021.1973135","http://dx.doi.org/10.1080/00207543.2021.1973135")</f>
        <v>http://dx.doi.org/10.1080/00207543.2021.1973135</v>
      </c>
      <c r="BG876" t="s">
        <v>74</v>
      </c>
      <c r="BH876" t="s">
        <v>722</v>
      </c>
      <c r="BI876">
        <v>19</v>
      </c>
      <c r="BJ876" t="s">
        <v>780</v>
      </c>
      <c r="BK876" t="s">
        <v>98</v>
      </c>
      <c r="BL876" t="s">
        <v>781</v>
      </c>
      <c r="BM876" t="s">
        <v>16341</v>
      </c>
      <c r="BN876" t="s">
        <v>74</v>
      </c>
      <c r="BO876" t="s">
        <v>74</v>
      </c>
      <c r="BP876" t="s">
        <v>74</v>
      </c>
      <c r="BQ876" t="s">
        <v>74</v>
      </c>
      <c r="BR876" t="s">
        <v>102</v>
      </c>
      <c r="BS876" t="s">
        <v>16342</v>
      </c>
      <c r="BT876" t="str">
        <f>HYPERLINK("https%3A%2F%2Fwww.webofscience.com%2Fwos%2Fwoscc%2Ffull-record%2FWOS:000695893100001","View Full Record in Web of Science")</f>
        <v>View Full Record in Web of Science</v>
      </c>
    </row>
    <row r="877" spans="1:72" x14ac:dyDescent="0.2">
      <c r="A877" t="s">
        <v>72</v>
      </c>
      <c r="B877" t="s">
        <v>16343</v>
      </c>
      <c r="C877" t="s">
        <v>74</v>
      </c>
      <c r="D877" t="s">
        <v>74</v>
      </c>
      <c r="E877" t="s">
        <v>74</v>
      </c>
      <c r="F877" t="s">
        <v>16344</v>
      </c>
      <c r="G877" t="s">
        <v>74</v>
      </c>
      <c r="H877" t="s">
        <v>74</v>
      </c>
      <c r="I877" t="s">
        <v>16345</v>
      </c>
      <c r="J877" t="s">
        <v>16346</v>
      </c>
      <c r="K877" t="s">
        <v>74</v>
      </c>
      <c r="L877" t="s">
        <v>74</v>
      </c>
      <c r="M877" t="s">
        <v>78</v>
      </c>
      <c r="N877" t="s">
        <v>108</v>
      </c>
      <c r="O877" t="s">
        <v>74</v>
      </c>
      <c r="P877" t="s">
        <v>74</v>
      </c>
      <c r="Q877" t="s">
        <v>74</v>
      </c>
      <c r="R877" t="s">
        <v>74</v>
      </c>
      <c r="S877" t="s">
        <v>74</v>
      </c>
      <c r="T877" t="s">
        <v>16347</v>
      </c>
      <c r="U877" t="s">
        <v>16348</v>
      </c>
      <c r="V877" t="s">
        <v>16349</v>
      </c>
      <c r="W877" t="s">
        <v>16350</v>
      </c>
      <c r="X877" t="s">
        <v>16351</v>
      </c>
      <c r="Y877" t="s">
        <v>16352</v>
      </c>
      <c r="Z877" t="s">
        <v>16353</v>
      </c>
      <c r="AA877" t="s">
        <v>74</v>
      </c>
      <c r="AB877" t="s">
        <v>16354</v>
      </c>
      <c r="AC877" t="s">
        <v>16355</v>
      </c>
      <c r="AD877" t="s">
        <v>16356</v>
      </c>
      <c r="AE877" t="s">
        <v>16357</v>
      </c>
      <c r="AF877" t="s">
        <v>74</v>
      </c>
      <c r="AG877">
        <v>49</v>
      </c>
      <c r="AH877">
        <v>0</v>
      </c>
      <c r="AI877">
        <v>0</v>
      </c>
      <c r="AJ877">
        <v>1</v>
      </c>
      <c r="AK877">
        <v>1</v>
      </c>
      <c r="AL877" t="s">
        <v>16358</v>
      </c>
      <c r="AM877" t="s">
        <v>496</v>
      </c>
      <c r="AN877" t="s">
        <v>497</v>
      </c>
      <c r="AO877" t="s">
        <v>16359</v>
      </c>
      <c r="AP877" t="s">
        <v>16360</v>
      </c>
      <c r="AQ877" t="s">
        <v>74</v>
      </c>
      <c r="AR877" t="s">
        <v>16361</v>
      </c>
      <c r="AS877" t="s">
        <v>16362</v>
      </c>
      <c r="AT877" t="s">
        <v>394</v>
      </c>
      <c r="AU877">
        <v>2023</v>
      </c>
      <c r="AV877">
        <v>18</v>
      </c>
      <c r="AW877">
        <v>3</v>
      </c>
      <c r="AX877" t="s">
        <v>74</v>
      </c>
      <c r="AY877" t="s">
        <v>74</v>
      </c>
      <c r="AZ877" t="s">
        <v>74</v>
      </c>
      <c r="BA877" t="s">
        <v>74</v>
      </c>
      <c r="BB877">
        <v>309</v>
      </c>
      <c r="BC877">
        <v>326</v>
      </c>
      <c r="BD877" t="s">
        <v>74</v>
      </c>
      <c r="BE877" t="s">
        <v>16363</v>
      </c>
      <c r="BF877" t="str">
        <f>HYPERLINK("http://dx.doi.org/10.1007/s00003-023-01447-8","http://dx.doi.org/10.1007/s00003-023-01447-8")</f>
        <v>http://dx.doi.org/10.1007/s00003-023-01447-8</v>
      </c>
      <c r="BG877" t="s">
        <v>74</v>
      </c>
      <c r="BH877" t="s">
        <v>1331</v>
      </c>
      <c r="BI877">
        <v>18</v>
      </c>
      <c r="BJ877" t="s">
        <v>1121</v>
      </c>
      <c r="BK877" t="s">
        <v>98</v>
      </c>
      <c r="BL877" t="s">
        <v>1121</v>
      </c>
      <c r="BM877" t="s">
        <v>16364</v>
      </c>
      <c r="BN877" t="s">
        <v>74</v>
      </c>
      <c r="BO877" t="s">
        <v>74</v>
      </c>
      <c r="BP877" t="s">
        <v>74</v>
      </c>
      <c r="BQ877" t="s">
        <v>74</v>
      </c>
      <c r="BR877" t="s">
        <v>102</v>
      </c>
      <c r="BS877" t="s">
        <v>16365</v>
      </c>
      <c r="BT877" t="str">
        <f>HYPERLINK("https%3A%2F%2Fwww.webofscience.com%2Fwos%2Fwoscc%2Ffull-record%2FWOS:001028378300001","View Full Record in Web of Science")</f>
        <v>View Full Record in Web of Science</v>
      </c>
    </row>
    <row r="878" spans="1:72" x14ac:dyDescent="0.2">
      <c r="A878" t="s">
        <v>72</v>
      </c>
      <c r="B878" t="s">
        <v>16366</v>
      </c>
      <c r="C878" t="s">
        <v>74</v>
      </c>
      <c r="D878" t="s">
        <v>74</v>
      </c>
      <c r="E878" t="s">
        <v>74</v>
      </c>
      <c r="F878" t="s">
        <v>16367</v>
      </c>
      <c r="G878" t="s">
        <v>74</v>
      </c>
      <c r="H878" t="s">
        <v>74</v>
      </c>
      <c r="I878" t="s">
        <v>16368</v>
      </c>
      <c r="J878" t="s">
        <v>337</v>
      </c>
      <c r="K878" t="s">
        <v>74</v>
      </c>
      <c r="L878" t="s">
        <v>74</v>
      </c>
      <c r="M878" t="s">
        <v>78</v>
      </c>
      <c r="N878" t="s">
        <v>108</v>
      </c>
      <c r="O878" t="s">
        <v>74</v>
      </c>
      <c r="P878" t="s">
        <v>74</v>
      </c>
      <c r="Q878" t="s">
        <v>74</v>
      </c>
      <c r="R878" t="s">
        <v>74</v>
      </c>
      <c r="S878" t="s">
        <v>74</v>
      </c>
      <c r="T878" t="s">
        <v>16369</v>
      </c>
      <c r="U878" t="s">
        <v>16370</v>
      </c>
      <c r="V878" t="s">
        <v>16371</v>
      </c>
      <c r="W878" t="s">
        <v>16372</v>
      </c>
      <c r="X878" t="s">
        <v>16373</v>
      </c>
      <c r="Y878" t="s">
        <v>16374</v>
      </c>
      <c r="Z878" t="s">
        <v>16375</v>
      </c>
      <c r="AA878" t="s">
        <v>16376</v>
      </c>
      <c r="AB878" t="s">
        <v>16377</v>
      </c>
      <c r="AC878" t="s">
        <v>74</v>
      </c>
      <c r="AD878" t="s">
        <v>74</v>
      </c>
      <c r="AE878" t="s">
        <v>74</v>
      </c>
      <c r="AF878" t="s">
        <v>74</v>
      </c>
      <c r="AG878">
        <v>46</v>
      </c>
      <c r="AH878">
        <v>30</v>
      </c>
      <c r="AI878">
        <v>31</v>
      </c>
      <c r="AJ878">
        <v>1</v>
      </c>
      <c r="AK878">
        <v>51</v>
      </c>
      <c r="AL878" t="s">
        <v>347</v>
      </c>
      <c r="AM878" t="s">
        <v>348</v>
      </c>
      <c r="AN878" t="s">
        <v>9918</v>
      </c>
      <c r="AO878" t="s">
        <v>350</v>
      </c>
      <c r="AP878" t="s">
        <v>351</v>
      </c>
      <c r="AQ878" t="s">
        <v>74</v>
      </c>
      <c r="AR878" t="s">
        <v>352</v>
      </c>
      <c r="AS878" t="s">
        <v>353</v>
      </c>
      <c r="AT878" t="s">
        <v>738</v>
      </c>
      <c r="AU878">
        <v>2015</v>
      </c>
      <c r="AV878">
        <v>91</v>
      </c>
      <c r="AW878" t="s">
        <v>74</v>
      </c>
      <c r="AX878" t="s">
        <v>74</v>
      </c>
      <c r="AY878" t="s">
        <v>74</v>
      </c>
      <c r="AZ878" t="s">
        <v>74</v>
      </c>
      <c r="BA878" t="s">
        <v>74</v>
      </c>
      <c r="BB878">
        <v>124</v>
      </c>
      <c r="BC878">
        <v>145</v>
      </c>
      <c r="BD878" t="s">
        <v>74</v>
      </c>
      <c r="BE878" t="s">
        <v>16378</v>
      </c>
      <c r="BF878" t="str">
        <f>HYPERLINK("http://dx.doi.org/10.1016/j.techfore.2014.02.003","http://dx.doi.org/10.1016/j.techfore.2014.02.003")</f>
        <v>http://dx.doi.org/10.1016/j.techfore.2014.02.003</v>
      </c>
      <c r="BG878" t="s">
        <v>74</v>
      </c>
      <c r="BH878" t="s">
        <v>74</v>
      </c>
      <c r="BI878">
        <v>22</v>
      </c>
      <c r="BJ878" t="s">
        <v>356</v>
      </c>
      <c r="BK878" t="s">
        <v>242</v>
      </c>
      <c r="BL878" t="s">
        <v>357</v>
      </c>
      <c r="BM878" t="s">
        <v>16379</v>
      </c>
      <c r="BN878" t="s">
        <v>74</v>
      </c>
      <c r="BO878" t="s">
        <v>74</v>
      </c>
      <c r="BP878" t="s">
        <v>74</v>
      </c>
      <c r="BQ878" t="s">
        <v>74</v>
      </c>
      <c r="BR878" t="s">
        <v>102</v>
      </c>
      <c r="BS878" t="s">
        <v>16380</v>
      </c>
      <c r="BT878" t="str">
        <f>HYPERLINK("https%3A%2F%2Fwww.webofscience.com%2Fwos%2Fwoscc%2Ffull-record%2FWOS:000348958900009","View Full Record in Web of Science")</f>
        <v>View Full Record in Web of Science</v>
      </c>
    </row>
    <row r="879" spans="1:72" x14ac:dyDescent="0.2">
      <c r="A879" t="s">
        <v>72</v>
      </c>
      <c r="B879" t="s">
        <v>16381</v>
      </c>
      <c r="C879" t="s">
        <v>74</v>
      </c>
      <c r="D879" t="s">
        <v>74</v>
      </c>
      <c r="E879" t="s">
        <v>74</v>
      </c>
      <c r="F879" t="s">
        <v>16382</v>
      </c>
      <c r="G879" t="s">
        <v>74</v>
      </c>
      <c r="H879" t="s">
        <v>74</v>
      </c>
      <c r="I879" t="s">
        <v>16383</v>
      </c>
      <c r="J879" t="s">
        <v>16384</v>
      </c>
      <c r="K879" t="s">
        <v>74</v>
      </c>
      <c r="L879" t="s">
        <v>74</v>
      </c>
      <c r="M879" t="s">
        <v>78</v>
      </c>
      <c r="N879" t="s">
        <v>108</v>
      </c>
      <c r="O879" t="s">
        <v>74</v>
      </c>
      <c r="P879" t="s">
        <v>74</v>
      </c>
      <c r="Q879" t="s">
        <v>74</v>
      </c>
      <c r="R879" t="s">
        <v>74</v>
      </c>
      <c r="S879" t="s">
        <v>74</v>
      </c>
      <c r="T879" t="s">
        <v>16385</v>
      </c>
      <c r="U879" t="s">
        <v>16386</v>
      </c>
      <c r="V879" t="s">
        <v>16387</v>
      </c>
      <c r="W879" t="s">
        <v>16388</v>
      </c>
      <c r="X879" t="s">
        <v>16389</v>
      </c>
      <c r="Y879" t="s">
        <v>16390</v>
      </c>
      <c r="Z879" t="s">
        <v>16391</v>
      </c>
      <c r="AA879" t="s">
        <v>16392</v>
      </c>
      <c r="AB879" t="s">
        <v>16393</v>
      </c>
      <c r="AC879" t="s">
        <v>74</v>
      </c>
      <c r="AD879" t="s">
        <v>74</v>
      </c>
      <c r="AE879" t="s">
        <v>74</v>
      </c>
      <c r="AF879" t="s">
        <v>74</v>
      </c>
      <c r="AG879">
        <v>44</v>
      </c>
      <c r="AH879">
        <v>0</v>
      </c>
      <c r="AI879">
        <v>0</v>
      </c>
      <c r="AJ879">
        <v>3</v>
      </c>
      <c r="AK879">
        <v>7</v>
      </c>
      <c r="AL879" t="s">
        <v>6915</v>
      </c>
      <c r="AM879" t="s">
        <v>260</v>
      </c>
      <c r="AN879" t="s">
        <v>6916</v>
      </c>
      <c r="AO879" t="s">
        <v>16394</v>
      </c>
      <c r="AP879" t="s">
        <v>16395</v>
      </c>
      <c r="AQ879" t="s">
        <v>74</v>
      </c>
      <c r="AR879" t="s">
        <v>16396</v>
      </c>
      <c r="AS879" t="s">
        <v>16397</v>
      </c>
      <c r="AT879" t="s">
        <v>174</v>
      </c>
      <c r="AU879">
        <v>2022</v>
      </c>
      <c r="AV879">
        <v>75</v>
      </c>
      <c r="AW879">
        <v>4</v>
      </c>
      <c r="AX879" t="s">
        <v>74</v>
      </c>
      <c r="AY879" t="s">
        <v>74</v>
      </c>
      <c r="AZ879" t="s">
        <v>74</v>
      </c>
      <c r="BA879" t="s">
        <v>74</v>
      </c>
      <c r="BB879">
        <v>813</v>
      </c>
      <c r="BC879">
        <v>823</v>
      </c>
      <c r="BD879" t="s">
        <v>74</v>
      </c>
      <c r="BE879" t="s">
        <v>16398</v>
      </c>
      <c r="BF879" t="str">
        <f>HYPERLINK("http://dx.doi.org/10.1111/lam.13739","http://dx.doi.org/10.1111/lam.13739")</f>
        <v>http://dx.doi.org/10.1111/lam.13739</v>
      </c>
      <c r="BG879" t="s">
        <v>74</v>
      </c>
      <c r="BH879" t="s">
        <v>867</v>
      </c>
      <c r="BI879">
        <v>11</v>
      </c>
      <c r="BJ879" t="s">
        <v>16399</v>
      </c>
      <c r="BK879" t="s">
        <v>98</v>
      </c>
      <c r="BL879" t="s">
        <v>16399</v>
      </c>
      <c r="BM879" t="s">
        <v>16400</v>
      </c>
      <c r="BN879">
        <v>35575585</v>
      </c>
      <c r="BO879" t="s">
        <v>1529</v>
      </c>
      <c r="BP879" t="s">
        <v>74</v>
      </c>
      <c r="BQ879" t="s">
        <v>74</v>
      </c>
      <c r="BR879" t="s">
        <v>102</v>
      </c>
      <c r="BS879" t="s">
        <v>16401</v>
      </c>
      <c r="BT879" t="str">
        <f>HYPERLINK("https%3A%2F%2Fwww.webofscience.com%2Fwos%2Fwoscc%2Ffull-record%2FWOS:000810159700001","View Full Record in Web of Science")</f>
        <v>View Full Record in Web of Science</v>
      </c>
    </row>
    <row r="880" spans="1:72" x14ac:dyDescent="0.2">
      <c r="A880" t="s">
        <v>72</v>
      </c>
      <c r="B880" t="s">
        <v>16402</v>
      </c>
      <c r="C880" t="s">
        <v>74</v>
      </c>
      <c r="D880" t="s">
        <v>74</v>
      </c>
      <c r="E880" t="s">
        <v>74</v>
      </c>
      <c r="F880" t="s">
        <v>16403</v>
      </c>
      <c r="G880" t="s">
        <v>74</v>
      </c>
      <c r="H880" t="s">
        <v>74</v>
      </c>
      <c r="I880" t="s">
        <v>16404</v>
      </c>
      <c r="J880" t="s">
        <v>16405</v>
      </c>
      <c r="K880" t="s">
        <v>74</v>
      </c>
      <c r="L880" t="s">
        <v>74</v>
      </c>
      <c r="M880" t="s">
        <v>78</v>
      </c>
      <c r="N880" t="s">
        <v>108</v>
      </c>
      <c r="O880" t="s">
        <v>74</v>
      </c>
      <c r="P880" t="s">
        <v>74</v>
      </c>
      <c r="Q880" t="s">
        <v>74</v>
      </c>
      <c r="R880" t="s">
        <v>74</v>
      </c>
      <c r="S880" t="s">
        <v>74</v>
      </c>
      <c r="T880" t="s">
        <v>74</v>
      </c>
      <c r="U880" t="s">
        <v>16406</v>
      </c>
      <c r="V880" t="s">
        <v>16407</v>
      </c>
      <c r="W880" t="s">
        <v>16408</v>
      </c>
      <c r="X880" t="s">
        <v>16409</v>
      </c>
      <c r="Y880" t="s">
        <v>16410</v>
      </c>
      <c r="Z880" t="s">
        <v>16411</v>
      </c>
      <c r="AA880" t="s">
        <v>74</v>
      </c>
      <c r="AB880" t="s">
        <v>74</v>
      </c>
      <c r="AC880" t="s">
        <v>16412</v>
      </c>
      <c r="AD880" t="s">
        <v>987</v>
      </c>
      <c r="AE880" t="s">
        <v>16413</v>
      </c>
      <c r="AF880" t="s">
        <v>74</v>
      </c>
      <c r="AG880">
        <v>50</v>
      </c>
      <c r="AH880">
        <v>2</v>
      </c>
      <c r="AI880">
        <v>2</v>
      </c>
      <c r="AJ880">
        <v>4</v>
      </c>
      <c r="AK880">
        <v>41</v>
      </c>
      <c r="AL880" t="s">
        <v>3963</v>
      </c>
      <c r="AM880" t="s">
        <v>90</v>
      </c>
      <c r="AN880" t="s">
        <v>3964</v>
      </c>
      <c r="AO880" t="s">
        <v>16414</v>
      </c>
      <c r="AP880" t="s">
        <v>16415</v>
      </c>
      <c r="AQ880" t="s">
        <v>74</v>
      </c>
      <c r="AR880" t="s">
        <v>16416</v>
      </c>
      <c r="AS880" t="s">
        <v>16417</v>
      </c>
      <c r="AT880" t="s">
        <v>16418</v>
      </c>
      <c r="AU880">
        <v>2021</v>
      </c>
      <c r="AV880">
        <v>2021</v>
      </c>
      <c r="AW880" t="s">
        <v>74</v>
      </c>
      <c r="AX880" t="s">
        <v>74</v>
      </c>
      <c r="AY880" t="s">
        <v>74</v>
      </c>
      <c r="AZ880" t="s">
        <v>74</v>
      </c>
      <c r="BA880" t="s">
        <v>74</v>
      </c>
      <c r="BB880" t="s">
        <v>74</v>
      </c>
      <c r="BC880" t="s">
        <v>74</v>
      </c>
      <c r="BD880">
        <v>6697755</v>
      </c>
      <c r="BE880" t="s">
        <v>16419</v>
      </c>
      <c r="BF880" t="str">
        <f>HYPERLINK("http://dx.doi.org/10.1155/2021/6697755","http://dx.doi.org/10.1155/2021/6697755")</f>
        <v>http://dx.doi.org/10.1155/2021/6697755</v>
      </c>
      <c r="BG880" t="s">
        <v>74</v>
      </c>
      <c r="BH880" t="s">
        <v>74</v>
      </c>
      <c r="BI880">
        <v>16</v>
      </c>
      <c r="BJ880" t="s">
        <v>9791</v>
      </c>
      <c r="BK880" t="s">
        <v>98</v>
      </c>
      <c r="BL880" t="s">
        <v>9792</v>
      </c>
      <c r="BM880" t="s">
        <v>16420</v>
      </c>
      <c r="BN880" t="s">
        <v>74</v>
      </c>
      <c r="BO880" t="s">
        <v>126</v>
      </c>
      <c r="BP880" t="s">
        <v>74</v>
      </c>
      <c r="BQ880" t="s">
        <v>74</v>
      </c>
      <c r="BR880" t="s">
        <v>102</v>
      </c>
      <c r="BS880" t="s">
        <v>16421</v>
      </c>
      <c r="BT880" t="str">
        <f>HYPERLINK("https%3A%2F%2Fwww.webofscience.com%2Fwos%2Fwoscc%2Ffull-record%2FWOS:000613071600008","View Full Record in Web of Science")</f>
        <v>View Full Record in Web of Science</v>
      </c>
    </row>
    <row r="881" spans="1:72" x14ac:dyDescent="0.2">
      <c r="A881" t="s">
        <v>72</v>
      </c>
      <c r="B881" t="s">
        <v>16422</v>
      </c>
      <c r="C881" t="s">
        <v>74</v>
      </c>
      <c r="D881" t="s">
        <v>74</v>
      </c>
      <c r="E881" t="s">
        <v>74</v>
      </c>
      <c r="F881" t="s">
        <v>16423</v>
      </c>
      <c r="G881" t="s">
        <v>74</v>
      </c>
      <c r="H881" t="s">
        <v>74</v>
      </c>
      <c r="I881" t="s">
        <v>16424</v>
      </c>
      <c r="J881" t="s">
        <v>16425</v>
      </c>
      <c r="K881" t="s">
        <v>74</v>
      </c>
      <c r="L881" t="s">
        <v>74</v>
      </c>
      <c r="M881" t="s">
        <v>78</v>
      </c>
      <c r="N881" t="s">
        <v>108</v>
      </c>
      <c r="O881" t="s">
        <v>74</v>
      </c>
      <c r="P881" t="s">
        <v>74</v>
      </c>
      <c r="Q881" t="s">
        <v>74</v>
      </c>
      <c r="R881" t="s">
        <v>74</v>
      </c>
      <c r="S881" t="s">
        <v>74</v>
      </c>
      <c r="T881" t="s">
        <v>16426</v>
      </c>
      <c r="U881" t="s">
        <v>16427</v>
      </c>
      <c r="V881" t="s">
        <v>16428</v>
      </c>
      <c r="W881" t="s">
        <v>16429</v>
      </c>
      <c r="X881" t="s">
        <v>16430</v>
      </c>
      <c r="Y881" t="s">
        <v>16431</v>
      </c>
      <c r="Z881" t="s">
        <v>16432</v>
      </c>
      <c r="AA881" t="s">
        <v>74</v>
      </c>
      <c r="AB881" t="s">
        <v>16433</v>
      </c>
      <c r="AC881" t="s">
        <v>16434</v>
      </c>
      <c r="AD881" t="s">
        <v>987</v>
      </c>
      <c r="AE881" t="s">
        <v>16435</v>
      </c>
      <c r="AF881" t="s">
        <v>74</v>
      </c>
      <c r="AG881">
        <v>43</v>
      </c>
      <c r="AH881">
        <v>1</v>
      </c>
      <c r="AI881">
        <v>1</v>
      </c>
      <c r="AJ881">
        <v>4</v>
      </c>
      <c r="AK881">
        <v>28</v>
      </c>
      <c r="AL881" t="s">
        <v>409</v>
      </c>
      <c r="AM881" t="s">
        <v>410</v>
      </c>
      <c r="AN881" t="s">
        <v>411</v>
      </c>
      <c r="AO881" t="s">
        <v>16436</v>
      </c>
      <c r="AP881" t="s">
        <v>16437</v>
      </c>
      <c r="AQ881" t="s">
        <v>74</v>
      </c>
      <c r="AR881" t="s">
        <v>16438</v>
      </c>
      <c r="AS881" t="s">
        <v>16439</v>
      </c>
      <c r="AT881" t="s">
        <v>216</v>
      </c>
      <c r="AU881">
        <v>2021</v>
      </c>
      <c r="AV881">
        <v>10</v>
      </c>
      <c r="AW881">
        <v>6</v>
      </c>
      <c r="AX881" t="s">
        <v>74</v>
      </c>
      <c r="AY881" t="s">
        <v>74</v>
      </c>
      <c r="AZ881" t="s">
        <v>74</v>
      </c>
      <c r="BA881" t="s">
        <v>74</v>
      </c>
      <c r="BB881">
        <v>878</v>
      </c>
      <c r="BC881">
        <v>888</v>
      </c>
      <c r="BD881" t="s">
        <v>74</v>
      </c>
      <c r="BE881" t="s">
        <v>16440</v>
      </c>
      <c r="BF881" t="str">
        <f>HYPERLINK("http://dx.doi.org/10.1002/pchj.486","http://dx.doi.org/10.1002/pchj.486")</f>
        <v>http://dx.doi.org/10.1002/pchj.486</v>
      </c>
      <c r="BG881" t="s">
        <v>74</v>
      </c>
      <c r="BH881" t="s">
        <v>267</v>
      </c>
      <c r="BI881">
        <v>11</v>
      </c>
      <c r="BJ881" t="s">
        <v>16441</v>
      </c>
      <c r="BK881" t="s">
        <v>242</v>
      </c>
      <c r="BL881" t="s">
        <v>16442</v>
      </c>
      <c r="BM881" t="s">
        <v>16443</v>
      </c>
      <c r="BN881">
        <v>34614547</v>
      </c>
      <c r="BO881" t="s">
        <v>74</v>
      </c>
      <c r="BP881" t="s">
        <v>74</v>
      </c>
      <c r="BQ881" t="s">
        <v>74</v>
      </c>
      <c r="BR881" t="s">
        <v>102</v>
      </c>
      <c r="BS881" t="s">
        <v>16444</v>
      </c>
      <c r="BT881" t="str">
        <f>HYPERLINK("https%3A%2F%2Fwww.webofscience.com%2Fwos%2Fwoscc%2Ffull-record%2FWOS:000704116900001","View Full Record in Web of Science")</f>
        <v>View Full Record in Web of Science</v>
      </c>
    </row>
    <row r="882" spans="1:72" x14ac:dyDescent="0.2">
      <c r="A882" t="s">
        <v>72</v>
      </c>
      <c r="B882" t="s">
        <v>16445</v>
      </c>
      <c r="C882" t="s">
        <v>74</v>
      </c>
      <c r="D882" t="s">
        <v>74</v>
      </c>
      <c r="E882" t="s">
        <v>74</v>
      </c>
      <c r="F882" t="s">
        <v>16446</v>
      </c>
      <c r="G882" t="s">
        <v>74</v>
      </c>
      <c r="H882" t="s">
        <v>74</v>
      </c>
      <c r="I882" t="s">
        <v>16447</v>
      </c>
      <c r="J882" t="s">
        <v>976</v>
      </c>
      <c r="K882" t="s">
        <v>74</v>
      </c>
      <c r="L882" t="s">
        <v>74</v>
      </c>
      <c r="M882" t="s">
        <v>78</v>
      </c>
      <c r="N882" t="s">
        <v>108</v>
      </c>
      <c r="O882" t="s">
        <v>74</v>
      </c>
      <c r="P882" t="s">
        <v>74</v>
      </c>
      <c r="Q882" t="s">
        <v>74</v>
      </c>
      <c r="R882" t="s">
        <v>74</v>
      </c>
      <c r="S882" t="s">
        <v>74</v>
      </c>
      <c r="T882" t="s">
        <v>16448</v>
      </c>
      <c r="U882" t="s">
        <v>16449</v>
      </c>
      <c r="V882" t="s">
        <v>16450</v>
      </c>
      <c r="W882" t="s">
        <v>16451</v>
      </c>
      <c r="X882" t="s">
        <v>16452</v>
      </c>
      <c r="Y882" t="s">
        <v>16453</v>
      </c>
      <c r="Z882" t="s">
        <v>16454</v>
      </c>
      <c r="AA882" t="s">
        <v>16455</v>
      </c>
      <c r="AB882" t="s">
        <v>16456</v>
      </c>
      <c r="AC882" t="s">
        <v>16457</v>
      </c>
      <c r="AD882" t="s">
        <v>987</v>
      </c>
      <c r="AE882" t="s">
        <v>16458</v>
      </c>
      <c r="AF882" t="s">
        <v>74</v>
      </c>
      <c r="AG882">
        <v>37</v>
      </c>
      <c r="AH882">
        <v>7</v>
      </c>
      <c r="AI882">
        <v>7</v>
      </c>
      <c r="AJ882">
        <v>5</v>
      </c>
      <c r="AK882">
        <v>40</v>
      </c>
      <c r="AL882" t="s">
        <v>259</v>
      </c>
      <c r="AM882" t="s">
        <v>260</v>
      </c>
      <c r="AN882" t="s">
        <v>261</v>
      </c>
      <c r="AO882" t="s">
        <v>989</v>
      </c>
      <c r="AP882" t="s">
        <v>990</v>
      </c>
      <c r="AQ882" t="s">
        <v>74</v>
      </c>
      <c r="AR882" t="s">
        <v>991</v>
      </c>
      <c r="AS882" t="s">
        <v>992</v>
      </c>
      <c r="AT882" t="s">
        <v>12487</v>
      </c>
      <c r="AU882">
        <v>2020</v>
      </c>
      <c r="AV882">
        <v>268</v>
      </c>
      <c r="AW882" t="s">
        <v>74</v>
      </c>
      <c r="AX882" t="s">
        <v>74</v>
      </c>
      <c r="AY882" t="s">
        <v>74</v>
      </c>
      <c r="AZ882" t="s">
        <v>74</v>
      </c>
      <c r="BA882" t="s">
        <v>74</v>
      </c>
      <c r="BB882" t="s">
        <v>74</v>
      </c>
      <c r="BC882" t="s">
        <v>74</v>
      </c>
      <c r="BD882">
        <v>122345</v>
      </c>
      <c r="BE882" t="s">
        <v>16459</v>
      </c>
      <c r="BF882" t="str">
        <f>HYPERLINK("http://dx.doi.org/10.1016/j.jclepro.2020.122345","http://dx.doi.org/10.1016/j.jclepro.2020.122345")</f>
        <v>http://dx.doi.org/10.1016/j.jclepro.2020.122345</v>
      </c>
      <c r="BG882" t="s">
        <v>74</v>
      </c>
      <c r="BH882" t="s">
        <v>74</v>
      </c>
      <c r="BI882">
        <v>9</v>
      </c>
      <c r="BJ882" t="s">
        <v>995</v>
      </c>
      <c r="BK882" t="s">
        <v>147</v>
      </c>
      <c r="BL882" t="s">
        <v>996</v>
      </c>
      <c r="BM882" t="s">
        <v>16460</v>
      </c>
      <c r="BN882" t="s">
        <v>74</v>
      </c>
      <c r="BO882" t="s">
        <v>74</v>
      </c>
      <c r="BP882" t="s">
        <v>74</v>
      </c>
      <c r="BQ882" t="s">
        <v>74</v>
      </c>
      <c r="BR882" t="s">
        <v>102</v>
      </c>
      <c r="BS882" t="s">
        <v>16461</v>
      </c>
      <c r="BT882" t="str">
        <f>HYPERLINK("https%3A%2F%2Fwww.webofscience.com%2Fwos%2Fwoscc%2Ffull-record%2FWOS:000561594800113","View Full Record in Web of Science")</f>
        <v>View Full Record in Web of Science</v>
      </c>
    </row>
    <row r="883" spans="1:72" x14ac:dyDescent="0.2">
      <c r="A883" t="s">
        <v>72</v>
      </c>
      <c r="B883" t="s">
        <v>16462</v>
      </c>
      <c r="C883" t="s">
        <v>74</v>
      </c>
      <c r="D883" t="s">
        <v>74</v>
      </c>
      <c r="E883" t="s">
        <v>74</v>
      </c>
      <c r="F883" t="s">
        <v>16463</v>
      </c>
      <c r="G883" t="s">
        <v>74</v>
      </c>
      <c r="H883" t="s">
        <v>74</v>
      </c>
      <c r="I883" t="s">
        <v>16464</v>
      </c>
      <c r="J883" t="s">
        <v>15788</v>
      </c>
      <c r="K883" t="s">
        <v>74</v>
      </c>
      <c r="L883" t="s">
        <v>74</v>
      </c>
      <c r="M883" t="s">
        <v>78</v>
      </c>
      <c r="N883" t="s">
        <v>108</v>
      </c>
      <c r="O883" t="s">
        <v>74</v>
      </c>
      <c r="P883" t="s">
        <v>74</v>
      </c>
      <c r="Q883" t="s">
        <v>74</v>
      </c>
      <c r="R883" t="s">
        <v>74</v>
      </c>
      <c r="S883" t="s">
        <v>74</v>
      </c>
      <c r="T883" t="s">
        <v>16465</v>
      </c>
      <c r="U883" t="s">
        <v>16466</v>
      </c>
      <c r="V883" t="s">
        <v>16467</v>
      </c>
      <c r="W883" t="s">
        <v>16468</v>
      </c>
      <c r="X883" t="s">
        <v>16469</v>
      </c>
      <c r="Y883" t="s">
        <v>16470</v>
      </c>
      <c r="Z883" t="s">
        <v>16471</v>
      </c>
      <c r="AA883" t="s">
        <v>16472</v>
      </c>
      <c r="AB883" t="s">
        <v>16473</v>
      </c>
      <c r="AC883" t="s">
        <v>16474</v>
      </c>
      <c r="AD883" t="s">
        <v>16475</v>
      </c>
      <c r="AE883" t="s">
        <v>16476</v>
      </c>
      <c r="AF883" t="s">
        <v>74</v>
      </c>
      <c r="AG883">
        <v>38</v>
      </c>
      <c r="AH883">
        <v>24</v>
      </c>
      <c r="AI883">
        <v>24</v>
      </c>
      <c r="AJ883">
        <v>2</v>
      </c>
      <c r="AK883">
        <v>28</v>
      </c>
      <c r="AL883" t="s">
        <v>116</v>
      </c>
      <c r="AM883" t="s">
        <v>117</v>
      </c>
      <c r="AN883" t="s">
        <v>118</v>
      </c>
      <c r="AO883" t="s">
        <v>74</v>
      </c>
      <c r="AP883" t="s">
        <v>15800</v>
      </c>
      <c r="AQ883" t="s">
        <v>74</v>
      </c>
      <c r="AR883" t="s">
        <v>15801</v>
      </c>
      <c r="AS883" t="s">
        <v>15802</v>
      </c>
      <c r="AT883" t="s">
        <v>3269</v>
      </c>
      <c r="AU883">
        <v>2019</v>
      </c>
      <c r="AV883">
        <v>16</v>
      </c>
      <c r="AW883">
        <v>10</v>
      </c>
      <c r="AX883" t="s">
        <v>74</v>
      </c>
      <c r="AY883" t="s">
        <v>74</v>
      </c>
      <c r="AZ883" t="s">
        <v>74</v>
      </c>
      <c r="BA883" t="s">
        <v>74</v>
      </c>
      <c r="BB883" t="s">
        <v>74</v>
      </c>
      <c r="BC883" t="s">
        <v>74</v>
      </c>
      <c r="BD883">
        <v>1783</v>
      </c>
      <c r="BE883" t="s">
        <v>16477</v>
      </c>
      <c r="BF883" t="str">
        <f>HYPERLINK("http://dx.doi.org/10.3390/ijerph16101783","http://dx.doi.org/10.3390/ijerph16101783")</f>
        <v>http://dx.doi.org/10.3390/ijerph16101783</v>
      </c>
      <c r="BG883" t="s">
        <v>74</v>
      </c>
      <c r="BH883" t="s">
        <v>74</v>
      </c>
      <c r="BI883">
        <v>22</v>
      </c>
      <c r="BJ883" t="s">
        <v>15804</v>
      </c>
      <c r="BK883" t="s">
        <v>147</v>
      </c>
      <c r="BL883" t="s">
        <v>15805</v>
      </c>
      <c r="BM883" t="s">
        <v>16478</v>
      </c>
      <c r="BN883">
        <v>31137557</v>
      </c>
      <c r="BO883" t="s">
        <v>8752</v>
      </c>
      <c r="BP883" t="s">
        <v>74</v>
      </c>
      <c r="BQ883" t="s">
        <v>74</v>
      </c>
      <c r="BR883" t="s">
        <v>102</v>
      </c>
      <c r="BS883" t="s">
        <v>16479</v>
      </c>
      <c r="BT883" t="str">
        <f>HYPERLINK("https%3A%2F%2Fwww.webofscience.com%2Fwos%2Fwoscc%2Ffull-record%2FWOS:000470967500117","View Full Record in Web of Science")</f>
        <v>View Full Record in Web of Science</v>
      </c>
    </row>
    <row r="884" spans="1:72" x14ac:dyDescent="0.2">
      <c r="A884" t="s">
        <v>72</v>
      </c>
      <c r="B884" t="s">
        <v>16480</v>
      </c>
      <c r="C884" t="s">
        <v>74</v>
      </c>
      <c r="D884" t="s">
        <v>74</v>
      </c>
      <c r="E884" t="s">
        <v>74</v>
      </c>
      <c r="F884" t="s">
        <v>16481</v>
      </c>
      <c r="G884" t="s">
        <v>74</v>
      </c>
      <c r="H884" t="s">
        <v>74</v>
      </c>
      <c r="I884" t="s">
        <v>16482</v>
      </c>
      <c r="J884" t="s">
        <v>16483</v>
      </c>
      <c r="K884" t="s">
        <v>74</v>
      </c>
      <c r="L884" t="s">
        <v>74</v>
      </c>
      <c r="M884" t="s">
        <v>78</v>
      </c>
      <c r="N884" t="s">
        <v>108</v>
      </c>
      <c r="O884" t="s">
        <v>74</v>
      </c>
      <c r="P884" t="s">
        <v>74</v>
      </c>
      <c r="Q884" t="s">
        <v>74</v>
      </c>
      <c r="R884" t="s">
        <v>74</v>
      </c>
      <c r="S884" t="s">
        <v>74</v>
      </c>
      <c r="T884" t="s">
        <v>16484</v>
      </c>
      <c r="U884" t="s">
        <v>74</v>
      </c>
      <c r="V884" t="s">
        <v>16485</v>
      </c>
      <c r="W884" t="s">
        <v>16486</v>
      </c>
      <c r="X884" t="s">
        <v>16487</v>
      </c>
      <c r="Y884" t="s">
        <v>16488</v>
      </c>
      <c r="Z884" t="s">
        <v>16489</v>
      </c>
      <c r="AA884" t="s">
        <v>16490</v>
      </c>
      <c r="AB884" t="s">
        <v>16491</v>
      </c>
      <c r="AC884" t="s">
        <v>16492</v>
      </c>
      <c r="AD884" t="s">
        <v>16493</v>
      </c>
      <c r="AE884" t="s">
        <v>16494</v>
      </c>
      <c r="AF884" t="s">
        <v>74</v>
      </c>
      <c r="AG884">
        <v>46</v>
      </c>
      <c r="AH884">
        <v>18</v>
      </c>
      <c r="AI884">
        <v>18</v>
      </c>
      <c r="AJ884">
        <v>7</v>
      </c>
      <c r="AK884">
        <v>72</v>
      </c>
      <c r="AL884" t="s">
        <v>321</v>
      </c>
      <c r="AM884" t="s">
        <v>322</v>
      </c>
      <c r="AN884" t="s">
        <v>323</v>
      </c>
      <c r="AO884" t="s">
        <v>16495</v>
      </c>
      <c r="AP884" t="s">
        <v>16496</v>
      </c>
      <c r="AQ884" t="s">
        <v>74</v>
      </c>
      <c r="AR884" t="s">
        <v>16497</v>
      </c>
      <c r="AS884" t="s">
        <v>16498</v>
      </c>
      <c r="AT884" t="s">
        <v>16499</v>
      </c>
      <c r="AU884">
        <v>2016</v>
      </c>
      <c r="AV884">
        <v>18</v>
      </c>
      <c r="AW884">
        <v>9</v>
      </c>
      <c r="AX884" t="s">
        <v>74</v>
      </c>
      <c r="AY884" t="s">
        <v>74</v>
      </c>
      <c r="AZ884" t="s">
        <v>74</v>
      </c>
      <c r="BA884" t="s">
        <v>74</v>
      </c>
      <c r="BB884" t="s">
        <v>74</v>
      </c>
      <c r="BC884" t="s">
        <v>74</v>
      </c>
      <c r="BD884">
        <v>269</v>
      </c>
      <c r="BE884" t="s">
        <v>16500</v>
      </c>
      <c r="BF884" t="str">
        <f>HYPERLINK("http://dx.doi.org/10.1007/s11051-016-3572-1","http://dx.doi.org/10.1007/s11051-016-3572-1")</f>
        <v>http://dx.doi.org/10.1007/s11051-016-3572-1</v>
      </c>
      <c r="BG884" t="s">
        <v>74</v>
      </c>
      <c r="BH884" t="s">
        <v>74</v>
      </c>
      <c r="BI884">
        <v>24</v>
      </c>
      <c r="BJ884" t="s">
        <v>16501</v>
      </c>
      <c r="BK884" t="s">
        <v>147</v>
      </c>
      <c r="BL884" t="s">
        <v>16502</v>
      </c>
      <c r="BM884" t="s">
        <v>16503</v>
      </c>
      <c r="BN884">
        <v>27656105</v>
      </c>
      <c r="BO884" t="s">
        <v>16504</v>
      </c>
      <c r="BP884" t="s">
        <v>74</v>
      </c>
      <c r="BQ884" t="s">
        <v>74</v>
      </c>
      <c r="BR884" t="s">
        <v>102</v>
      </c>
      <c r="BS884" t="s">
        <v>16505</v>
      </c>
      <c r="BT884" t="str">
        <f>HYPERLINK("https%3A%2F%2Fwww.webofscience.com%2Fwos%2Fwoscc%2Ffull-record%2FWOS:000385187700001","View Full Record in Web of Science")</f>
        <v>View Full Record in Web of Science</v>
      </c>
    </row>
    <row r="885" spans="1:72" x14ac:dyDescent="0.2">
      <c r="A885" t="s">
        <v>72</v>
      </c>
      <c r="B885" t="s">
        <v>16506</v>
      </c>
      <c r="C885" t="s">
        <v>74</v>
      </c>
      <c r="D885" t="s">
        <v>74</v>
      </c>
      <c r="E885" t="s">
        <v>74</v>
      </c>
      <c r="F885" t="s">
        <v>16507</v>
      </c>
      <c r="G885" t="s">
        <v>74</v>
      </c>
      <c r="H885" t="s">
        <v>74</v>
      </c>
      <c r="I885" t="s">
        <v>16508</v>
      </c>
      <c r="J885" t="s">
        <v>16509</v>
      </c>
      <c r="K885" t="s">
        <v>74</v>
      </c>
      <c r="L885" t="s">
        <v>74</v>
      </c>
      <c r="M885" t="s">
        <v>78</v>
      </c>
      <c r="N885" t="s">
        <v>108</v>
      </c>
      <c r="O885" t="s">
        <v>74</v>
      </c>
      <c r="P885" t="s">
        <v>74</v>
      </c>
      <c r="Q885" t="s">
        <v>74</v>
      </c>
      <c r="R885" t="s">
        <v>74</v>
      </c>
      <c r="S885" t="s">
        <v>74</v>
      </c>
      <c r="T885" t="s">
        <v>16510</v>
      </c>
      <c r="U885" t="s">
        <v>16511</v>
      </c>
      <c r="V885" t="s">
        <v>16512</v>
      </c>
      <c r="W885" t="s">
        <v>16513</v>
      </c>
      <c r="X885" t="s">
        <v>16514</v>
      </c>
      <c r="Y885" t="s">
        <v>16515</v>
      </c>
      <c r="Z885" t="s">
        <v>16516</v>
      </c>
      <c r="AA885" t="s">
        <v>16517</v>
      </c>
      <c r="AB885" t="s">
        <v>16518</v>
      </c>
      <c r="AC885" t="s">
        <v>74</v>
      </c>
      <c r="AD885" t="s">
        <v>74</v>
      </c>
      <c r="AE885" t="s">
        <v>74</v>
      </c>
      <c r="AF885" t="s">
        <v>74</v>
      </c>
      <c r="AG885">
        <v>94</v>
      </c>
      <c r="AH885">
        <v>18</v>
      </c>
      <c r="AI885">
        <v>18</v>
      </c>
      <c r="AJ885">
        <v>6</v>
      </c>
      <c r="AK885">
        <v>62</v>
      </c>
      <c r="AL885" t="s">
        <v>636</v>
      </c>
      <c r="AM885" t="s">
        <v>637</v>
      </c>
      <c r="AN885" t="s">
        <v>638</v>
      </c>
      <c r="AO885" t="s">
        <v>16519</v>
      </c>
      <c r="AP885" t="s">
        <v>16520</v>
      </c>
      <c r="AQ885" t="s">
        <v>74</v>
      </c>
      <c r="AR885" t="s">
        <v>16521</v>
      </c>
      <c r="AS885" t="s">
        <v>16522</v>
      </c>
      <c r="AT885" t="s">
        <v>194</v>
      </c>
      <c r="AU885">
        <v>2019</v>
      </c>
      <c r="AV885">
        <v>58</v>
      </c>
      <c r="AW885">
        <v>8</v>
      </c>
      <c r="AX885" t="s">
        <v>74</v>
      </c>
      <c r="AY885" t="s">
        <v>74</v>
      </c>
      <c r="AZ885" t="s">
        <v>74</v>
      </c>
      <c r="BA885" t="s">
        <v>74</v>
      </c>
      <c r="BB885">
        <v>1249</v>
      </c>
      <c r="BC885">
        <v>1261</v>
      </c>
      <c r="BD885" t="s">
        <v>74</v>
      </c>
      <c r="BE885" t="s">
        <v>16523</v>
      </c>
      <c r="BF885" t="str">
        <f>HYPERLINK("http://dx.doi.org/10.1177/0047287518815985","http://dx.doi.org/10.1177/0047287518815985")</f>
        <v>http://dx.doi.org/10.1177/0047287518815985</v>
      </c>
      <c r="BG885" t="s">
        <v>74</v>
      </c>
      <c r="BH885" t="s">
        <v>74</v>
      </c>
      <c r="BI885">
        <v>13</v>
      </c>
      <c r="BJ885" t="s">
        <v>16524</v>
      </c>
      <c r="BK885" t="s">
        <v>242</v>
      </c>
      <c r="BL885" t="s">
        <v>243</v>
      </c>
      <c r="BM885" t="s">
        <v>16525</v>
      </c>
      <c r="BN885" t="s">
        <v>74</v>
      </c>
      <c r="BO885" t="s">
        <v>16526</v>
      </c>
      <c r="BP885" t="s">
        <v>74</v>
      </c>
      <c r="BQ885" t="s">
        <v>74</v>
      </c>
      <c r="BR885" t="s">
        <v>102</v>
      </c>
      <c r="BS885" t="s">
        <v>16527</v>
      </c>
      <c r="BT885" t="str">
        <f>HYPERLINK("https%3A%2F%2Fwww.webofscience.com%2Fwos%2Fwoscc%2Ffull-record%2FWOS:000487050200002","View Full Record in Web of Science")</f>
        <v>View Full Record in Web of Science</v>
      </c>
    </row>
    <row r="886" spans="1:72" x14ac:dyDescent="0.2">
      <c r="A886" t="s">
        <v>72</v>
      </c>
      <c r="B886" t="s">
        <v>16528</v>
      </c>
      <c r="C886" t="s">
        <v>74</v>
      </c>
      <c r="D886" t="s">
        <v>74</v>
      </c>
      <c r="E886" t="s">
        <v>74</v>
      </c>
      <c r="F886" t="s">
        <v>16529</v>
      </c>
      <c r="G886" t="s">
        <v>74</v>
      </c>
      <c r="H886" t="s">
        <v>74</v>
      </c>
      <c r="I886" t="s">
        <v>16530</v>
      </c>
      <c r="J886" t="s">
        <v>16531</v>
      </c>
      <c r="K886" t="s">
        <v>74</v>
      </c>
      <c r="L886" t="s">
        <v>74</v>
      </c>
      <c r="M886" t="s">
        <v>78</v>
      </c>
      <c r="N886" t="s">
        <v>108</v>
      </c>
      <c r="O886" t="s">
        <v>74</v>
      </c>
      <c r="P886" t="s">
        <v>74</v>
      </c>
      <c r="Q886" t="s">
        <v>74</v>
      </c>
      <c r="R886" t="s">
        <v>74</v>
      </c>
      <c r="S886" t="s">
        <v>74</v>
      </c>
      <c r="T886" t="s">
        <v>16532</v>
      </c>
      <c r="U886" t="s">
        <v>16533</v>
      </c>
      <c r="V886" t="s">
        <v>16534</v>
      </c>
      <c r="W886" t="s">
        <v>16535</v>
      </c>
      <c r="X886" t="s">
        <v>16536</v>
      </c>
      <c r="Y886" t="s">
        <v>16537</v>
      </c>
      <c r="Z886" t="s">
        <v>16538</v>
      </c>
      <c r="AA886" t="s">
        <v>74</v>
      </c>
      <c r="AB886" t="s">
        <v>74</v>
      </c>
      <c r="AC886" t="s">
        <v>74</v>
      </c>
      <c r="AD886" t="s">
        <v>74</v>
      </c>
      <c r="AE886" t="s">
        <v>74</v>
      </c>
      <c r="AF886" t="s">
        <v>74</v>
      </c>
      <c r="AG886">
        <v>57</v>
      </c>
      <c r="AH886">
        <v>4</v>
      </c>
      <c r="AI886">
        <v>4</v>
      </c>
      <c r="AJ886">
        <v>3</v>
      </c>
      <c r="AK886">
        <v>40</v>
      </c>
      <c r="AL886" t="s">
        <v>321</v>
      </c>
      <c r="AM886" t="s">
        <v>322</v>
      </c>
      <c r="AN886" t="s">
        <v>323</v>
      </c>
      <c r="AO886" t="s">
        <v>16539</v>
      </c>
      <c r="AP886" t="s">
        <v>16540</v>
      </c>
      <c r="AQ886" t="s">
        <v>74</v>
      </c>
      <c r="AR886" t="s">
        <v>16541</v>
      </c>
      <c r="AS886" t="s">
        <v>16542</v>
      </c>
      <c r="AT886" t="s">
        <v>416</v>
      </c>
      <c r="AU886">
        <v>2017</v>
      </c>
      <c r="AV886">
        <v>10</v>
      </c>
      <c r="AW886">
        <v>2</v>
      </c>
      <c r="AX886" t="s">
        <v>74</v>
      </c>
      <c r="AY886" t="s">
        <v>74</v>
      </c>
      <c r="AZ886" t="s">
        <v>74</v>
      </c>
      <c r="BA886" t="s">
        <v>74</v>
      </c>
      <c r="BB886">
        <v>233</v>
      </c>
      <c r="BC886">
        <v>251</v>
      </c>
      <c r="BD886" t="s">
        <v>74</v>
      </c>
      <c r="BE886" t="s">
        <v>16543</v>
      </c>
      <c r="BF886" t="str">
        <f>HYPERLINK("http://dx.doi.org/10.1007/s12061-015-9180-0","http://dx.doi.org/10.1007/s12061-015-9180-0")</f>
        <v>http://dx.doi.org/10.1007/s12061-015-9180-0</v>
      </c>
      <c r="BG886" t="s">
        <v>74</v>
      </c>
      <c r="BH886" t="s">
        <v>74</v>
      </c>
      <c r="BI886">
        <v>19</v>
      </c>
      <c r="BJ886" t="s">
        <v>16544</v>
      </c>
      <c r="BK886" t="s">
        <v>242</v>
      </c>
      <c r="BL886" t="s">
        <v>16545</v>
      </c>
      <c r="BM886" t="s">
        <v>16546</v>
      </c>
      <c r="BN886" t="s">
        <v>74</v>
      </c>
      <c r="BO886" t="s">
        <v>74</v>
      </c>
      <c r="BP886" t="s">
        <v>74</v>
      </c>
      <c r="BQ886" t="s">
        <v>74</v>
      </c>
      <c r="BR886" t="s">
        <v>102</v>
      </c>
      <c r="BS886" t="s">
        <v>16547</v>
      </c>
      <c r="BT886" t="str">
        <f>HYPERLINK("https%3A%2F%2Fwww.webofscience.com%2Fwos%2Fwoscc%2Ffull-record%2FWOS:000401622700004","View Full Record in Web of Science")</f>
        <v>View Full Record in Web of Science</v>
      </c>
    </row>
    <row r="887" spans="1:72" x14ac:dyDescent="0.2">
      <c r="A887" t="s">
        <v>72</v>
      </c>
      <c r="B887" t="s">
        <v>16548</v>
      </c>
      <c r="C887" t="s">
        <v>74</v>
      </c>
      <c r="D887" t="s">
        <v>74</v>
      </c>
      <c r="E887" t="s">
        <v>74</v>
      </c>
      <c r="F887" t="s">
        <v>16549</v>
      </c>
      <c r="G887" t="s">
        <v>74</v>
      </c>
      <c r="H887" t="s">
        <v>74</v>
      </c>
      <c r="I887" t="s">
        <v>16550</v>
      </c>
      <c r="J887" t="s">
        <v>16551</v>
      </c>
      <c r="K887" t="s">
        <v>74</v>
      </c>
      <c r="L887" t="s">
        <v>74</v>
      </c>
      <c r="M887" t="s">
        <v>78</v>
      </c>
      <c r="N887" t="s">
        <v>108</v>
      </c>
      <c r="O887" t="s">
        <v>74</v>
      </c>
      <c r="P887" t="s">
        <v>74</v>
      </c>
      <c r="Q887" t="s">
        <v>74</v>
      </c>
      <c r="R887" t="s">
        <v>74</v>
      </c>
      <c r="S887" t="s">
        <v>74</v>
      </c>
      <c r="T887" t="s">
        <v>16552</v>
      </c>
      <c r="U887" t="s">
        <v>16553</v>
      </c>
      <c r="V887" t="s">
        <v>16554</v>
      </c>
      <c r="W887" t="s">
        <v>16555</v>
      </c>
      <c r="X887" t="s">
        <v>13231</v>
      </c>
      <c r="Y887" t="s">
        <v>16556</v>
      </c>
      <c r="Z887" t="s">
        <v>16557</v>
      </c>
      <c r="AA887" t="s">
        <v>13234</v>
      </c>
      <c r="AB887" t="s">
        <v>74</v>
      </c>
      <c r="AC887" t="s">
        <v>16558</v>
      </c>
      <c r="AD887" t="s">
        <v>16559</v>
      </c>
      <c r="AE887" t="s">
        <v>16560</v>
      </c>
      <c r="AF887" t="s">
        <v>74</v>
      </c>
      <c r="AG887">
        <v>31</v>
      </c>
      <c r="AH887">
        <v>3</v>
      </c>
      <c r="AI887">
        <v>3</v>
      </c>
      <c r="AJ887">
        <v>4</v>
      </c>
      <c r="AK887">
        <v>43</v>
      </c>
      <c r="AL887" t="s">
        <v>2752</v>
      </c>
      <c r="AM887" t="s">
        <v>2753</v>
      </c>
      <c r="AN887" t="s">
        <v>2754</v>
      </c>
      <c r="AO887" t="s">
        <v>16561</v>
      </c>
      <c r="AP887" t="s">
        <v>16562</v>
      </c>
      <c r="AQ887" t="s">
        <v>74</v>
      </c>
      <c r="AR887" t="s">
        <v>16563</v>
      </c>
      <c r="AS887" t="s">
        <v>16564</v>
      </c>
      <c r="AT887" t="s">
        <v>1879</v>
      </c>
      <c r="AU887">
        <v>2018</v>
      </c>
      <c r="AV887">
        <v>32</v>
      </c>
      <c r="AW887">
        <v>6</v>
      </c>
      <c r="AX887" t="s">
        <v>74</v>
      </c>
      <c r="AY887" t="s">
        <v>74</v>
      </c>
      <c r="AZ887" t="s">
        <v>74</v>
      </c>
      <c r="BA887" t="s">
        <v>74</v>
      </c>
      <c r="BB887" t="s">
        <v>74</v>
      </c>
      <c r="BC887" t="s">
        <v>74</v>
      </c>
      <c r="BD887">
        <v>1850063</v>
      </c>
      <c r="BE887" t="s">
        <v>16565</v>
      </c>
      <c r="BF887" t="str">
        <f>HYPERLINK("http://dx.doi.org/10.1142/S0217979218500637","http://dx.doi.org/10.1142/S0217979218500637")</f>
        <v>http://dx.doi.org/10.1142/S0217979218500637</v>
      </c>
      <c r="BG887" t="s">
        <v>74</v>
      </c>
      <c r="BH887" t="s">
        <v>74</v>
      </c>
      <c r="BI887">
        <v>23</v>
      </c>
      <c r="BJ887" t="s">
        <v>16566</v>
      </c>
      <c r="BK887" t="s">
        <v>147</v>
      </c>
      <c r="BL887" t="s">
        <v>6759</v>
      </c>
      <c r="BM887" t="s">
        <v>16567</v>
      </c>
      <c r="BN887" t="s">
        <v>74</v>
      </c>
      <c r="BO887" t="s">
        <v>74</v>
      </c>
      <c r="BP887" t="s">
        <v>74</v>
      </c>
      <c r="BQ887" t="s">
        <v>74</v>
      </c>
      <c r="BR887" t="s">
        <v>102</v>
      </c>
      <c r="BS887" t="s">
        <v>16568</v>
      </c>
      <c r="BT887" t="str">
        <f>HYPERLINK("https%3A%2F%2Fwww.webofscience.com%2Fwos%2Fwoscc%2Ffull-record%2FWOS:000426254600008","View Full Record in Web of Science")</f>
        <v>View Full Record in Web of Science</v>
      </c>
    </row>
    <row r="888" spans="1:72" x14ac:dyDescent="0.2">
      <c r="A888" t="s">
        <v>72</v>
      </c>
      <c r="B888" t="s">
        <v>16569</v>
      </c>
      <c r="C888" t="s">
        <v>74</v>
      </c>
      <c r="D888" t="s">
        <v>74</v>
      </c>
      <c r="E888" t="s">
        <v>74</v>
      </c>
      <c r="F888" t="s">
        <v>16570</v>
      </c>
      <c r="G888" t="s">
        <v>74</v>
      </c>
      <c r="H888" t="s">
        <v>74</v>
      </c>
      <c r="I888" t="s">
        <v>16571</v>
      </c>
      <c r="J888" t="s">
        <v>16572</v>
      </c>
      <c r="K888" t="s">
        <v>74</v>
      </c>
      <c r="L888" t="s">
        <v>74</v>
      </c>
      <c r="M888" t="s">
        <v>78</v>
      </c>
      <c r="N888" t="s">
        <v>108</v>
      </c>
      <c r="O888" t="s">
        <v>74</v>
      </c>
      <c r="P888" t="s">
        <v>74</v>
      </c>
      <c r="Q888" t="s">
        <v>74</v>
      </c>
      <c r="R888" t="s">
        <v>74</v>
      </c>
      <c r="S888" t="s">
        <v>74</v>
      </c>
      <c r="T888" t="s">
        <v>16573</v>
      </c>
      <c r="U888" t="s">
        <v>16574</v>
      </c>
      <c r="V888" t="s">
        <v>16575</v>
      </c>
      <c r="W888" t="s">
        <v>16576</v>
      </c>
      <c r="X888" t="s">
        <v>16577</v>
      </c>
      <c r="Y888" t="s">
        <v>16578</v>
      </c>
      <c r="Z888" t="s">
        <v>16579</v>
      </c>
      <c r="AA888" t="s">
        <v>74</v>
      </c>
      <c r="AB888" t="s">
        <v>16580</v>
      </c>
      <c r="AC888" t="s">
        <v>16581</v>
      </c>
      <c r="AD888" t="s">
        <v>16582</v>
      </c>
      <c r="AE888" t="s">
        <v>16583</v>
      </c>
      <c r="AF888" t="s">
        <v>74</v>
      </c>
      <c r="AG888">
        <v>53</v>
      </c>
      <c r="AH888">
        <v>0</v>
      </c>
      <c r="AI888">
        <v>0</v>
      </c>
      <c r="AJ888">
        <v>1</v>
      </c>
      <c r="AK888">
        <v>1</v>
      </c>
      <c r="AL888" t="s">
        <v>16584</v>
      </c>
      <c r="AM888" t="s">
        <v>2458</v>
      </c>
      <c r="AN888" t="s">
        <v>16585</v>
      </c>
      <c r="AO888" t="s">
        <v>16586</v>
      </c>
      <c r="AP888" t="s">
        <v>16587</v>
      </c>
      <c r="AQ888" t="s">
        <v>74</v>
      </c>
      <c r="AR888" t="s">
        <v>16588</v>
      </c>
      <c r="AS888" t="s">
        <v>16589</v>
      </c>
      <c r="AT888" t="s">
        <v>394</v>
      </c>
      <c r="AU888">
        <v>2023</v>
      </c>
      <c r="AV888">
        <v>18</v>
      </c>
      <c r="AW888">
        <v>5</v>
      </c>
      <c r="AX888" t="s">
        <v>74</v>
      </c>
      <c r="AY888" t="s">
        <v>74</v>
      </c>
      <c r="AZ888" t="s">
        <v>570</v>
      </c>
      <c r="BA888" t="s">
        <v>74</v>
      </c>
      <c r="BB888">
        <v>2293</v>
      </c>
      <c r="BC888">
        <v>2307</v>
      </c>
      <c r="BD888" t="s">
        <v>74</v>
      </c>
      <c r="BE888" t="s">
        <v>16590</v>
      </c>
      <c r="BF888" t="str">
        <f>HYPERLINK("http://dx.doi.org/10.1007/s11625-023-01367-4","http://dx.doi.org/10.1007/s11625-023-01367-4")</f>
        <v>http://dx.doi.org/10.1007/s11625-023-01367-4</v>
      </c>
      <c r="BG888" t="s">
        <v>74</v>
      </c>
      <c r="BH888" t="s">
        <v>1331</v>
      </c>
      <c r="BI888">
        <v>15</v>
      </c>
      <c r="BJ888" t="s">
        <v>11971</v>
      </c>
      <c r="BK888" t="s">
        <v>98</v>
      </c>
      <c r="BL888" t="s">
        <v>148</v>
      </c>
      <c r="BM888" t="s">
        <v>16591</v>
      </c>
      <c r="BN888" t="s">
        <v>74</v>
      </c>
      <c r="BO888" t="s">
        <v>74</v>
      </c>
      <c r="BP888" t="s">
        <v>74</v>
      </c>
      <c r="BQ888" t="s">
        <v>74</v>
      </c>
      <c r="BR888" t="s">
        <v>102</v>
      </c>
      <c r="BS888" t="s">
        <v>16592</v>
      </c>
      <c r="BT888" t="str">
        <f>HYPERLINK("https%3A%2F%2Fwww.webofscience.com%2Fwos%2Fwoscc%2Ffull-record%2FWOS:001023395000001","View Full Record in Web of Science")</f>
        <v>View Full Record in Web of Science</v>
      </c>
    </row>
    <row r="889" spans="1:72" x14ac:dyDescent="0.2">
      <c r="A889" t="s">
        <v>72</v>
      </c>
      <c r="B889" t="s">
        <v>16593</v>
      </c>
      <c r="C889" t="s">
        <v>74</v>
      </c>
      <c r="D889" t="s">
        <v>74</v>
      </c>
      <c r="E889" t="s">
        <v>74</v>
      </c>
      <c r="F889" t="s">
        <v>16594</v>
      </c>
      <c r="G889" t="s">
        <v>74</v>
      </c>
      <c r="H889" t="s">
        <v>74</v>
      </c>
      <c r="I889" t="s">
        <v>16595</v>
      </c>
      <c r="J889" t="s">
        <v>8523</v>
      </c>
      <c r="K889" t="s">
        <v>74</v>
      </c>
      <c r="L889" t="s">
        <v>74</v>
      </c>
      <c r="M889" t="s">
        <v>78</v>
      </c>
      <c r="N889" t="s">
        <v>108</v>
      </c>
      <c r="O889" t="s">
        <v>74</v>
      </c>
      <c r="P889" t="s">
        <v>74</v>
      </c>
      <c r="Q889" t="s">
        <v>74</v>
      </c>
      <c r="R889" t="s">
        <v>74</v>
      </c>
      <c r="S889" t="s">
        <v>74</v>
      </c>
      <c r="T889" t="s">
        <v>16596</v>
      </c>
      <c r="U889" t="s">
        <v>16597</v>
      </c>
      <c r="V889" t="s">
        <v>16598</v>
      </c>
      <c r="W889" t="s">
        <v>16599</v>
      </c>
      <c r="X889" t="s">
        <v>16600</v>
      </c>
      <c r="Y889" t="s">
        <v>16601</v>
      </c>
      <c r="Z889" t="s">
        <v>16602</v>
      </c>
      <c r="AA889" t="s">
        <v>16603</v>
      </c>
      <c r="AB889" t="s">
        <v>16604</v>
      </c>
      <c r="AC889" t="s">
        <v>16605</v>
      </c>
      <c r="AD889" t="s">
        <v>16606</v>
      </c>
      <c r="AE889" t="s">
        <v>16607</v>
      </c>
      <c r="AF889" t="s">
        <v>74</v>
      </c>
      <c r="AG889">
        <v>55</v>
      </c>
      <c r="AH889">
        <v>22</v>
      </c>
      <c r="AI889">
        <v>22</v>
      </c>
      <c r="AJ889">
        <v>0</v>
      </c>
      <c r="AK889">
        <v>10</v>
      </c>
      <c r="AL889" t="s">
        <v>1630</v>
      </c>
      <c r="AM889" t="s">
        <v>1631</v>
      </c>
      <c r="AN889" t="s">
        <v>1632</v>
      </c>
      <c r="AO889" t="s">
        <v>8534</v>
      </c>
      <c r="AP889" t="s">
        <v>74</v>
      </c>
      <c r="AQ889" t="s">
        <v>74</v>
      </c>
      <c r="AR889" t="s">
        <v>8535</v>
      </c>
      <c r="AS889" t="s">
        <v>8536</v>
      </c>
      <c r="AT889" t="s">
        <v>2900</v>
      </c>
      <c r="AU889">
        <v>2020</v>
      </c>
      <c r="AV889">
        <v>8</v>
      </c>
      <c r="AW889">
        <v>8</v>
      </c>
      <c r="AX889" t="s">
        <v>74</v>
      </c>
      <c r="AY889" t="s">
        <v>74</v>
      </c>
      <c r="AZ889" t="s">
        <v>74</v>
      </c>
      <c r="BA889" t="s">
        <v>74</v>
      </c>
      <c r="BB889">
        <v>3218</v>
      </c>
      <c r="BC889">
        <v>3230</v>
      </c>
      <c r="BD889" t="s">
        <v>74</v>
      </c>
      <c r="BE889" t="s">
        <v>16608</v>
      </c>
      <c r="BF889" t="str">
        <f>HYPERLINK("http://dx.doi.org/10.1021/acssuschemeng.9b06763","http://dx.doi.org/10.1021/acssuschemeng.9b06763")</f>
        <v>http://dx.doi.org/10.1021/acssuschemeng.9b06763</v>
      </c>
      <c r="BG889" t="s">
        <v>74</v>
      </c>
      <c r="BH889" t="s">
        <v>74</v>
      </c>
      <c r="BI889">
        <v>25</v>
      </c>
      <c r="BJ889" t="s">
        <v>8538</v>
      </c>
      <c r="BK889" t="s">
        <v>98</v>
      </c>
      <c r="BL889" t="s">
        <v>8539</v>
      </c>
      <c r="BM889" t="s">
        <v>16609</v>
      </c>
      <c r="BN889" t="s">
        <v>74</v>
      </c>
      <c r="BO889" t="s">
        <v>726</v>
      </c>
      <c r="BP889" t="s">
        <v>74</v>
      </c>
      <c r="BQ889" t="s">
        <v>74</v>
      </c>
      <c r="BR889" t="s">
        <v>102</v>
      </c>
      <c r="BS889" t="s">
        <v>16610</v>
      </c>
      <c r="BT889" t="str">
        <f>HYPERLINK("https%3A%2F%2Fwww.webofscience.com%2Fwos%2Fwoscc%2Ffull-record%2FWOS:000518088700019","View Full Record in Web of Science")</f>
        <v>View Full Record in Web of Science</v>
      </c>
    </row>
    <row r="890" spans="1:72" x14ac:dyDescent="0.2">
      <c r="A890" t="s">
        <v>72</v>
      </c>
      <c r="B890" t="s">
        <v>16611</v>
      </c>
      <c r="C890" t="s">
        <v>74</v>
      </c>
      <c r="D890" t="s">
        <v>74</v>
      </c>
      <c r="E890" t="s">
        <v>74</v>
      </c>
      <c r="F890" t="s">
        <v>16612</v>
      </c>
      <c r="G890" t="s">
        <v>74</v>
      </c>
      <c r="H890" t="s">
        <v>74</v>
      </c>
      <c r="I890" t="s">
        <v>16613</v>
      </c>
      <c r="J890" t="s">
        <v>131</v>
      </c>
      <c r="K890" t="s">
        <v>74</v>
      </c>
      <c r="L890" t="s">
        <v>74</v>
      </c>
      <c r="M890" t="s">
        <v>78</v>
      </c>
      <c r="N890" t="s">
        <v>108</v>
      </c>
      <c r="O890" t="s">
        <v>74</v>
      </c>
      <c r="P890" t="s">
        <v>74</v>
      </c>
      <c r="Q890" t="s">
        <v>74</v>
      </c>
      <c r="R890" t="s">
        <v>74</v>
      </c>
      <c r="S890" t="s">
        <v>74</v>
      </c>
      <c r="T890" t="s">
        <v>16614</v>
      </c>
      <c r="U890" t="s">
        <v>16615</v>
      </c>
      <c r="V890" t="s">
        <v>16616</v>
      </c>
      <c r="W890" t="s">
        <v>16617</v>
      </c>
      <c r="X890" t="s">
        <v>16618</v>
      </c>
      <c r="Y890" t="s">
        <v>16619</v>
      </c>
      <c r="Z890" t="s">
        <v>16620</v>
      </c>
      <c r="AA890" t="s">
        <v>16621</v>
      </c>
      <c r="AB890" t="s">
        <v>16622</v>
      </c>
      <c r="AC890" t="s">
        <v>16623</v>
      </c>
      <c r="AD890" t="s">
        <v>16624</v>
      </c>
      <c r="AE890" t="s">
        <v>16625</v>
      </c>
      <c r="AF890" t="s">
        <v>74</v>
      </c>
      <c r="AG890">
        <v>113</v>
      </c>
      <c r="AH890">
        <v>13</v>
      </c>
      <c r="AI890">
        <v>13</v>
      </c>
      <c r="AJ890">
        <v>23</v>
      </c>
      <c r="AK890">
        <v>41</v>
      </c>
      <c r="AL890" t="s">
        <v>116</v>
      </c>
      <c r="AM890" t="s">
        <v>117</v>
      </c>
      <c r="AN890" t="s">
        <v>118</v>
      </c>
      <c r="AO890" t="s">
        <v>74</v>
      </c>
      <c r="AP890" t="s">
        <v>142</v>
      </c>
      <c r="AQ890" t="s">
        <v>74</v>
      </c>
      <c r="AR890" t="s">
        <v>143</v>
      </c>
      <c r="AS890" t="s">
        <v>144</v>
      </c>
      <c r="AT890" t="s">
        <v>394</v>
      </c>
      <c r="AU890">
        <v>2022</v>
      </c>
      <c r="AV890">
        <v>14</v>
      </c>
      <c r="AW890">
        <v>18</v>
      </c>
      <c r="AX890" t="s">
        <v>74</v>
      </c>
      <c r="AY890" t="s">
        <v>74</v>
      </c>
      <c r="AZ890" t="s">
        <v>74</v>
      </c>
      <c r="BA890" t="s">
        <v>74</v>
      </c>
      <c r="BB890" t="s">
        <v>74</v>
      </c>
      <c r="BC890" t="s">
        <v>74</v>
      </c>
      <c r="BD890">
        <v>11198</v>
      </c>
      <c r="BE890" t="s">
        <v>16626</v>
      </c>
      <c r="BF890" t="str">
        <f>HYPERLINK("http://dx.doi.org/10.3390/su141811198","http://dx.doi.org/10.3390/su141811198")</f>
        <v>http://dx.doi.org/10.3390/su141811198</v>
      </c>
      <c r="BG890" t="s">
        <v>74</v>
      </c>
      <c r="BH890" t="s">
        <v>74</v>
      </c>
      <c r="BI890">
        <v>28</v>
      </c>
      <c r="BJ890" t="s">
        <v>146</v>
      </c>
      <c r="BK890" t="s">
        <v>147</v>
      </c>
      <c r="BL890" t="s">
        <v>148</v>
      </c>
      <c r="BM890" t="s">
        <v>16627</v>
      </c>
      <c r="BN890" t="s">
        <v>74</v>
      </c>
      <c r="BO890" t="s">
        <v>126</v>
      </c>
      <c r="BP890" t="s">
        <v>74</v>
      </c>
      <c r="BQ890" t="s">
        <v>74</v>
      </c>
      <c r="BR890" t="s">
        <v>102</v>
      </c>
      <c r="BS890" t="s">
        <v>16628</v>
      </c>
      <c r="BT890" t="str">
        <f>HYPERLINK("https%3A%2F%2Fwww.webofscience.com%2Fwos%2Fwoscc%2Ffull-record%2FWOS:000857050400001","View Full Record in Web of Science")</f>
        <v>View Full Record in Web of Science</v>
      </c>
    </row>
    <row r="891" spans="1:72" x14ac:dyDescent="0.2">
      <c r="A891" t="s">
        <v>72</v>
      </c>
      <c r="B891" t="s">
        <v>16629</v>
      </c>
      <c r="C891" t="s">
        <v>74</v>
      </c>
      <c r="D891" t="s">
        <v>74</v>
      </c>
      <c r="E891" t="s">
        <v>74</v>
      </c>
      <c r="F891" t="s">
        <v>16630</v>
      </c>
      <c r="G891" t="s">
        <v>74</v>
      </c>
      <c r="H891" t="s">
        <v>74</v>
      </c>
      <c r="I891" t="s">
        <v>16631</v>
      </c>
      <c r="J891" t="s">
        <v>131</v>
      </c>
      <c r="K891" t="s">
        <v>74</v>
      </c>
      <c r="L891" t="s">
        <v>74</v>
      </c>
      <c r="M891" t="s">
        <v>78</v>
      </c>
      <c r="N891" t="s">
        <v>79</v>
      </c>
      <c r="O891" t="s">
        <v>74</v>
      </c>
      <c r="P891" t="s">
        <v>74</v>
      </c>
      <c r="Q891" t="s">
        <v>74</v>
      </c>
      <c r="R891" t="s">
        <v>74</v>
      </c>
      <c r="S891" t="s">
        <v>74</v>
      </c>
      <c r="T891" t="s">
        <v>16632</v>
      </c>
      <c r="U891" t="s">
        <v>16633</v>
      </c>
      <c r="V891" t="s">
        <v>16634</v>
      </c>
      <c r="W891" t="s">
        <v>16635</v>
      </c>
      <c r="X891" t="s">
        <v>16636</v>
      </c>
      <c r="Y891" t="s">
        <v>16637</v>
      </c>
      <c r="Z891" t="s">
        <v>16638</v>
      </c>
      <c r="AA891" t="s">
        <v>16639</v>
      </c>
      <c r="AB891" t="s">
        <v>16640</v>
      </c>
      <c r="AC891" t="s">
        <v>16641</v>
      </c>
      <c r="AD891" t="s">
        <v>16641</v>
      </c>
      <c r="AE891" t="s">
        <v>16642</v>
      </c>
      <c r="AF891" t="s">
        <v>74</v>
      </c>
      <c r="AG891">
        <v>139</v>
      </c>
      <c r="AH891">
        <v>26</v>
      </c>
      <c r="AI891">
        <v>26</v>
      </c>
      <c r="AJ891">
        <v>26</v>
      </c>
      <c r="AK891">
        <v>184</v>
      </c>
      <c r="AL891" t="s">
        <v>116</v>
      </c>
      <c r="AM891" t="s">
        <v>117</v>
      </c>
      <c r="AN891" t="s">
        <v>118</v>
      </c>
      <c r="AO891" t="s">
        <v>74</v>
      </c>
      <c r="AP891" t="s">
        <v>142</v>
      </c>
      <c r="AQ891" t="s">
        <v>74</v>
      </c>
      <c r="AR891" t="s">
        <v>143</v>
      </c>
      <c r="AS891" t="s">
        <v>144</v>
      </c>
      <c r="AT891" t="s">
        <v>372</v>
      </c>
      <c r="AU891">
        <v>2020</v>
      </c>
      <c r="AV891">
        <v>12</v>
      </c>
      <c r="AW891">
        <v>1</v>
      </c>
      <c r="AX891" t="s">
        <v>74</v>
      </c>
      <c r="AY891" t="s">
        <v>74</v>
      </c>
      <c r="AZ891" t="s">
        <v>74</v>
      </c>
      <c r="BA891" t="s">
        <v>74</v>
      </c>
      <c r="BB891" t="s">
        <v>74</v>
      </c>
      <c r="BC891" t="s">
        <v>74</v>
      </c>
      <c r="BD891">
        <v>91</v>
      </c>
      <c r="BE891" t="s">
        <v>16643</v>
      </c>
      <c r="BF891" t="str">
        <f>HYPERLINK("http://dx.doi.org/10.3390/su12010091","http://dx.doi.org/10.3390/su12010091")</f>
        <v>http://dx.doi.org/10.3390/su12010091</v>
      </c>
      <c r="BG891" t="s">
        <v>74</v>
      </c>
      <c r="BH891" t="s">
        <v>74</v>
      </c>
      <c r="BI891">
        <v>27</v>
      </c>
      <c r="BJ891" t="s">
        <v>146</v>
      </c>
      <c r="BK891" t="s">
        <v>147</v>
      </c>
      <c r="BL891" t="s">
        <v>148</v>
      </c>
      <c r="BM891" t="s">
        <v>16644</v>
      </c>
      <c r="BN891" t="s">
        <v>74</v>
      </c>
      <c r="BO891" t="s">
        <v>150</v>
      </c>
      <c r="BP891" t="s">
        <v>74</v>
      </c>
      <c r="BQ891" t="s">
        <v>74</v>
      </c>
      <c r="BR891" t="s">
        <v>102</v>
      </c>
      <c r="BS891" t="s">
        <v>16645</v>
      </c>
      <c r="BT891" t="str">
        <f>HYPERLINK("https%3A%2F%2Fwww.webofscience.com%2Fwos%2Fwoscc%2Ffull-record%2FWOS:000521955600091","View Full Record in Web of Science")</f>
        <v>View Full Record in Web of Science</v>
      </c>
    </row>
    <row r="892" spans="1:72" x14ac:dyDescent="0.2">
      <c r="A892" t="s">
        <v>72</v>
      </c>
      <c r="B892" t="s">
        <v>16646</v>
      </c>
      <c r="C892" t="s">
        <v>74</v>
      </c>
      <c r="D892" t="s">
        <v>74</v>
      </c>
      <c r="E892" t="s">
        <v>74</v>
      </c>
      <c r="F892" t="s">
        <v>16647</v>
      </c>
      <c r="G892" t="s">
        <v>74</v>
      </c>
      <c r="H892" t="s">
        <v>74</v>
      </c>
      <c r="I892" t="s">
        <v>16648</v>
      </c>
      <c r="J892" t="s">
        <v>4384</v>
      </c>
      <c r="K892" t="s">
        <v>74</v>
      </c>
      <c r="L892" t="s">
        <v>74</v>
      </c>
      <c r="M892" t="s">
        <v>78</v>
      </c>
      <c r="N892" t="s">
        <v>108</v>
      </c>
      <c r="O892" t="s">
        <v>74</v>
      </c>
      <c r="P892" t="s">
        <v>74</v>
      </c>
      <c r="Q892" t="s">
        <v>74</v>
      </c>
      <c r="R892" t="s">
        <v>74</v>
      </c>
      <c r="S892" t="s">
        <v>74</v>
      </c>
      <c r="T892" t="s">
        <v>16649</v>
      </c>
      <c r="U892" t="s">
        <v>16650</v>
      </c>
      <c r="V892" t="s">
        <v>16651</v>
      </c>
      <c r="W892" t="s">
        <v>16652</v>
      </c>
      <c r="X892" t="s">
        <v>16653</v>
      </c>
      <c r="Y892" t="s">
        <v>16654</v>
      </c>
      <c r="Z892" t="s">
        <v>16655</v>
      </c>
      <c r="AA892" t="s">
        <v>16656</v>
      </c>
      <c r="AB892" t="s">
        <v>16657</v>
      </c>
      <c r="AC892" t="s">
        <v>74</v>
      </c>
      <c r="AD892" t="s">
        <v>74</v>
      </c>
      <c r="AE892" t="s">
        <v>74</v>
      </c>
      <c r="AF892" t="s">
        <v>74</v>
      </c>
      <c r="AG892">
        <v>90</v>
      </c>
      <c r="AH892">
        <v>15</v>
      </c>
      <c r="AI892">
        <v>15</v>
      </c>
      <c r="AJ892">
        <v>13</v>
      </c>
      <c r="AK892">
        <v>77</v>
      </c>
      <c r="AL892" t="s">
        <v>167</v>
      </c>
      <c r="AM892" t="s">
        <v>168</v>
      </c>
      <c r="AN892" t="s">
        <v>169</v>
      </c>
      <c r="AO892" t="s">
        <v>4393</v>
      </c>
      <c r="AP892" t="s">
        <v>74</v>
      </c>
      <c r="AQ892" t="s">
        <v>74</v>
      </c>
      <c r="AR892" t="s">
        <v>4384</v>
      </c>
      <c r="AS892" t="s">
        <v>4394</v>
      </c>
      <c r="AT892" t="s">
        <v>74</v>
      </c>
      <c r="AU892">
        <v>2021</v>
      </c>
      <c r="AV892">
        <v>9</v>
      </c>
      <c r="AW892" t="s">
        <v>74</v>
      </c>
      <c r="AX892" t="s">
        <v>74</v>
      </c>
      <c r="AY892" t="s">
        <v>74</v>
      </c>
      <c r="AZ892" t="s">
        <v>74</v>
      </c>
      <c r="BA892" t="s">
        <v>74</v>
      </c>
      <c r="BB892">
        <v>38236</v>
      </c>
      <c r="BC892">
        <v>38253</v>
      </c>
      <c r="BD892" t="s">
        <v>74</v>
      </c>
      <c r="BE892" t="s">
        <v>16658</v>
      </c>
      <c r="BF892" t="str">
        <f>HYPERLINK("http://dx.doi.org/10.1109/ACCESS.2021.3056672","http://dx.doi.org/10.1109/ACCESS.2021.3056672")</f>
        <v>http://dx.doi.org/10.1109/ACCESS.2021.3056672</v>
      </c>
      <c r="BG892" t="s">
        <v>74</v>
      </c>
      <c r="BH892" t="s">
        <v>74</v>
      </c>
      <c r="BI892">
        <v>18</v>
      </c>
      <c r="BJ892" t="s">
        <v>2959</v>
      </c>
      <c r="BK892" t="s">
        <v>98</v>
      </c>
      <c r="BL892" t="s">
        <v>2960</v>
      </c>
      <c r="BM892" t="s">
        <v>16659</v>
      </c>
      <c r="BN892" t="s">
        <v>74</v>
      </c>
      <c r="BO892" t="s">
        <v>126</v>
      </c>
      <c r="BP892" t="s">
        <v>74</v>
      </c>
      <c r="BQ892" t="s">
        <v>74</v>
      </c>
      <c r="BR892" t="s">
        <v>102</v>
      </c>
      <c r="BS892" t="s">
        <v>16660</v>
      </c>
      <c r="BT892" t="str">
        <f>HYPERLINK("https%3A%2F%2Fwww.webofscience.com%2Fwos%2Fwoscc%2Ffull-record%2FWOS:000628898400001","View Full Record in Web of Science")</f>
        <v>View Full Record in Web of Science</v>
      </c>
    </row>
    <row r="893" spans="1:72" x14ac:dyDescent="0.2">
      <c r="A893" t="s">
        <v>72</v>
      </c>
      <c r="B893" t="s">
        <v>16661</v>
      </c>
      <c r="C893" t="s">
        <v>74</v>
      </c>
      <c r="D893" t="s">
        <v>74</v>
      </c>
      <c r="E893" t="s">
        <v>74</v>
      </c>
      <c r="F893" t="s">
        <v>16662</v>
      </c>
      <c r="G893" t="s">
        <v>74</v>
      </c>
      <c r="H893" t="s">
        <v>74</v>
      </c>
      <c r="I893" t="s">
        <v>16663</v>
      </c>
      <c r="J893" t="s">
        <v>976</v>
      </c>
      <c r="K893" t="s">
        <v>74</v>
      </c>
      <c r="L893" t="s">
        <v>74</v>
      </c>
      <c r="M893" t="s">
        <v>78</v>
      </c>
      <c r="N893" t="s">
        <v>108</v>
      </c>
      <c r="O893" t="s">
        <v>74</v>
      </c>
      <c r="P893" t="s">
        <v>74</v>
      </c>
      <c r="Q893" t="s">
        <v>74</v>
      </c>
      <c r="R893" t="s">
        <v>74</v>
      </c>
      <c r="S893" t="s">
        <v>74</v>
      </c>
      <c r="T893" t="s">
        <v>16664</v>
      </c>
      <c r="U893" t="s">
        <v>16665</v>
      </c>
      <c r="V893" t="s">
        <v>16666</v>
      </c>
      <c r="W893" t="s">
        <v>16667</v>
      </c>
      <c r="X893" t="s">
        <v>16668</v>
      </c>
      <c r="Y893" t="s">
        <v>16669</v>
      </c>
      <c r="Z893" t="s">
        <v>16670</v>
      </c>
      <c r="AA893" t="s">
        <v>74</v>
      </c>
      <c r="AB893" t="s">
        <v>74</v>
      </c>
      <c r="AC893" t="s">
        <v>16671</v>
      </c>
      <c r="AD893" t="s">
        <v>16672</v>
      </c>
      <c r="AE893" t="s">
        <v>16673</v>
      </c>
      <c r="AF893" t="s">
        <v>74</v>
      </c>
      <c r="AG893">
        <v>38</v>
      </c>
      <c r="AH893">
        <v>20</v>
      </c>
      <c r="AI893">
        <v>24</v>
      </c>
      <c r="AJ893">
        <v>9</v>
      </c>
      <c r="AK893">
        <v>89</v>
      </c>
      <c r="AL893" t="s">
        <v>259</v>
      </c>
      <c r="AM893" t="s">
        <v>260</v>
      </c>
      <c r="AN893" t="s">
        <v>261</v>
      </c>
      <c r="AO893" t="s">
        <v>989</v>
      </c>
      <c r="AP893" t="s">
        <v>990</v>
      </c>
      <c r="AQ893" t="s">
        <v>74</v>
      </c>
      <c r="AR893" t="s">
        <v>991</v>
      </c>
      <c r="AS893" t="s">
        <v>992</v>
      </c>
      <c r="AT893" t="s">
        <v>10864</v>
      </c>
      <c r="AU893">
        <v>2019</v>
      </c>
      <c r="AV893">
        <v>231</v>
      </c>
      <c r="AW893" t="s">
        <v>74</v>
      </c>
      <c r="AX893" t="s">
        <v>74</v>
      </c>
      <c r="AY893" t="s">
        <v>74</v>
      </c>
      <c r="AZ893" t="s">
        <v>74</v>
      </c>
      <c r="BA893" t="s">
        <v>74</v>
      </c>
      <c r="BB893">
        <v>592</v>
      </c>
      <c r="BC893">
        <v>599</v>
      </c>
      <c r="BD893" t="s">
        <v>74</v>
      </c>
      <c r="BE893" t="s">
        <v>16674</v>
      </c>
      <c r="BF893" t="str">
        <f>HYPERLINK("http://dx.doi.org/10.1016/j.jclepro.2019.05.245","http://dx.doi.org/10.1016/j.jclepro.2019.05.245")</f>
        <v>http://dx.doi.org/10.1016/j.jclepro.2019.05.245</v>
      </c>
      <c r="BG893" t="s">
        <v>74</v>
      </c>
      <c r="BH893" t="s">
        <v>74</v>
      </c>
      <c r="BI893">
        <v>8</v>
      </c>
      <c r="BJ893" t="s">
        <v>995</v>
      </c>
      <c r="BK893" t="s">
        <v>147</v>
      </c>
      <c r="BL893" t="s">
        <v>996</v>
      </c>
      <c r="BM893" t="s">
        <v>16675</v>
      </c>
      <c r="BN893" t="s">
        <v>74</v>
      </c>
      <c r="BO893" t="s">
        <v>74</v>
      </c>
      <c r="BP893" t="s">
        <v>74</v>
      </c>
      <c r="BQ893" t="s">
        <v>74</v>
      </c>
      <c r="BR893" t="s">
        <v>102</v>
      </c>
      <c r="BS893" t="s">
        <v>16676</v>
      </c>
      <c r="BT893" t="str">
        <f>HYPERLINK("https%3A%2F%2Fwww.webofscience.com%2Fwos%2Fwoscc%2Ffull-record%2FWOS:000474680100050","View Full Record in Web of Science")</f>
        <v>View Full Record in Web of Science</v>
      </c>
    </row>
    <row r="894" spans="1:72" x14ac:dyDescent="0.2">
      <c r="A894" t="s">
        <v>72</v>
      </c>
      <c r="B894" t="s">
        <v>16677</v>
      </c>
      <c r="C894" t="s">
        <v>74</v>
      </c>
      <c r="D894" t="s">
        <v>74</v>
      </c>
      <c r="E894" t="s">
        <v>74</v>
      </c>
      <c r="F894" t="s">
        <v>16678</v>
      </c>
      <c r="G894" t="s">
        <v>74</v>
      </c>
      <c r="H894" t="s">
        <v>74</v>
      </c>
      <c r="I894" t="s">
        <v>16679</v>
      </c>
      <c r="J894" t="s">
        <v>11085</v>
      </c>
      <c r="K894" t="s">
        <v>74</v>
      </c>
      <c r="L894" t="s">
        <v>74</v>
      </c>
      <c r="M894" t="s">
        <v>78</v>
      </c>
      <c r="N894" t="s">
        <v>79</v>
      </c>
      <c r="O894" t="s">
        <v>74</v>
      </c>
      <c r="P894" t="s">
        <v>74</v>
      </c>
      <c r="Q894" t="s">
        <v>74</v>
      </c>
      <c r="R894" t="s">
        <v>74</v>
      </c>
      <c r="S894" t="s">
        <v>74</v>
      </c>
      <c r="T894" t="s">
        <v>16680</v>
      </c>
      <c r="U894" t="s">
        <v>16681</v>
      </c>
      <c r="V894" t="s">
        <v>16682</v>
      </c>
      <c r="W894" t="s">
        <v>16683</v>
      </c>
      <c r="X894" t="s">
        <v>16684</v>
      </c>
      <c r="Y894" t="s">
        <v>16685</v>
      </c>
      <c r="Z894" t="s">
        <v>16686</v>
      </c>
      <c r="AA894" t="s">
        <v>16687</v>
      </c>
      <c r="AB894" t="s">
        <v>16688</v>
      </c>
      <c r="AC894" t="s">
        <v>74</v>
      </c>
      <c r="AD894" t="s">
        <v>74</v>
      </c>
      <c r="AE894" t="s">
        <v>74</v>
      </c>
      <c r="AF894" t="s">
        <v>74</v>
      </c>
      <c r="AG894">
        <v>237</v>
      </c>
      <c r="AH894">
        <v>19</v>
      </c>
      <c r="AI894">
        <v>19</v>
      </c>
      <c r="AJ894">
        <v>7</v>
      </c>
      <c r="AK894">
        <v>21</v>
      </c>
      <c r="AL894" t="s">
        <v>209</v>
      </c>
      <c r="AM894" t="s">
        <v>210</v>
      </c>
      <c r="AN894" t="s">
        <v>211</v>
      </c>
      <c r="AO894" t="s">
        <v>11095</v>
      </c>
      <c r="AP894" t="s">
        <v>11096</v>
      </c>
      <c r="AQ894" t="s">
        <v>74</v>
      </c>
      <c r="AR894" t="s">
        <v>11097</v>
      </c>
      <c r="AS894" t="s">
        <v>11098</v>
      </c>
      <c r="AT894" t="s">
        <v>239</v>
      </c>
      <c r="AU894">
        <v>2022</v>
      </c>
      <c r="AV894">
        <v>19</v>
      </c>
      <c r="AW894" t="s">
        <v>74</v>
      </c>
      <c r="AX894" t="s">
        <v>74</v>
      </c>
      <c r="AY894" t="s">
        <v>74</v>
      </c>
      <c r="AZ894" t="s">
        <v>74</v>
      </c>
      <c r="BA894" t="s">
        <v>74</v>
      </c>
      <c r="BB894" t="s">
        <v>74</v>
      </c>
      <c r="BC894" t="s">
        <v>74</v>
      </c>
      <c r="BD894">
        <v>100565</v>
      </c>
      <c r="BE894" t="s">
        <v>16689</v>
      </c>
      <c r="BF894" t="str">
        <f>HYPERLINK("http://dx.doi.org/10.1016/j.iot.2022.100565","http://dx.doi.org/10.1016/j.iot.2022.100565")</f>
        <v>http://dx.doi.org/10.1016/j.iot.2022.100565</v>
      </c>
      <c r="BG894" t="s">
        <v>74</v>
      </c>
      <c r="BH894" t="s">
        <v>698</v>
      </c>
      <c r="BI894">
        <v>21</v>
      </c>
      <c r="BJ894" t="s">
        <v>2959</v>
      </c>
      <c r="BK894" t="s">
        <v>98</v>
      </c>
      <c r="BL894" t="s">
        <v>2960</v>
      </c>
      <c r="BM894" t="s">
        <v>16690</v>
      </c>
      <c r="BN894" t="s">
        <v>74</v>
      </c>
      <c r="BO894" t="s">
        <v>702</v>
      </c>
      <c r="BP894" t="s">
        <v>74</v>
      </c>
      <c r="BQ894" t="s">
        <v>74</v>
      </c>
      <c r="BR894" t="s">
        <v>102</v>
      </c>
      <c r="BS894" t="s">
        <v>16691</v>
      </c>
      <c r="BT894" t="str">
        <f>HYPERLINK("https%3A%2F%2Fwww.webofscience.com%2Fwos%2Fwoscc%2Ffull-record%2FWOS:000834078100005","View Full Record in Web of Science")</f>
        <v>View Full Record in Web of Science</v>
      </c>
    </row>
    <row r="895" spans="1:72" x14ac:dyDescent="0.2">
      <c r="A895" t="s">
        <v>72</v>
      </c>
      <c r="B895" t="s">
        <v>16692</v>
      </c>
      <c r="C895" t="s">
        <v>74</v>
      </c>
      <c r="D895" t="s">
        <v>74</v>
      </c>
      <c r="E895" t="s">
        <v>74</v>
      </c>
      <c r="F895" t="s">
        <v>16693</v>
      </c>
      <c r="G895" t="s">
        <v>74</v>
      </c>
      <c r="H895" t="s">
        <v>74</v>
      </c>
      <c r="I895" t="s">
        <v>16694</v>
      </c>
      <c r="J895" t="s">
        <v>16695</v>
      </c>
      <c r="K895" t="s">
        <v>74</v>
      </c>
      <c r="L895" t="s">
        <v>74</v>
      </c>
      <c r="M895" t="s">
        <v>78</v>
      </c>
      <c r="N895" t="s">
        <v>917</v>
      </c>
      <c r="O895" t="s">
        <v>74</v>
      </c>
      <c r="P895" t="s">
        <v>74</v>
      </c>
      <c r="Q895" t="s">
        <v>74</v>
      </c>
      <c r="R895" t="s">
        <v>74</v>
      </c>
      <c r="S895" t="s">
        <v>74</v>
      </c>
      <c r="T895" t="s">
        <v>16696</v>
      </c>
      <c r="U895" t="s">
        <v>16697</v>
      </c>
      <c r="V895" t="s">
        <v>16698</v>
      </c>
      <c r="W895" t="s">
        <v>16699</v>
      </c>
      <c r="X895" t="s">
        <v>16700</v>
      </c>
      <c r="Y895" t="s">
        <v>16701</v>
      </c>
      <c r="Z895" t="s">
        <v>16702</v>
      </c>
      <c r="AA895" t="s">
        <v>74</v>
      </c>
      <c r="AB895" t="s">
        <v>16703</v>
      </c>
      <c r="AC895" t="s">
        <v>16704</v>
      </c>
      <c r="AD895" t="s">
        <v>16705</v>
      </c>
      <c r="AE895" t="s">
        <v>16706</v>
      </c>
      <c r="AF895" t="s">
        <v>74</v>
      </c>
      <c r="AG895">
        <v>60</v>
      </c>
      <c r="AH895">
        <v>0</v>
      </c>
      <c r="AI895">
        <v>0</v>
      </c>
      <c r="AJ895">
        <v>21</v>
      </c>
      <c r="AK895">
        <v>21</v>
      </c>
      <c r="AL895" t="s">
        <v>167</v>
      </c>
      <c r="AM895" t="s">
        <v>168</v>
      </c>
      <c r="AN895" t="s">
        <v>169</v>
      </c>
      <c r="AO895" t="s">
        <v>16707</v>
      </c>
      <c r="AP895" t="s">
        <v>74</v>
      </c>
      <c r="AQ895" t="s">
        <v>74</v>
      </c>
      <c r="AR895" t="s">
        <v>16708</v>
      </c>
      <c r="AS895" t="s">
        <v>16709</v>
      </c>
      <c r="AT895" t="s">
        <v>16710</v>
      </c>
      <c r="AU895">
        <v>2023</v>
      </c>
      <c r="AV895" t="s">
        <v>74</v>
      </c>
      <c r="AW895" t="s">
        <v>74</v>
      </c>
      <c r="AX895" t="s">
        <v>74</v>
      </c>
      <c r="AY895" t="s">
        <v>74</v>
      </c>
      <c r="AZ895" t="s">
        <v>74</v>
      </c>
      <c r="BA895" t="s">
        <v>74</v>
      </c>
      <c r="BB895" t="s">
        <v>74</v>
      </c>
      <c r="BC895" t="s">
        <v>74</v>
      </c>
      <c r="BD895" t="s">
        <v>74</v>
      </c>
      <c r="BE895" t="s">
        <v>16711</v>
      </c>
      <c r="BF895" t="str">
        <f>HYPERLINK("http://dx.doi.org/10.1109/TCSS.2023.3265701","http://dx.doi.org/10.1109/TCSS.2023.3265701")</f>
        <v>http://dx.doi.org/10.1109/TCSS.2023.3265701</v>
      </c>
      <c r="BG895" t="s">
        <v>74</v>
      </c>
      <c r="BH895" t="s">
        <v>355</v>
      </c>
      <c r="BI895">
        <v>16</v>
      </c>
      <c r="BJ895" t="s">
        <v>16712</v>
      </c>
      <c r="BK895" t="s">
        <v>98</v>
      </c>
      <c r="BL895" t="s">
        <v>99</v>
      </c>
      <c r="BM895" t="s">
        <v>16713</v>
      </c>
      <c r="BN895" t="s">
        <v>74</v>
      </c>
      <c r="BO895" t="s">
        <v>74</v>
      </c>
      <c r="BP895" t="s">
        <v>74</v>
      </c>
      <c r="BQ895" t="s">
        <v>74</v>
      </c>
      <c r="BR895" t="s">
        <v>102</v>
      </c>
      <c r="BS895" t="s">
        <v>16714</v>
      </c>
      <c r="BT895" t="str">
        <f>HYPERLINK("https%3A%2F%2Fwww.webofscience.com%2Fwos%2Fwoscc%2Ffull-record%2FWOS:000976093200001","View Full Record in Web of Science")</f>
        <v>View Full Record in Web of Science</v>
      </c>
    </row>
    <row r="896" spans="1:72" x14ac:dyDescent="0.2">
      <c r="A896" t="s">
        <v>72</v>
      </c>
      <c r="B896" t="s">
        <v>16715</v>
      </c>
      <c r="C896" t="s">
        <v>74</v>
      </c>
      <c r="D896" t="s">
        <v>74</v>
      </c>
      <c r="E896" t="s">
        <v>74</v>
      </c>
      <c r="F896" t="s">
        <v>16716</v>
      </c>
      <c r="G896" t="s">
        <v>74</v>
      </c>
      <c r="H896" t="s">
        <v>74</v>
      </c>
      <c r="I896" t="s">
        <v>16717</v>
      </c>
      <c r="J896" t="s">
        <v>131</v>
      </c>
      <c r="K896" t="s">
        <v>74</v>
      </c>
      <c r="L896" t="s">
        <v>74</v>
      </c>
      <c r="M896" t="s">
        <v>78</v>
      </c>
      <c r="N896" t="s">
        <v>108</v>
      </c>
      <c r="O896" t="s">
        <v>74</v>
      </c>
      <c r="P896" t="s">
        <v>74</v>
      </c>
      <c r="Q896" t="s">
        <v>74</v>
      </c>
      <c r="R896" t="s">
        <v>74</v>
      </c>
      <c r="S896" t="s">
        <v>74</v>
      </c>
      <c r="T896" t="s">
        <v>16718</v>
      </c>
      <c r="U896" t="s">
        <v>16719</v>
      </c>
      <c r="V896" t="s">
        <v>16720</v>
      </c>
      <c r="W896" t="s">
        <v>16721</v>
      </c>
      <c r="X896" t="s">
        <v>16722</v>
      </c>
      <c r="Y896" t="s">
        <v>16723</v>
      </c>
      <c r="Z896" t="s">
        <v>16724</v>
      </c>
      <c r="AA896" t="s">
        <v>74</v>
      </c>
      <c r="AB896" t="s">
        <v>74</v>
      </c>
      <c r="AC896" t="s">
        <v>16725</v>
      </c>
      <c r="AD896" t="s">
        <v>16725</v>
      </c>
      <c r="AE896" t="s">
        <v>16726</v>
      </c>
      <c r="AF896" t="s">
        <v>74</v>
      </c>
      <c r="AG896">
        <v>164</v>
      </c>
      <c r="AH896">
        <v>12</v>
      </c>
      <c r="AI896">
        <v>12</v>
      </c>
      <c r="AJ896">
        <v>2</v>
      </c>
      <c r="AK896">
        <v>10</v>
      </c>
      <c r="AL896" t="s">
        <v>116</v>
      </c>
      <c r="AM896" t="s">
        <v>117</v>
      </c>
      <c r="AN896" t="s">
        <v>118</v>
      </c>
      <c r="AO896" t="s">
        <v>74</v>
      </c>
      <c r="AP896" t="s">
        <v>142</v>
      </c>
      <c r="AQ896" t="s">
        <v>74</v>
      </c>
      <c r="AR896" t="s">
        <v>143</v>
      </c>
      <c r="AS896" t="s">
        <v>144</v>
      </c>
      <c r="AT896" t="s">
        <v>194</v>
      </c>
      <c r="AU896">
        <v>2020</v>
      </c>
      <c r="AV896">
        <v>12</v>
      </c>
      <c r="AW896">
        <v>22</v>
      </c>
      <c r="AX896" t="s">
        <v>74</v>
      </c>
      <c r="AY896" t="s">
        <v>74</v>
      </c>
      <c r="AZ896" t="s">
        <v>74</v>
      </c>
      <c r="BA896" t="s">
        <v>74</v>
      </c>
      <c r="BB896" t="s">
        <v>74</v>
      </c>
      <c r="BC896" t="s">
        <v>74</v>
      </c>
      <c r="BD896">
        <v>9555</v>
      </c>
      <c r="BE896" t="s">
        <v>16727</v>
      </c>
      <c r="BF896" t="str">
        <f>HYPERLINK("http://dx.doi.org/10.3390/su12229555","http://dx.doi.org/10.3390/su12229555")</f>
        <v>http://dx.doi.org/10.3390/su12229555</v>
      </c>
      <c r="BG896" t="s">
        <v>74</v>
      </c>
      <c r="BH896" t="s">
        <v>74</v>
      </c>
      <c r="BI896">
        <v>30</v>
      </c>
      <c r="BJ896" t="s">
        <v>146</v>
      </c>
      <c r="BK896" t="s">
        <v>147</v>
      </c>
      <c r="BL896" t="s">
        <v>148</v>
      </c>
      <c r="BM896" t="s">
        <v>16728</v>
      </c>
      <c r="BN896" t="s">
        <v>74</v>
      </c>
      <c r="BO896" t="s">
        <v>150</v>
      </c>
      <c r="BP896" t="s">
        <v>74</v>
      </c>
      <c r="BQ896" t="s">
        <v>74</v>
      </c>
      <c r="BR896" t="s">
        <v>102</v>
      </c>
      <c r="BS896" t="s">
        <v>16729</v>
      </c>
      <c r="BT896" t="str">
        <f>HYPERLINK("https%3A%2F%2Fwww.webofscience.com%2Fwos%2Fwoscc%2Ffull-record%2FWOS:000594544500001","View Full Record in Web of Science")</f>
        <v>View Full Record in Web of Science</v>
      </c>
    </row>
    <row r="897" spans="1:72" x14ac:dyDescent="0.2">
      <c r="A897" t="s">
        <v>72</v>
      </c>
      <c r="B897" t="s">
        <v>16730</v>
      </c>
      <c r="C897" t="s">
        <v>74</v>
      </c>
      <c r="D897" t="s">
        <v>74</v>
      </c>
      <c r="E897" t="s">
        <v>74</v>
      </c>
      <c r="F897" t="s">
        <v>16731</v>
      </c>
      <c r="G897" t="s">
        <v>74</v>
      </c>
      <c r="H897" t="s">
        <v>74</v>
      </c>
      <c r="I897" t="s">
        <v>16732</v>
      </c>
      <c r="J897" t="s">
        <v>4480</v>
      </c>
      <c r="K897" t="s">
        <v>74</v>
      </c>
      <c r="L897" t="s">
        <v>74</v>
      </c>
      <c r="M897" t="s">
        <v>78</v>
      </c>
      <c r="N897" t="s">
        <v>79</v>
      </c>
      <c r="O897" t="s">
        <v>74</v>
      </c>
      <c r="P897" t="s">
        <v>74</v>
      </c>
      <c r="Q897" t="s">
        <v>74</v>
      </c>
      <c r="R897" t="s">
        <v>74</v>
      </c>
      <c r="S897" t="s">
        <v>74</v>
      </c>
      <c r="T897" t="s">
        <v>16733</v>
      </c>
      <c r="U897" t="s">
        <v>16734</v>
      </c>
      <c r="V897" t="s">
        <v>16735</v>
      </c>
      <c r="W897" t="s">
        <v>16736</v>
      </c>
      <c r="X897" t="s">
        <v>16737</v>
      </c>
      <c r="Y897" t="s">
        <v>16738</v>
      </c>
      <c r="Z897" t="s">
        <v>16739</v>
      </c>
      <c r="AA897" t="s">
        <v>16740</v>
      </c>
      <c r="AB897" t="s">
        <v>16741</v>
      </c>
      <c r="AC897" t="s">
        <v>16742</v>
      </c>
      <c r="AD897" t="s">
        <v>16743</v>
      </c>
      <c r="AE897" t="s">
        <v>16744</v>
      </c>
      <c r="AF897" t="s">
        <v>74</v>
      </c>
      <c r="AG897">
        <v>104</v>
      </c>
      <c r="AH897">
        <v>0</v>
      </c>
      <c r="AI897">
        <v>0</v>
      </c>
      <c r="AJ897">
        <v>7</v>
      </c>
      <c r="AK897">
        <v>7</v>
      </c>
      <c r="AL897" t="s">
        <v>4005</v>
      </c>
      <c r="AM897" t="s">
        <v>4006</v>
      </c>
      <c r="AN897" t="s">
        <v>4007</v>
      </c>
      <c r="AO897" t="s">
        <v>4487</v>
      </c>
      <c r="AP897" t="s">
        <v>4488</v>
      </c>
      <c r="AQ897" t="s">
        <v>74</v>
      </c>
      <c r="AR897" t="s">
        <v>4489</v>
      </c>
      <c r="AS897" t="s">
        <v>4490</v>
      </c>
      <c r="AT897" t="s">
        <v>121</v>
      </c>
      <c r="AU897">
        <v>2023</v>
      </c>
      <c r="AV897">
        <v>30</v>
      </c>
      <c r="AW897">
        <v>33</v>
      </c>
      <c r="AX897" t="s">
        <v>74</v>
      </c>
      <c r="AY897" t="s">
        <v>74</v>
      </c>
      <c r="AZ897" t="s">
        <v>74</v>
      </c>
      <c r="BA897" t="s">
        <v>74</v>
      </c>
      <c r="BB897">
        <v>79553</v>
      </c>
      <c r="BC897">
        <v>79570</v>
      </c>
      <c r="BD897" t="s">
        <v>74</v>
      </c>
      <c r="BE897" t="s">
        <v>16745</v>
      </c>
      <c r="BF897" t="str">
        <f>HYPERLINK("http://dx.doi.org/10.1007/s11356-023-28048-0","http://dx.doi.org/10.1007/s11356-023-28048-0")</f>
        <v>http://dx.doi.org/10.1007/s11356-023-28048-0</v>
      </c>
      <c r="BG897" t="s">
        <v>74</v>
      </c>
      <c r="BH897" t="s">
        <v>396</v>
      </c>
      <c r="BI897">
        <v>18</v>
      </c>
      <c r="BJ897" t="s">
        <v>674</v>
      </c>
      <c r="BK897" t="s">
        <v>98</v>
      </c>
      <c r="BL897" t="s">
        <v>675</v>
      </c>
      <c r="BM897" t="s">
        <v>16746</v>
      </c>
      <c r="BN897">
        <v>37316628</v>
      </c>
      <c r="BO897" t="s">
        <v>74</v>
      </c>
      <c r="BP897" t="s">
        <v>74</v>
      </c>
      <c r="BQ897" t="s">
        <v>74</v>
      </c>
      <c r="BR897" t="s">
        <v>102</v>
      </c>
      <c r="BS897" t="s">
        <v>16747</v>
      </c>
      <c r="BT897" t="str">
        <f>HYPERLINK("https%3A%2F%2Fwww.webofscience.com%2Fwos%2Fwoscc%2Ffull-record%2FWOS:001010486800007","View Full Record in Web of Science")</f>
        <v>View Full Record in Web of Science</v>
      </c>
    </row>
    <row r="898" spans="1:72" x14ac:dyDescent="0.2">
      <c r="A898" t="s">
        <v>72</v>
      </c>
      <c r="B898" t="s">
        <v>16748</v>
      </c>
      <c r="C898" t="s">
        <v>74</v>
      </c>
      <c r="D898" t="s">
        <v>74</v>
      </c>
      <c r="E898" t="s">
        <v>74</v>
      </c>
      <c r="F898" t="s">
        <v>16749</v>
      </c>
      <c r="G898" t="s">
        <v>74</v>
      </c>
      <c r="H898" t="s">
        <v>74</v>
      </c>
      <c r="I898" t="s">
        <v>16750</v>
      </c>
      <c r="J898" t="s">
        <v>155</v>
      </c>
      <c r="K898" t="s">
        <v>74</v>
      </c>
      <c r="L898" t="s">
        <v>74</v>
      </c>
      <c r="M898" t="s">
        <v>78</v>
      </c>
      <c r="N898" t="s">
        <v>108</v>
      </c>
      <c r="O898" t="s">
        <v>74</v>
      </c>
      <c r="P898" t="s">
        <v>74</v>
      </c>
      <c r="Q898" t="s">
        <v>74</v>
      </c>
      <c r="R898" t="s">
        <v>74</v>
      </c>
      <c r="S898" t="s">
        <v>74</v>
      </c>
      <c r="T898" t="s">
        <v>16751</v>
      </c>
      <c r="U898" t="s">
        <v>16752</v>
      </c>
      <c r="V898" t="s">
        <v>16753</v>
      </c>
      <c r="W898" t="s">
        <v>16754</v>
      </c>
      <c r="X898" t="s">
        <v>16755</v>
      </c>
      <c r="Y898" t="s">
        <v>16756</v>
      </c>
      <c r="Z898" t="s">
        <v>16757</v>
      </c>
      <c r="AA898" t="s">
        <v>74</v>
      </c>
      <c r="AB898" t="s">
        <v>16758</v>
      </c>
      <c r="AC898" t="s">
        <v>74</v>
      </c>
      <c r="AD898" t="s">
        <v>74</v>
      </c>
      <c r="AE898" t="s">
        <v>74</v>
      </c>
      <c r="AF898" t="s">
        <v>74</v>
      </c>
      <c r="AG898">
        <v>78</v>
      </c>
      <c r="AH898">
        <v>7</v>
      </c>
      <c r="AI898">
        <v>7</v>
      </c>
      <c r="AJ898">
        <v>10</v>
      </c>
      <c r="AK898">
        <v>34</v>
      </c>
      <c r="AL898" t="s">
        <v>167</v>
      </c>
      <c r="AM898" t="s">
        <v>168</v>
      </c>
      <c r="AN898" t="s">
        <v>169</v>
      </c>
      <c r="AO898" t="s">
        <v>170</v>
      </c>
      <c r="AP898" t="s">
        <v>171</v>
      </c>
      <c r="AQ898" t="s">
        <v>74</v>
      </c>
      <c r="AR898" t="s">
        <v>172</v>
      </c>
      <c r="AS898" t="s">
        <v>173</v>
      </c>
      <c r="AT898" t="s">
        <v>800</v>
      </c>
      <c r="AU898">
        <v>2023</v>
      </c>
      <c r="AV898">
        <v>70</v>
      </c>
      <c r="AW898">
        <v>4</v>
      </c>
      <c r="AX898" t="s">
        <v>74</v>
      </c>
      <c r="AY898" t="s">
        <v>74</v>
      </c>
      <c r="AZ898" t="s">
        <v>74</v>
      </c>
      <c r="BA898" t="s">
        <v>74</v>
      </c>
      <c r="BB898">
        <v>1353</v>
      </c>
      <c r="BC898">
        <v>1364</v>
      </c>
      <c r="BD898" t="s">
        <v>74</v>
      </c>
      <c r="BE898" t="s">
        <v>16759</v>
      </c>
      <c r="BF898" t="str">
        <f>HYPERLINK("http://dx.doi.org/10.1109/TEM.2021.3070069","http://dx.doi.org/10.1109/TEM.2021.3070069")</f>
        <v>http://dx.doi.org/10.1109/TEM.2021.3070069</v>
      </c>
      <c r="BG898" t="s">
        <v>74</v>
      </c>
      <c r="BH898" t="s">
        <v>1552</v>
      </c>
      <c r="BI898">
        <v>12</v>
      </c>
      <c r="BJ898" t="s">
        <v>176</v>
      </c>
      <c r="BK898" t="s">
        <v>147</v>
      </c>
      <c r="BL898" t="s">
        <v>177</v>
      </c>
      <c r="BM898" t="s">
        <v>16760</v>
      </c>
      <c r="BN898" t="s">
        <v>74</v>
      </c>
      <c r="BO898" t="s">
        <v>594</v>
      </c>
      <c r="BP898" t="s">
        <v>74</v>
      </c>
      <c r="BQ898" t="s">
        <v>74</v>
      </c>
      <c r="BR898" t="s">
        <v>102</v>
      </c>
      <c r="BS898" t="s">
        <v>16761</v>
      </c>
      <c r="BT898" t="str">
        <f>HYPERLINK("https%3A%2F%2Fwww.webofscience.com%2Fwos%2Fwoscc%2Ffull-record%2FWOS:000732662400001","View Full Record in Web of Science")</f>
        <v>View Full Record in Web of Science</v>
      </c>
    </row>
    <row r="899" spans="1:72" x14ac:dyDescent="0.2">
      <c r="A899" t="s">
        <v>72</v>
      </c>
      <c r="B899" t="s">
        <v>16762</v>
      </c>
      <c r="C899" t="s">
        <v>74</v>
      </c>
      <c r="D899" t="s">
        <v>74</v>
      </c>
      <c r="E899" t="s">
        <v>74</v>
      </c>
      <c r="F899" t="s">
        <v>16763</v>
      </c>
      <c r="G899" t="s">
        <v>74</v>
      </c>
      <c r="H899" t="s">
        <v>74</v>
      </c>
      <c r="I899" t="s">
        <v>16764</v>
      </c>
      <c r="J899" t="s">
        <v>16765</v>
      </c>
      <c r="K899" t="s">
        <v>74</v>
      </c>
      <c r="L899" t="s">
        <v>74</v>
      </c>
      <c r="M899" t="s">
        <v>78</v>
      </c>
      <c r="N899" t="s">
        <v>108</v>
      </c>
      <c r="O899" t="s">
        <v>74</v>
      </c>
      <c r="P899" t="s">
        <v>74</v>
      </c>
      <c r="Q899" t="s">
        <v>74</v>
      </c>
      <c r="R899" t="s">
        <v>74</v>
      </c>
      <c r="S899" t="s">
        <v>74</v>
      </c>
      <c r="T899" t="s">
        <v>16766</v>
      </c>
      <c r="U899" t="s">
        <v>16767</v>
      </c>
      <c r="V899" t="s">
        <v>16768</v>
      </c>
      <c r="W899" t="s">
        <v>16769</v>
      </c>
      <c r="X899" t="s">
        <v>16770</v>
      </c>
      <c r="Y899" t="s">
        <v>16771</v>
      </c>
      <c r="Z899" t="s">
        <v>16772</v>
      </c>
      <c r="AA899" t="s">
        <v>16773</v>
      </c>
      <c r="AB899" t="s">
        <v>16774</v>
      </c>
      <c r="AC899" t="s">
        <v>16775</v>
      </c>
      <c r="AD899" t="s">
        <v>16776</v>
      </c>
      <c r="AE899" t="s">
        <v>16777</v>
      </c>
      <c r="AF899" t="s">
        <v>74</v>
      </c>
      <c r="AG899">
        <v>86</v>
      </c>
      <c r="AH899">
        <v>6</v>
      </c>
      <c r="AI899">
        <v>6</v>
      </c>
      <c r="AJ899">
        <v>3</v>
      </c>
      <c r="AK899">
        <v>11</v>
      </c>
      <c r="AL899" t="s">
        <v>209</v>
      </c>
      <c r="AM899" t="s">
        <v>210</v>
      </c>
      <c r="AN899" t="s">
        <v>211</v>
      </c>
      <c r="AO899" t="s">
        <v>16778</v>
      </c>
      <c r="AP899" t="s">
        <v>16779</v>
      </c>
      <c r="AQ899" t="s">
        <v>74</v>
      </c>
      <c r="AR899" t="s">
        <v>16780</v>
      </c>
      <c r="AS899" t="s">
        <v>16781</v>
      </c>
      <c r="AT899" t="s">
        <v>616</v>
      </c>
      <c r="AU899">
        <v>2022</v>
      </c>
      <c r="AV899">
        <v>10</v>
      </c>
      <c r="AW899">
        <v>1</v>
      </c>
      <c r="AX899" t="s">
        <v>74</v>
      </c>
      <c r="AY899" t="s">
        <v>74</v>
      </c>
      <c r="AZ899" t="s">
        <v>74</v>
      </c>
      <c r="BA899" t="s">
        <v>74</v>
      </c>
      <c r="BB899">
        <v>674</v>
      </c>
      <c r="BC899">
        <v>685</v>
      </c>
      <c r="BD899" t="s">
        <v>74</v>
      </c>
      <c r="BE899" t="s">
        <v>16782</v>
      </c>
      <c r="BF899" t="str">
        <f>HYPERLINK("http://dx.doi.org/10.1016/j.cstp.2022.01.029","http://dx.doi.org/10.1016/j.cstp.2022.01.029")</f>
        <v>http://dx.doi.org/10.1016/j.cstp.2022.01.029</v>
      </c>
      <c r="BG899" t="s">
        <v>74</v>
      </c>
      <c r="BH899" t="s">
        <v>329</v>
      </c>
      <c r="BI899">
        <v>12</v>
      </c>
      <c r="BJ899" t="s">
        <v>219</v>
      </c>
      <c r="BK899" t="s">
        <v>124</v>
      </c>
      <c r="BL899" t="s">
        <v>219</v>
      </c>
      <c r="BM899" t="s">
        <v>16783</v>
      </c>
      <c r="BN899" t="s">
        <v>74</v>
      </c>
      <c r="BO899" t="s">
        <v>74</v>
      </c>
      <c r="BP899" t="s">
        <v>74</v>
      </c>
      <c r="BQ899" t="s">
        <v>74</v>
      </c>
      <c r="BR899" t="s">
        <v>102</v>
      </c>
      <c r="BS899" t="s">
        <v>16784</v>
      </c>
      <c r="BT899" t="str">
        <f>HYPERLINK("https%3A%2F%2Fwww.webofscience.com%2Fwos%2Fwoscc%2Ffull-record%2FWOS:000784303300006","View Full Record in Web of Science")</f>
        <v>View Full Record in Web of Science</v>
      </c>
    </row>
    <row r="900" spans="1:72" x14ac:dyDescent="0.2">
      <c r="A900" t="s">
        <v>72</v>
      </c>
      <c r="B900" t="s">
        <v>16785</v>
      </c>
      <c r="C900" t="s">
        <v>74</v>
      </c>
      <c r="D900" t="s">
        <v>74</v>
      </c>
      <c r="E900" t="s">
        <v>74</v>
      </c>
      <c r="F900" t="s">
        <v>16786</v>
      </c>
      <c r="G900" t="s">
        <v>74</v>
      </c>
      <c r="H900" t="s">
        <v>74</v>
      </c>
      <c r="I900" t="s">
        <v>16787</v>
      </c>
      <c r="J900" t="s">
        <v>873</v>
      </c>
      <c r="K900" t="s">
        <v>74</v>
      </c>
      <c r="L900" t="s">
        <v>74</v>
      </c>
      <c r="M900" t="s">
        <v>78</v>
      </c>
      <c r="N900" t="s">
        <v>108</v>
      </c>
      <c r="O900" t="s">
        <v>74</v>
      </c>
      <c r="P900" t="s">
        <v>74</v>
      </c>
      <c r="Q900" t="s">
        <v>74</v>
      </c>
      <c r="R900" t="s">
        <v>74</v>
      </c>
      <c r="S900" t="s">
        <v>74</v>
      </c>
      <c r="T900" t="s">
        <v>16788</v>
      </c>
      <c r="U900" t="s">
        <v>16789</v>
      </c>
      <c r="V900" t="s">
        <v>16790</v>
      </c>
      <c r="W900" t="s">
        <v>16791</v>
      </c>
      <c r="X900" t="s">
        <v>16792</v>
      </c>
      <c r="Y900" t="s">
        <v>16793</v>
      </c>
      <c r="Z900" t="s">
        <v>74</v>
      </c>
      <c r="AA900" t="s">
        <v>16794</v>
      </c>
      <c r="AB900" t="s">
        <v>16795</v>
      </c>
      <c r="AC900" t="s">
        <v>74</v>
      </c>
      <c r="AD900" t="s">
        <v>74</v>
      </c>
      <c r="AE900" t="s">
        <v>74</v>
      </c>
      <c r="AF900" t="s">
        <v>74</v>
      </c>
      <c r="AG900">
        <v>18</v>
      </c>
      <c r="AH900">
        <v>3</v>
      </c>
      <c r="AI900">
        <v>3</v>
      </c>
      <c r="AJ900">
        <v>2</v>
      </c>
      <c r="AK900">
        <v>24</v>
      </c>
      <c r="AL900" t="s">
        <v>209</v>
      </c>
      <c r="AM900" t="s">
        <v>210</v>
      </c>
      <c r="AN900" t="s">
        <v>211</v>
      </c>
      <c r="AO900" t="s">
        <v>883</v>
      </c>
      <c r="AP900" t="s">
        <v>884</v>
      </c>
      <c r="AQ900" t="s">
        <v>74</v>
      </c>
      <c r="AR900" t="s">
        <v>885</v>
      </c>
      <c r="AS900" t="s">
        <v>886</v>
      </c>
      <c r="AT900" t="s">
        <v>416</v>
      </c>
      <c r="AU900">
        <v>2015</v>
      </c>
      <c r="AV900">
        <v>164</v>
      </c>
      <c r="AW900" t="s">
        <v>74</v>
      </c>
      <c r="AX900" t="s">
        <v>74</v>
      </c>
      <c r="AY900" t="s">
        <v>74</v>
      </c>
      <c r="AZ900" t="s">
        <v>74</v>
      </c>
      <c r="BA900" t="s">
        <v>74</v>
      </c>
      <c r="BB900">
        <v>35</v>
      </c>
      <c r="BC900">
        <v>42</v>
      </c>
      <c r="BD900" t="s">
        <v>74</v>
      </c>
      <c r="BE900" t="s">
        <v>16796</v>
      </c>
      <c r="BF900" t="str">
        <f>HYPERLINK("http://dx.doi.org/10.1016/j.ijpe.2015.03.002","http://dx.doi.org/10.1016/j.ijpe.2015.03.002")</f>
        <v>http://dx.doi.org/10.1016/j.ijpe.2015.03.002</v>
      </c>
      <c r="BG900" t="s">
        <v>74</v>
      </c>
      <c r="BH900" t="s">
        <v>74</v>
      </c>
      <c r="BI900">
        <v>8</v>
      </c>
      <c r="BJ900" t="s">
        <v>780</v>
      </c>
      <c r="BK900" t="s">
        <v>98</v>
      </c>
      <c r="BL900" t="s">
        <v>781</v>
      </c>
      <c r="BM900" t="s">
        <v>16797</v>
      </c>
      <c r="BN900" t="s">
        <v>74</v>
      </c>
      <c r="BO900" t="s">
        <v>74</v>
      </c>
      <c r="BP900" t="s">
        <v>74</v>
      </c>
      <c r="BQ900" t="s">
        <v>74</v>
      </c>
      <c r="BR900" t="s">
        <v>102</v>
      </c>
      <c r="BS900" t="s">
        <v>16798</v>
      </c>
      <c r="BT900" t="str">
        <f>HYPERLINK("https%3A%2F%2Fwww.webofscience.com%2Fwos%2Fwoscc%2Ffull-record%2FWOS:000354141600004","View Full Record in Web of Science")</f>
        <v>View Full Record in Web of Science</v>
      </c>
    </row>
    <row r="901" spans="1:72" x14ac:dyDescent="0.2">
      <c r="A901" t="s">
        <v>72</v>
      </c>
      <c r="B901" t="s">
        <v>16799</v>
      </c>
      <c r="C901" t="s">
        <v>74</v>
      </c>
      <c r="D901" t="s">
        <v>74</v>
      </c>
      <c r="E901" t="s">
        <v>74</v>
      </c>
      <c r="F901" t="s">
        <v>16800</v>
      </c>
      <c r="G901" t="s">
        <v>74</v>
      </c>
      <c r="H901" t="s">
        <v>74</v>
      </c>
      <c r="I901" t="s">
        <v>16801</v>
      </c>
      <c r="J901" t="s">
        <v>4693</v>
      </c>
      <c r="K901" t="s">
        <v>74</v>
      </c>
      <c r="L901" t="s">
        <v>74</v>
      </c>
      <c r="M901" t="s">
        <v>78</v>
      </c>
      <c r="N901" t="s">
        <v>108</v>
      </c>
      <c r="O901" t="s">
        <v>74</v>
      </c>
      <c r="P901" t="s">
        <v>74</v>
      </c>
      <c r="Q901" t="s">
        <v>74</v>
      </c>
      <c r="R901" t="s">
        <v>74</v>
      </c>
      <c r="S901" t="s">
        <v>74</v>
      </c>
      <c r="T901" t="s">
        <v>16802</v>
      </c>
      <c r="U901" t="s">
        <v>16803</v>
      </c>
      <c r="V901" t="s">
        <v>16804</v>
      </c>
      <c r="W901" t="s">
        <v>16805</v>
      </c>
      <c r="X901" t="s">
        <v>16806</v>
      </c>
      <c r="Y901" t="s">
        <v>16807</v>
      </c>
      <c r="Z901" t="s">
        <v>16808</v>
      </c>
      <c r="AA901" t="s">
        <v>16809</v>
      </c>
      <c r="AB901" t="s">
        <v>74</v>
      </c>
      <c r="AC901" t="s">
        <v>74</v>
      </c>
      <c r="AD901" t="s">
        <v>74</v>
      </c>
      <c r="AE901" t="s">
        <v>74</v>
      </c>
      <c r="AF901" t="s">
        <v>74</v>
      </c>
      <c r="AG901">
        <v>43</v>
      </c>
      <c r="AH901">
        <v>52</v>
      </c>
      <c r="AI901">
        <v>52</v>
      </c>
      <c r="AJ901">
        <v>0</v>
      </c>
      <c r="AK901">
        <v>44</v>
      </c>
      <c r="AL901" t="s">
        <v>259</v>
      </c>
      <c r="AM901" t="s">
        <v>260</v>
      </c>
      <c r="AN901" t="s">
        <v>261</v>
      </c>
      <c r="AO901" t="s">
        <v>4705</v>
      </c>
      <c r="AP901" t="s">
        <v>4706</v>
      </c>
      <c r="AQ901" t="s">
        <v>74</v>
      </c>
      <c r="AR901" t="s">
        <v>4707</v>
      </c>
      <c r="AS901" t="s">
        <v>4708</v>
      </c>
      <c r="AT901" t="s">
        <v>800</v>
      </c>
      <c r="AU901">
        <v>2007</v>
      </c>
      <c r="AV901">
        <v>79</v>
      </c>
      <c r="AW901">
        <v>4</v>
      </c>
      <c r="AX901" t="s">
        <v>74</v>
      </c>
      <c r="AY901" t="s">
        <v>74</v>
      </c>
      <c r="AZ901" t="s">
        <v>74</v>
      </c>
      <c r="BA901" t="s">
        <v>74</v>
      </c>
      <c r="BB901">
        <v>1418</v>
      </c>
      <c r="BC901">
        <v>1425</v>
      </c>
      <c r="BD901" t="s">
        <v>74</v>
      </c>
      <c r="BE901" t="s">
        <v>16810</v>
      </c>
      <c r="BF901" t="str">
        <f>HYPERLINK("http://dx.doi.org/10.1016/j.jfoodeng.2006.04.024","http://dx.doi.org/10.1016/j.jfoodeng.2006.04.024")</f>
        <v>http://dx.doi.org/10.1016/j.jfoodeng.2006.04.024</v>
      </c>
      <c r="BG901" t="s">
        <v>74</v>
      </c>
      <c r="BH901" t="s">
        <v>74</v>
      </c>
      <c r="BI901">
        <v>8</v>
      </c>
      <c r="BJ901" t="s">
        <v>4710</v>
      </c>
      <c r="BK901" t="s">
        <v>147</v>
      </c>
      <c r="BL901" t="s">
        <v>4711</v>
      </c>
      <c r="BM901" t="s">
        <v>16811</v>
      </c>
      <c r="BN901" t="s">
        <v>74</v>
      </c>
      <c r="BO901" t="s">
        <v>74</v>
      </c>
      <c r="BP901" t="s">
        <v>74</v>
      </c>
      <c r="BQ901" t="s">
        <v>74</v>
      </c>
      <c r="BR901" t="s">
        <v>102</v>
      </c>
      <c r="BS901" t="s">
        <v>16812</v>
      </c>
      <c r="BT901" t="str">
        <f>HYPERLINK("https%3A%2F%2Fwww.webofscience.com%2Fwos%2Fwoscc%2Ffull-record%2FWOS:000242649300041","View Full Record in Web of Science")</f>
        <v>View Full Record in Web of Science</v>
      </c>
    </row>
    <row r="902" spans="1:72" x14ac:dyDescent="0.2">
      <c r="A902" t="s">
        <v>72</v>
      </c>
      <c r="B902" t="s">
        <v>16813</v>
      </c>
      <c r="C902" t="s">
        <v>74</v>
      </c>
      <c r="D902" t="s">
        <v>74</v>
      </c>
      <c r="E902" t="s">
        <v>74</v>
      </c>
      <c r="F902" t="s">
        <v>16814</v>
      </c>
      <c r="G902" t="s">
        <v>74</v>
      </c>
      <c r="H902" t="s">
        <v>74</v>
      </c>
      <c r="I902" t="s">
        <v>16815</v>
      </c>
      <c r="J902" t="s">
        <v>16816</v>
      </c>
      <c r="K902" t="s">
        <v>74</v>
      </c>
      <c r="L902" t="s">
        <v>74</v>
      </c>
      <c r="M902" t="s">
        <v>78</v>
      </c>
      <c r="N902" t="s">
        <v>108</v>
      </c>
      <c r="O902" t="s">
        <v>74</v>
      </c>
      <c r="P902" t="s">
        <v>74</v>
      </c>
      <c r="Q902" t="s">
        <v>74</v>
      </c>
      <c r="R902" t="s">
        <v>74</v>
      </c>
      <c r="S902" t="s">
        <v>74</v>
      </c>
      <c r="T902" t="s">
        <v>16817</v>
      </c>
      <c r="U902" t="s">
        <v>16818</v>
      </c>
      <c r="V902" t="s">
        <v>16819</v>
      </c>
      <c r="W902" t="s">
        <v>16820</v>
      </c>
      <c r="X902" t="s">
        <v>16821</v>
      </c>
      <c r="Y902" t="s">
        <v>16822</v>
      </c>
      <c r="Z902" t="s">
        <v>16823</v>
      </c>
      <c r="AA902" t="s">
        <v>16824</v>
      </c>
      <c r="AB902" t="s">
        <v>16825</v>
      </c>
      <c r="AC902" t="s">
        <v>16826</v>
      </c>
      <c r="AD902" t="s">
        <v>16827</v>
      </c>
      <c r="AE902" t="s">
        <v>16828</v>
      </c>
      <c r="AF902" t="s">
        <v>74</v>
      </c>
      <c r="AG902">
        <v>43</v>
      </c>
      <c r="AH902">
        <v>1</v>
      </c>
      <c r="AI902">
        <v>1</v>
      </c>
      <c r="AJ902">
        <v>2</v>
      </c>
      <c r="AK902">
        <v>3</v>
      </c>
      <c r="AL902" t="s">
        <v>666</v>
      </c>
      <c r="AM902" t="s">
        <v>667</v>
      </c>
      <c r="AN902" t="s">
        <v>668</v>
      </c>
      <c r="AO902" t="s">
        <v>74</v>
      </c>
      <c r="AP902" t="s">
        <v>16829</v>
      </c>
      <c r="AQ902" t="s">
        <v>74</v>
      </c>
      <c r="AR902" t="s">
        <v>16830</v>
      </c>
      <c r="AS902" t="s">
        <v>16831</v>
      </c>
      <c r="AT902" t="s">
        <v>16832</v>
      </c>
      <c r="AU902">
        <v>2022</v>
      </c>
      <c r="AV902">
        <v>9</v>
      </c>
      <c r="AW902" t="s">
        <v>74</v>
      </c>
      <c r="AX902" t="s">
        <v>74</v>
      </c>
      <c r="AY902" t="s">
        <v>74</v>
      </c>
      <c r="AZ902" t="s">
        <v>74</v>
      </c>
      <c r="BA902" t="s">
        <v>74</v>
      </c>
      <c r="BB902" t="s">
        <v>74</v>
      </c>
      <c r="BC902" t="s">
        <v>74</v>
      </c>
      <c r="BD902">
        <v>953064</v>
      </c>
      <c r="BE902" t="s">
        <v>16833</v>
      </c>
      <c r="BF902" t="str">
        <f>HYPERLINK("http://dx.doi.org/10.3389/fmolb.2022.953064","http://dx.doi.org/10.3389/fmolb.2022.953064")</f>
        <v>http://dx.doi.org/10.3389/fmolb.2022.953064</v>
      </c>
      <c r="BG902" t="s">
        <v>74</v>
      </c>
      <c r="BH902" t="s">
        <v>74</v>
      </c>
      <c r="BI902">
        <v>14</v>
      </c>
      <c r="BJ902" t="s">
        <v>16834</v>
      </c>
      <c r="BK902" t="s">
        <v>98</v>
      </c>
      <c r="BL902" t="s">
        <v>16834</v>
      </c>
      <c r="BM902" t="s">
        <v>16835</v>
      </c>
      <c r="BN902">
        <v>36237574</v>
      </c>
      <c r="BO902" t="s">
        <v>12787</v>
      </c>
      <c r="BP902" t="s">
        <v>74</v>
      </c>
      <c r="BQ902" t="s">
        <v>74</v>
      </c>
      <c r="BR902" t="s">
        <v>102</v>
      </c>
      <c r="BS902" t="s">
        <v>16836</v>
      </c>
      <c r="BT902" t="str">
        <f>HYPERLINK("https%3A%2F%2Fwww.webofscience.com%2Fwos%2Fwoscc%2Ffull-record%2FWOS:000892200200001","View Full Record in Web of Science")</f>
        <v>View Full Record in Web of Science</v>
      </c>
    </row>
    <row r="903" spans="1:72" x14ac:dyDescent="0.2">
      <c r="A903" t="s">
        <v>72</v>
      </c>
      <c r="B903" t="s">
        <v>16837</v>
      </c>
      <c r="C903" t="s">
        <v>74</v>
      </c>
      <c r="D903" t="s">
        <v>74</v>
      </c>
      <c r="E903" t="s">
        <v>74</v>
      </c>
      <c r="F903" t="s">
        <v>16838</v>
      </c>
      <c r="G903" t="s">
        <v>74</v>
      </c>
      <c r="H903" t="s">
        <v>74</v>
      </c>
      <c r="I903" t="s">
        <v>16839</v>
      </c>
      <c r="J903" t="s">
        <v>16840</v>
      </c>
      <c r="K903" t="s">
        <v>74</v>
      </c>
      <c r="L903" t="s">
        <v>74</v>
      </c>
      <c r="M903" t="s">
        <v>78</v>
      </c>
      <c r="N903" t="s">
        <v>108</v>
      </c>
      <c r="O903" t="s">
        <v>74</v>
      </c>
      <c r="P903" t="s">
        <v>74</v>
      </c>
      <c r="Q903" t="s">
        <v>74</v>
      </c>
      <c r="R903" t="s">
        <v>74</v>
      </c>
      <c r="S903" t="s">
        <v>74</v>
      </c>
      <c r="T903" t="s">
        <v>16841</v>
      </c>
      <c r="U903" t="s">
        <v>16842</v>
      </c>
      <c r="V903" t="s">
        <v>16843</v>
      </c>
      <c r="W903" t="s">
        <v>16844</v>
      </c>
      <c r="X903" t="s">
        <v>7868</v>
      </c>
      <c r="Y903" t="s">
        <v>16845</v>
      </c>
      <c r="Z903" t="s">
        <v>16846</v>
      </c>
      <c r="AA903" t="s">
        <v>16847</v>
      </c>
      <c r="AB903" t="s">
        <v>16848</v>
      </c>
      <c r="AC903" t="s">
        <v>16849</v>
      </c>
      <c r="AD903" t="s">
        <v>16850</v>
      </c>
      <c r="AE903" t="s">
        <v>16851</v>
      </c>
      <c r="AF903" t="s">
        <v>74</v>
      </c>
      <c r="AG903">
        <v>96</v>
      </c>
      <c r="AH903">
        <v>18</v>
      </c>
      <c r="AI903">
        <v>19</v>
      </c>
      <c r="AJ903">
        <v>2</v>
      </c>
      <c r="AK903">
        <v>50</v>
      </c>
      <c r="AL903" t="s">
        <v>16852</v>
      </c>
      <c r="AM903" t="s">
        <v>16853</v>
      </c>
      <c r="AN903" t="s">
        <v>16854</v>
      </c>
      <c r="AO903" t="s">
        <v>16855</v>
      </c>
      <c r="AP903" t="s">
        <v>74</v>
      </c>
      <c r="AQ903" t="s">
        <v>74</v>
      </c>
      <c r="AR903" t="s">
        <v>16856</v>
      </c>
      <c r="AS903" t="s">
        <v>16857</v>
      </c>
      <c r="AT903" t="s">
        <v>74</v>
      </c>
      <c r="AU903">
        <v>2018</v>
      </c>
      <c r="AV903">
        <v>16</v>
      </c>
      <c r="AW903">
        <v>4</v>
      </c>
      <c r="AX903" t="s">
        <v>74</v>
      </c>
      <c r="AY903" t="s">
        <v>74</v>
      </c>
      <c r="AZ903" t="s">
        <v>74</v>
      </c>
      <c r="BA903" t="s">
        <v>74</v>
      </c>
      <c r="BB903">
        <v>50</v>
      </c>
      <c r="BC903">
        <v>65</v>
      </c>
      <c r="BD903" t="s">
        <v>74</v>
      </c>
      <c r="BE903" t="s">
        <v>16858</v>
      </c>
      <c r="BF903" t="str">
        <f>HYPERLINK("http://dx.doi.org/10.23683/2073-6606-2018-16-4-50-65","http://dx.doi.org/10.23683/2073-6606-2018-16-4-50-65")</f>
        <v>http://dx.doi.org/10.23683/2073-6606-2018-16-4-50-65</v>
      </c>
      <c r="BG903" t="s">
        <v>74</v>
      </c>
      <c r="BH903" t="s">
        <v>74</v>
      </c>
      <c r="BI903">
        <v>16</v>
      </c>
      <c r="BJ903" t="s">
        <v>1661</v>
      </c>
      <c r="BK903" t="s">
        <v>124</v>
      </c>
      <c r="BL903" t="s">
        <v>419</v>
      </c>
      <c r="BM903" t="s">
        <v>16859</v>
      </c>
      <c r="BN903" t="s">
        <v>74</v>
      </c>
      <c r="BO903" t="s">
        <v>74</v>
      </c>
      <c r="BP903" t="s">
        <v>74</v>
      </c>
      <c r="BQ903" t="s">
        <v>74</v>
      </c>
      <c r="BR903" t="s">
        <v>102</v>
      </c>
      <c r="BS903" t="s">
        <v>16860</v>
      </c>
      <c r="BT903" t="str">
        <f>HYPERLINK("https%3A%2F%2Fwww.webofscience.com%2Fwos%2Fwoscc%2Ffull-record%2FWOS:000454272200005","View Full Record in Web of Science")</f>
        <v>View Full Record in Web of Science</v>
      </c>
    </row>
    <row r="904" spans="1:72" x14ac:dyDescent="0.2">
      <c r="A904" t="s">
        <v>72</v>
      </c>
      <c r="B904" t="s">
        <v>16861</v>
      </c>
      <c r="C904" t="s">
        <v>74</v>
      </c>
      <c r="D904" t="s">
        <v>74</v>
      </c>
      <c r="E904" t="s">
        <v>74</v>
      </c>
      <c r="F904" t="s">
        <v>16862</v>
      </c>
      <c r="G904" t="s">
        <v>74</v>
      </c>
      <c r="H904" t="s">
        <v>74</v>
      </c>
      <c r="I904" t="s">
        <v>16863</v>
      </c>
      <c r="J904" t="s">
        <v>131</v>
      </c>
      <c r="K904" t="s">
        <v>74</v>
      </c>
      <c r="L904" t="s">
        <v>74</v>
      </c>
      <c r="M904" t="s">
        <v>78</v>
      </c>
      <c r="N904" t="s">
        <v>79</v>
      </c>
      <c r="O904" t="s">
        <v>74</v>
      </c>
      <c r="P904" t="s">
        <v>74</v>
      </c>
      <c r="Q904" t="s">
        <v>74</v>
      </c>
      <c r="R904" t="s">
        <v>74</v>
      </c>
      <c r="S904" t="s">
        <v>74</v>
      </c>
      <c r="T904" t="s">
        <v>16864</v>
      </c>
      <c r="U904" t="s">
        <v>16865</v>
      </c>
      <c r="V904" t="s">
        <v>16866</v>
      </c>
      <c r="W904" t="s">
        <v>16867</v>
      </c>
      <c r="X904" t="s">
        <v>16868</v>
      </c>
      <c r="Y904" t="s">
        <v>16869</v>
      </c>
      <c r="Z904" t="s">
        <v>16870</v>
      </c>
      <c r="AA904" t="s">
        <v>16871</v>
      </c>
      <c r="AB904" t="s">
        <v>16872</v>
      </c>
      <c r="AC904" t="s">
        <v>16873</v>
      </c>
      <c r="AD904" t="s">
        <v>690</v>
      </c>
      <c r="AE904" t="s">
        <v>16874</v>
      </c>
      <c r="AF904" t="s">
        <v>74</v>
      </c>
      <c r="AG904">
        <v>83</v>
      </c>
      <c r="AH904">
        <v>6</v>
      </c>
      <c r="AI904">
        <v>6</v>
      </c>
      <c r="AJ904">
        <v>23</v>
      </c>
      <c r="AK904">
        <v>77</v>
      </c>
      <c r="AL904" t="s">
        <v>116</v>
      </c>
      <c r="AM904" t="s">
        <v>117</v>
      </c>
      <c r="AN904" t="s">
        <v>118</v>
      </c>
      <c r="AO904" t="s">
        <v>74</v>
      </c>
      <c r="AP904" t="s">
        <v>142</v>
      </c>
      <c r="AQ904" t="s">
        <v>74</v>
      </c>
      <c r="AR904" t="s">
        <v>143</v>
      </c>
      <c r="AS904" t="s">
        <v>144</v>
      </c>
      <c r="AT904" t="s">
        <v>846</v>
      </c>
      <c r="AU904">
        <v>2022</v>
      </c>
      <c r="AV904">
        <v>14</v>
      </c>
      <c r="AW904">
        <v>9</v>
      </c>
      <c r="AX904" t="s">
        <v>74</v>
      </c>
      <c r="AY904" t="s">
        <v>74</v>
      </c>
      <c r="AZ904" t="s">
        <v>74</v>
      </c>
      <c r="BA904" t="s">
        <v>74</v>
      </c>
      <c r="BB904" t="s">
        <v>74</v>
      </c>
      <c r="BC904" t="s">
        <v>74</v>
      </c>
      <c r="BD904">
        <v>5329</v>
      </c>
      <c r="BE904" t="s">
        <v>16875</v>
      </c>
      <c r="BF904" t="str">
        <f>HYPERLINK("http://dx.doi.org/10.3390/su14095329","http://dx.doi.org/10.3390/su14095329")</f>
        <v>http://dx.doi.org/10.3390/su14095329</v>
      </c>
      <c r="BG904" t="s">
        <v>74</v>
      </c>
      <c r="BH904" t="s">
        <v>74</v>
      </c>
      <c r="BI904">
        <v>16</v>
      </c>
      <c r="BJ904" t="s">
        <v>146</v>
      </c>
      <c r="BK904" t="s">
        <v>147</v>
      </c>
      <c r="BL904" t="s">
        <v>148</v>
      </c>
      <c r="BM904" t="s">
        <v>16876</v>
      </c>
      <c r="BN904" t="s">
        <v>74</v>
      </c>
      <c r="BO904" t="s">
        <v>126</v>
      </c>
      <c r="BP904" t="s">
        <v>74</v>
      </c>
      <c r="BQ904" t="s">
        <v>74</v>
      </c>
      <c r="BR904" t="s">
        <v>102</v>
      </c>
      <c r="BS904" t="s">
        <v>16877</v>
      </c>
      <c r="BT904" t="str">
        <f>HYPERLINK("https%3A%2F%2Fwww.webofscience.com%2Fwos%2Fwoscc%2Ffull-record%2FWOS:000794463500001","View Full Record in Web of Science")</f>
        <v>View Full Record in Web of Science</v>
      </c>
    </row>
    <row r="905" spans="1:72" x14ac:dyDescent="0.2">
      <c r="A905" t="s">
        <v>72</v>
      </c>
      <c r="B905" t="s">
        <v>16878</v>
      </c>
      <c r="C905" t="s">
        <v>74</v>
      </c>
      <c r="D905" t="s">
        <v>74</v>
      </c>
      <c r="E905" t="s">
        <v>74</v>
      </c>
      <c r="F905" t="s">
        <v>16879</v>
      </c>
      <c r="G905" t="s">
        <v>74</v>
      </c>
      <c r="H905" t="s">
        <v>74</v>
      </c>
      <c r="I905" t="s">
        <v>16880</v>
      </c>
      <c r="J905" t="s">
        <v>9983</v>
      </c>
      <c r="K905" t="s">
        <v>74</v>
      </c>
      <c r="L905" t="s">
        <v>74</v>
      </c>
      <c r="M905" t="s">
        <v>78</v>
      </c>
      <c r="N905" t="s">
        <v>108</v>
      </c>
      <c r="O905" t="s">
        <v>74</v>
      </c>
      <c r="P905" t="s">
        <v>74</v>
      </c>
      <c r="Q905" t="s">
        <v>74</v>
      </c>
      <c r="R905" t="s">
        <v>74</v>
      </c>
      <c r="S905" t="s">
        <v>74</v>
      </c>
      <c r="T905" t="s">
        <v>74</v>
      </c>
      <c r="U905" t="s">
        <v>16881</v>
      </c>
      <c r="V905" t="s">
        <v>16882</v>
      </c>
      <c r="W905" t="s">
        <v>16883</v>
      </c>
      <c r="X905" t="s">
        <v>16884</v>
      </c>
      <c r="Y905" t="s">
        <v>16885</v>
      </c>
      <c r="Z905" t="s">
        <v>16886</v>
      </c>
      <c r="AA905" t="s">
        <v>16887</v>
      </c>
      <c r="AB905" t="s">
        <v>16888</v>
      </c>
      <c r="AC905" t="s">
        <v>16889</v>
      </c>
      <c r="AD905" t="s">
        <v>16890</v>
      </c>
      <c r="AE905" t="s">
        <v>16891</v>
      </c>
      <c r="AF905" t="s">
        <v>74</v>
      </c>
      <c r="AG905">
        <v>62</v>
      </c>
      <c r="AH905">
        <v>62</v>
      </c>
      <c r="AI905">
        <v>64</v>
      </c>
      <c r="AJ905">
        <v>0</v>
      </c>
      <c r="AK905">
        <v>18</v>
      </c>
      <c r="AL905" t="s">
        <v>16892</v>
      </c>
      <c r="AM905" t="s">
        <v>2364</v>
      </c>
      <c r="AN905" t="s">
        <v>16893</v>
      </c>
      <c r="AO905" t="s">
        <v>9997</v>
      </c>
      <c r="AP905" t="s">
        <v>74</v>
      </c>
      <c r="AQ905" t="s">
        <v>74</v>
      </c>
      <c r="AR905" t="s">
        <v>9998</v>
      </c>
      <c r="AS905" t="s">
        <v>9999</v>
      </c>
      <c r="AT905" t="s">
        <v>16894</v>
      </c>
      <c r="AU905">
        <v>2018</v>
      </c>
      <c r="AV905">
        <v>8</v>
      </c>
      <c r="AW905" t="s">
        <v>74</v>
      </c>
      <c r="AX905" t="s">
        <v>74</v>
      </c>
      <c r="AY905" t="s">
        <v>74</v>
      </c>
      <c r="AZ905" t="s">
        <v>74</v>
      </c>
      <c r="BA905" t="s">
        <v>74</v>
      </c>
      <c r="BB905" t="s">
        <v>74</v>
      </c>
      <c r="BC905" t="s">
        <v>74</v>
      </c>
      <c r="BD905">
        <v>5859</v>
      </c>
      <c r="BE905" t="s">
        <v>16895</v>
      </c>
      <c r="BF905" t="str">
        <f>HYPERLINK("http://dx.doi.org/10.1038/s41598-018-23962-7","http://dx.doi.org/10.1038/s41598-018-23962-7")</f>
        <v>http://dx.doi.org/10.1038/s41598-018-23962-7</v>
      </c>
      <c r="BG905" t="s">
        <v>74</v>
      </c>
      <c r="BH905" t="s">
        <v>74</v>
      </c>
      <c r="BI905">
        <v>14</v>
      </c>
      <c r="BJ905" t="s">
        <v>620</v>
      </c>
      <c r="BK905" t="s">
        <v>98</v>
      </c>
      <c r="BL905" t="s">
        <v>621</v>
      </c>
      <c r="BM905" t="s">
        <v>16896</v>
      </c>
      <c r="BN905">
        <v>29643424</v>
      </c>
      <c r="BO905" t="s">
        <v>101</v>
      </c>
      <c r="BP905" t="s">
        <v>74</v>
      </c>
      <c r="BQ905" t="s">
        <v>74</v>
      </c>
      <c r="BR905" t="s">
        <v>102</v>
      </c>
      <c r="BS905" t="s">
        <v>16897</v>
      </c>
      <c r="BT905" t="str">
        <f>HYPERLINK("https%3A%2F%2Fwww.webofscience.com%2Fwos%2Fwoscc%2Ffull-record%2FWOS:000429684000068","View Full Record in Web of Science")</f>
        <v>View Full Record in Web of Science</v>
      </c>
    </row>
    <row r="906" spans="1:72" x14ac:dyDescent="0.2">
      <c r="A906" t="s">
        <v>72</v>
      </c>
      <c r="B906" t="s">
        <v>16898</v>
      </c>
      <c r="C906" t="s">
        <v>74</v>
      </c>
      <c r="D906" t="s">
        <v>74</v>
      </c>
      <c r="E906" t="s">
        <v>74</v>
      </c>
      <c r="F906" t="s">
        <v>16899</v>
      </c>
      <c r="G906" t="s">
        <v>74</v>
      </c>
      <c r="H906" t="s">
        <v>74</v>
      </c>
      <c r="I906" t="s">
        <v>16900</v>
      </c>
      <c r="J906" t="s">
        <v>16901</v>
      </c>
      <c r="K906" t="s">
        <v>74</v>
      </c>
      <c r="L906" t="s">
        <v>74</v>
      </c>
      <c r="M906" t="s">
        <v>78</v>
      </c>
      <c r="N906" t="s">
        <v>917</v>
      </c>
      <c r="O906" t="s">
        <v>74</v>
      </c>
      <c r="P906" t="s">
        <v>74</v>
      </c>
      <c r="Q906" t="s">
        <v>74</v>
      </c>
      <c r="R906" t="s">
        <v>74</v>
      </c>
      <c r="S906" t="s">
        <v>74</v>
      </c>
      <c r="T906" t="s">
        <v>16902</v>
      </c>
      <c r="U906" t="s">
        <v>16903</v>
      </c>
      <c r="V906" t="s">
        <v>16904</v>
      </c>
      <c r="W906" t="s">
        <v>16905</v>
      </c>
      <c r="X906" t="s">
        <v>16906</v>
      </c>
      <c r="Y906" t="s">
        <v>16907</v>
      </c>
      <c r="Z906" t="s">
        <v>16908</v>
      </c>
      <c r="AA906" t="s">
        <v>16909</v>
      </c>
      <c r="AB906" t="s">
        <v>16910</v>
      </c>
      <c r="AC906" t="s">
        <v>16911</v>
      </c>
      <c r="AD906" t="s">
        <v>16911</v>
      </c>
      <c r="AE906" t="s">
        <v>16912</v>
      </c>
      <c r="AF906" t="s">
        <v>74</v>
      </c>
      <c r="AG906">
        <v>59</v>
      </c>
      <c r="AH906">
        <v>0</v>
      </c>
      <c r="AI906">
        <v>0</v>
      </c>
      <c r="AJ906">
        <v>3</v>
      </c>
      <c r="AK906">
        <v>3</v>
      </c>
      <c r="AL906" t="s">
        <v>321</v>
      </c>
      <c r="AM906" t="s">
        <v>322</v>
      </c>
      <c r="AN906" t="s">
        <v>323</v>
      </c>
      <c r="AO906" t="s">
        <v>16913</v>
      </c>
      <c r="AP906" t="s">
        <v>16914</v>
      </c>
      <c r="AQ906" t="s">
        <v>74</v>
      </c>
      <c r="AR906" t="s">
        <v>16915</v>
      </c>
      <c r="AS906" t="s">
        <v>16916</v>
      </c>
      <c r="AT906" t="s">
        <v>16917</v>
      </c>
      <c r="AU906">
        <v>2023</v>
      </c>
      <c r="AV906" t="s">
        <v>74</v>
      </c>
      <c r="AW906" t="s">
        <v>74</v>
      </c>
      <c r="AX906" t="s">
        <v>74</v>
      </c>
      <c r="AY906" t="s">
        <v>74</v>
      </c>
      <c r="AZ906" t="s">
        <v>74</v>
      </c>
      <c r="BA906" t="s">
        <v>74</v>
      </c>
      <c r="BB906" t="s">
        <v>74</v>
      </c>
      <c r="BC906" t="s">
        <v>74</v>
      </c>
      <c r="BD906" t="s">
        <v>74</v>
      </c>
      <c r="BE906" t="s">
        <v>16918</v>
      </c>
      <c r="BF906" t="str">
        <f>HYPERLINK("http://dx.doi.org/10.1007/s10460-023-10485-9","http://dx.doi.org/10.1007/s10460-023-10485-9")</f>
        <v>http://dx.doi.org/10.1007/s10460-023-10485-9</v>
      </c>
      <c r="BG906" t="s">
        <v>74</v>
      </c>
      <c r="BH906" t="s">
        <v>1331</v>
      </c>
      <c r="BI906">
        <v>14</v>
      </c>
      <c r="BJ906" t="s">
        <v>16919</v>
      </c>
      <c r="BK906" t="s">
        <v>147</v>
      </c>
      <c r="BL906" t="s">
        <v>16920</v>
      </c>
      <c r="BM906" t="s">
        <v>16921</v>
      </c>
      <c r="BN906" t="s">
        <v>74</v>
      </c>
      <c r="BO906" t="s">
        <v>74</v>
      </c>
      <c r="BP906" t="s">
        <v>74</v>
      </c>
      <c r="BQ906" t="s">
        <v>74</v>
      </c>
      <c r="BR906" t="s">
        <v>102</v>
      </c>
      <c r="BS906" t="s">
        <v>16922</v>
      </c>
      <c r="BT906" t="str">
        <f>HYPERLINK("https%3A%2F%2Fwww.webofscience.com%2Fwos%2Fwoscc%2Ffull-record%2FWOS:001024234800001","View Full Record in Web of Science")</f>
        <v>View Full Record in Web of Science</v>
      </c>
    </row>
    <row r="907" spans="1:72" x14ac:dyDescent="0.2">
      <c r="A907" t="s">
        <v>72</v>
      </c>
      <c r="B907" t="s">
        <v>16923</v>
      </c>
      <c r="C907" t="s">
        <v>74</v>
      </c>
      <c r="D907" t="s">
        <v>74</v>
      </c>
      <c r="E907" t="s">
        <v>74</v>
      </c>
      <c r="F907" t="s">
        <v>16924</v>
      </c>
      <c r="G907" t="s">
        <v>74</v>
      </c>
      <c r="H907" t="s">
        <v>74</v>
      </c>
      <c r="I907" t="s">
        <v>16925</v>
      </c>
      <c r="J907" t="s">
        <v>4844</v>
      </c>
      <c r="K907" t="s">
        <v>74</v>
      </c>
      <c r="L907" t="s">
        <v>74</v>
      </c>
      <c r="M907" t="s">
        <v>78</v>
      </c>
      <c r="N907" t="s">
        <v>108</v>
      </c>
      <c r="O907" t="s">
        <v>74</v>
      </c>
      <c r="P907" t="s">
        <v>74</v>
      </c>
      <c r="Q907" t="s">
        <v>74</v>
      </c>
      <c r="R907" t="s">
        <v>74</v>
      </c>
      <c r="S907" t="s">
        <v>74</v>
      </c>
      <c r="T907" t="s">
        <v>16926</v>
      </c>
      <c r="U907" t="s">
        <v>16927</v>
      </c>
      <c r="V907" t="s">
        <v>16928</v>
      </c>
      <c r="W907" t="s">
        <v>16929</v>
      </c>
      <c r="X907" t="s">
        <v>16930</v>
      </c>
      <c r="Y907" t="s">
        <v>16931</v>
      </c>
      <c r="Z907" t="s">
        <v>16932</v>
      </c>
      <c r="AA907" t="s">
        <v>16933</v>
      </c>
      <c r="AB907" t="s">
        <v>16934</v>
      </c>
      <c r="AC907" t="s">
        <v>16935</v>
      </c>
      <c r="AD907" t="s">
        <v>16936</v>
      </c>
      <c r="AE907" t="s">
        <v>16937</v>
      </c>
      <c r="AF907" t="s">
        <v>74</v>
      </c>
      <c r="AG907">
        <v>64</v>
      </c>
      <c r="AH907">
        <v>13</v>
      </c>
      <c r="AI907">
        <v>13</v>
      </c>
      <c r="AJ907">
        <v>1</v>
      </c>
      <c r="AK907">
        <v>15</v>
      </c>
      <c r="AL907" t="s">
        <v>116</v>
      </c>
      <c r="AM907" t="s">
        <v>117</v>
      </c>
      <c r="AN907" t="s">
        <v>118</v>
      </c>
      <c r="AO907" t="s">
        <v>74</v>
      </c>
      <c r="AP907" t="s">
        <v>4857</v>
      </c>
      <c r="AQ907" t="s">
        <v>74</v>
      </c>
      <c r="AR907" t="s">
        <v>4858</v>
      </c>
      <c r="AS907" t="s">
        <v>4859</v>
      </c>
      <c r="AT907" t="s">
        <v>416</v>
      </c>
      <c r="AU907">
        <v>2020</v>
      </c>
      <c r="AV907">
        <v>20</v>
      </c>
      <c r="AW907">
        <v>11</v>
      </c>
      <c r="AX907" t="s">
        <v>74</v>
      </c>
      <c r="AY907" t="s">
        <v>74</v>
      </c>
      <c r="AZ907" t="s">
        <v>74</v>
      </c>
      <c r="BA907" t="s">
        <v>74</v>
      </c>
      <c r="BB907" t="s">
        <v>74</v>
      </c>
      <c r="BC907" t="s">
        <v>74</v>
      </c>
      <c r="BD907">
        <v>3289</v>
      </c>
      <c r="BE907" t="s">
        <v>16938</v>
      </c>
      <c r="BF907" t="str">
        <f>HYPERLINK("http://dx.doi.org/10.3390/s20113289","http://dx.doi.org/10.3390/s20113289")</f>
        <v>http://dx.doi.org/10.3390/s20113289</v>
      </c>
      <c r="BG907" t="s">
        <v>74</v>
      </c>
      <c r="BH907" t="s">
        <v>74</v>
      </c>
      <c r="BI907">
        <v>27</v>
      </c>
      <c r="BJ907" t="s">
        <v>4861</v>
      </c>
      <c r="BK907" t="s">
        <v>98</v>
      </c>
      <c r="BL907" t="s">
        <v>4862</v>
      </c>
      <c r="BM907" t="s">
        <v>16939</v>
      </c>
      <c r="BN907">
        <v>32526976</v>
      </c>
      <c r="BO907" t="s">
        <v>623</v>
      </c>
      <c r="BP907" t="s">
        <v>74</v>
      </c>
      <c r="BQ907" t="s">
        <v>74</v>
      </c>
      <c r="BR907" t="s">
        <v>102</v>
      </c>
      <c r="BS907" t="s">
        <v>16940</v>
      </c>
      <c r="BT907" t="str">
        <f>HYPERLINK("https%3A%2F%2Fwww.webofscience.com%2Fwos%2Fwoscc%2Ffull-record%2FWOS:000552737900282","View Full Record in Web of Science")</f>
        <v>View Full Record in Web of Science</v>
      </c>
    </row>
    <row r="908" spans="1:72" x14ac:dyDescent="0.2">
      <c r="A908" t="s">
        <v>72</v>
      </c>
      <c r="B908" t="s">
        <v>16941</v>
      </c>
      <c r="C908" t="s">
        <v>74</v>
      </c>
      <c r="D908" t="s">
        <v>74</v>
      </c>
      <c r="E908" t="s">
        <v>74</v>
      </c>
      <c r="F908" t="s">
        <v>16942</v>
      </c>
      <c r="G908" t="s">
        <v>74</v>
      </c>
      <c r="H908" t="s">
        <v>74</v>
      </c>
      <c r="I908" t="s">
        <v>16943</v>
      </c>
      <c r="J908" t="s">
        <v>8120</v>
      </c>
      <c r="K908" t="s">
        <v>74</v>
      </c>
      <c r="L908" t="s">
        <v>74</v>
      </c>
      <c r="M908" t="s">
        <v>78</v>
      </c>
      <c r="N908" t="s">
        <v>108</v>
      </c>
      <c r="O908" t="s">
        <v>74</v>
      </c>
      <c r="P908" t="s">
        <v>74</v>
      </c>
      <c r="Q908" t="s">
        <v>74</v>
      </c>
      <c r="R908" t="s">
        <v>74</v>
      </c>
      <c r="S908" t="s">
        <v>74</v>
      </c>
      <c r="T908" t="s">
        <v>74</v>
      </c>
      <c r="U908" t="s">
        <v>16944</v>
      </c>
      <c r="V908" t="s">
        <v>16945</v>
      </c>
      <c r="W908" t="s">
        <v>16946</v>
      </c>
      <c r="X908" t="s">
        <v>16947</v>
      </c>
      <c r="Y908" t="s">
        <v>16948</v>
      </c>
      <c r="Z908" t="s">
        <v>16949</v>
      </c>
      <c r="AA908" t="s">
        <v>74</v>
      </c>
      <c r="AB908" t="s">
        <v>74</v>
      </c>
      <c r="AC908" t="s">
        <v>16950</v>
      </c>
      <c r="AD908" t="s">
        <v>16951</v>
      </c>
      <c r="AE908" t="s">
        <v>16952</v>
      </c>
      <c r="AF908" t="s">
        <v>74</v>
      </c>
      <c r="AG908">
        <v>32</v>
      </c>
      <c r="AH908">
        <v>1</v>
      </c>
      <c r="AI908">
        <v>1</v>
      </c>
      <c r="AJ908">
        <v>4</v>
      </c>
      <c r="AK908">
        <v>13</v>
      </c>
      <c r="AL908" t="s">
        <v>3963</v>
      </c>
      <c r="AM908" t="s">
        <v>90</v>
      </c>
      <c r="AN908" t="s">
        <v>3964</v>
      </c>
      <c r="AO908" t="s">
        <v>8132</v>
      </c>
      <c r="AP908" t="s">
        <v>8133</v>
      </c>
      <c r="AQ908" t="s">
        <v>74</v>
      </c>
      <c r="AR908" t="s">
        <v>8134</v>
      </c>
      <c r="AS908" t="s">
        <v>8135</v>
      </c>
      <c r="AT908" t="s">
        <v>16953</v>
      </c>
      <c r="AU908">
        <v>2022</v>
      </c>
      <c r="AV908">
        <v>2022</v>
      </c>
      <c r="AW908" t="s">
        <v>74</v>
      </c>
      <c r="AX908" t="s">
        <v>74</v>
      </c>
      <c r="AY908" t="s">
        <v>74</v>
      </c>
      <c r="AZ908" t="s">
        <v>74</v>
      </c>
      <c r="BA908" t="s">
        <v>74</v>
      </c>
      <c r="BB908" t="s">
        <v>74</v>
      </c>
      <c r="BC908" t="s">
        <v>74</v>
      </c>
      <c r="BD908">
        <v>8255091</v>
      </c>
      <c r="BE908" t="s">
        <v>16954</v>
      </c>
      <c r="BF908" t="str">
        <f>HYPERLINK("http://dx.doi.org/10.1155/2022/8255091","http://dx.doi.org/10.1155/2022/8255091")</f>
        <v>http://dx.doi.org/10.1155/2022/8255091</v>
      </c>
      <c r="BG908" t="s">
        <v>74</v>
      </c>
      <c r="BH908" t="s">
        <v>74</v>
      </c>
      <c r="BI908">
        <v>9</v>
      </c>
      <c r="BJ908" t="s">
        <v>8138</v>
      </c>
      <c r="BK908" t="s">
        <v>98</v>
      </c>
      <c r="BL908" t="s">
        <v>8139</v>
      </c>
      <c r="BM908" t="s">
        <v>16955</v>
      </c>
      <c r="BN908">
        <v>35371206</v>
      </c>
      <c r="BO908" t="s">
        <v>101</v>
      </c>
      <c r="BP908" t="s">
        <v>74</v>
      </c>
      <c r="BQ908" t="s">
        <v>74</v>
      </c>
      <c r="BR908" t="s">
        <v>102</v>
      </c>
      <c r="BS908" t="s">
        <v>16956</v>
      </c>
      <c r="BT908" t="str">
        <f>HYPERLINK("https%3A%2F%2Fwww.webofscience.com%2Fwos%2Fwoscc%2Ffull-record%2FWOS:000793558000036","View Full Record in Web of Science")</f>
        <v>View Full Record in Web of Science</v>
      </c>
    </row>
    <row r="909" spans="1:72" x14ac:dyDescent="0.2">
      <c r="A909" t="s">
        <v>72</v>
      </c>
      <c r="B909" t="s">
        <v>16957</v>
      </c>
      <c r="C909" t="s">
        <v>74</v>
      </c>
      <c r="D909" t="s">
        <v>74</v>
      </c>
      <c r="E909" t="s">
        <v>74</v>
      </c>
      <c r="F909" t="s">
        <v>16958</v>
      </c>
      <c r="G909" t="s">
        <v>74</v>
      </c>
      <c r="H909" t="s">
        <v>74</v>
      </c>
      <c r="I909" t="s">
        <v>16959</v>
      </c>
      <c r="J909" t="s">
        <v>9780</v>
      </c>
      <c r="K909" t="s">
        <v>74</v>
      </c>
      <c r="L909" t="s">
        <v>74</v>
      </c>
      <c r="M909" t="s">
        <v>78</v>
      </c>
      <c r="N909" t="s">
        <v>79</v>
      </c>
      <c r="O909" t="s">
        <v>74</v>
      </c>
      <c r="P909" t="s">
        <v>74</v>
      </c>
      <c r="Q909" t="s">
        <v>74</v>
      </c>
      <c r="R909" t="s">
        <v>74</v>
      </c>
      <c r="S909" t="s">
        <v>74</v>
      </c>
      <c r="T909" t="s">
        <v>16960</v>
      </c>
      <c r="U909" t="s">
        <v>16961</v>
      </c>
      <c r="V909" t="s">
        <v>16962</v>
      </c>
      <c r="W909" t="s">
        <v>16963</v>
      </c>
      <c r="X909" t="s">
        <v>16964</v>
      </c>
      <c r="Y909" t="s">
        <v>16965</v>
      </c>
      <c r="Z909" t="s">
        <v>16966</v>
      </c>
      <c r="AA909" t="s">
        <v>16967</v>
      </c>
      <c r="AB909" t="s">
        <v>16968</v>
      </c>
      <c r="AC909" t="s">
        <v>16969</v>
      </c>
      <c r="AD909" t="s">
        <v>16970</v>
      </c>
      <c r="AE909" t="s">
        <v>16971</v>
      </c>
      <c r="AF909" t="s">
        <v>74</v>
      </c>
      <c r="AG909">
        <v>155</v>
      </c>
      <c r="AH909">
        <v>1</v>
      </c>
      <c r="AI909">
        <v>1</v>
      </c>
      <c r="AJ909">
        <v>14</v>
      </c>
      <c r="AK909">
        <v>28</v>
      </c>
      <c r="AL909" t="s">
        <v>116</v>
      </c>
      <c r="AM909" t="s">
        <v>117</v>
      </c>
      <c r="AN909" t="s">
        <v>118</v>
      </c>
      <c r="AO909" t="s">
        <v>74</v>
      </c>
      <c r="AP909" t="s">
        <v>9788</v>
      </c>
      <c r="AQ909" t="s">
        <v>74</v>
      </c>
      <c r="AR909" t="s">
        <v>9789</v>
      </c>
      <c r="AS909" t="s">
        <v>9789</v>
      </c>
      <c r="AT909" t="s">
        <v>216</v>
      </c>
      <c r="AU909">
        <v>2022</v>
      </c>
      <c r="AV909">
        <v>12</v>
      </c>
      <c r="AW909">
        <v>12</v>
      </c>
      <c r="AX909" t="s">
        <v>74</v>
      </c>
      <c r="AY909" t="s">
        <v>74</v>
      </c>
      <c r="AZ909" t="s">
        <v>74</v>
      </c>
      <c r="BA909" t="s">
        <v>74</v>
      </c>
      <c r="BB909" t="s">
        <v>74</v>
      </c>
      <c r="BC909" t="s">
        <v>74</v>
      </c>
      <c r="BD909">
        <v>2054</v>
      </c>
      <c r="BE909" t="s">
        <v>16972</v>
      </c>
      <c r="BF909" t="str">
        <f>HYPERLINK("http://dx.doi.org/10.3390/buildings12122054","http://dx.doi.org/10.3390/buildings12122054")</f>
        <v>http://dx.doi.org/10.3390/buildings12122054</v>
      </c>
      <c r="BG909" t="s">
        <v>74</v>
      </c>
      <c r="BH909" t="s">
        <v>74</v>
      </c>
      <c r="BI909">
        <v>33</v>
      </c>
      <c r="BJ909" t="s">
        <v>9791</v>
      </c>
      <c r="BK909" t="s">
        <v>98</v>
      </c>
      <c r="BL909" t="s">
        <v>9792</v>
      </c>
      <c r="BM909" t="s">
        <v>16973</v>
      </c>
      <c r="BN909" t="s">
        <v>74</v>
      </c>
      <c r="BO909" t="s">
        <v>126</v>
      </c>
      <c r="BP909" t="s">
        <v>74</v>
      </c>
      <c r="BQ909" t="s">
        <v>74</v>
      </c>
      <c r="BR909" t="s">
        <v>102</v>
      </c>
      <c r="BS909" t="s">
        <v>16974</v>
      </c>
      <c r="BT909" t="str">
        <f>HYPERLINK("https%3A%2F%2Fwww.webofscience.com%2Fwos%2Fwoscc%2Ffull-record%2FWOS:000900554800001","View Full Record in Web of Science")</f>
        <v>View Full Record in Web of Science</v>
      </c>
    </row>
    <row r="910" spans="1:72" x14ac:dyDescent="0.2">
      <c r="A910" t="s">
        <v>72</v>
      </c>
      <c r="B910" t="s">
        <v>16975</v>
      </c>
      <c r="C910" t="s">
        <v>74</v>
      </c>
      <c r="D910" t="s">
        <v>74</v>
      </c>
      <c r="E910" t="s">
        <v>74</v>
      </c>
      <c r="F910" t="s">
        <v>16976</v>
      </c>
      <c r="G910" t="s">
        <v>74</v>
      </c>
      <c r="H910" t="s">
        <v>74</v>
      </c>
      <c r="I910" t="s">
        <v>16977</v>
      </c>
      <c r="J910" t="s">
        <v>976</v>
      </c>
      <c r="K910" t="s">
        <v>74</v>
      </c>
      <c r="L910" t="s">
        <v>74</v>
      </c>
      <c r="M910" t="s">
        <v>78</v>
      </c>
      <c r="N910" t="s">
        <v>79</v>
      </c>
      <c r="O910" t="s">
        <v>74</v>
      </c>
      <c r="P910" t="s">
        <v>74</v>
      </c>
      <c r="Q910" t="s">
        <v>74</v>
      </c>
      <c r="R910" t="s">
        <v>74</v>
      </c>
      <c r="S910" t="s">
        <v>74</v>
      </c>
      <c r="T910" t="s">
        <v>16978</v>
      </c>
      <c r="U910" t="s">
        <v>16979</v>
      </c>
      <c r="V910" t="s">
        <v>16980</v>
      </c>
      <c r="W910" t="s">
        <v>16981</v>
      </c>
      <c r="X910" t="s">
        <v>16982</v>
      </c>
      <c r="Y910" t="s">
        <v>16983</v>
      </c>
      <c r="Z910" t="s">
        <v>16984</v>
      </c>
      <c r="AA910" t="s">
        <v>16985</v>
      </c>
      <c r="AB910" t="s">
        <v>16986</v>
      </c>
      <c r="AC910" t="s">
        <v>74</v>
      </c>
      <c r="AD910" t="s">
        <v>74</v>
      </c>
      <c r="AE910" t="s">
        <v>74</v>
      </c>
      <c r="AF910" t="s">
        <v>74</v>
      </c>
      <c r="AG910">
        <v>215</v>
      </c>
      <c r="AH910">
        <v>189</v>
      </c>
      <c r="AI910">
        <v>191</v>
      </c>
      <c r="AJ910">
        <v>34</v>
      </c>
      <c r="AK910">
        <v>249</v>
      </c>
      <c r="AL910" t="s">
        <v>259</v>
      </c>
      <c r="AM910" t="s">
        <v>260</v>
      </c>
      <c r="AN910" t="s">
        <v>261</v>
      </c>
      <c r="AO910" t="s">
        <v>989</v>
      </c>
      <c r="AP910" t="s">
        <v>990</v>
      </c>
      <c r="AQ910" t="s">
        <v>74</v>
      </c>
      <c r="AR910" t="s">
        <v>991</v>
      </c>
      <c r="AS910" t="s">
        <v>992</v>
      </c>
      <c r="AT910" t="s">
        <v>5209</v>
      </c>
      <c r="AU910">
        <v>2019</v>
      </c>
      <c r="AV910">
        <v>212</v>
      </c>
      <c r="AW910" t="s">
        <v>74</v>
      </c>
      <c r="AX910" t="s">
        <v>74</v>
      </c>
      <c r="AY910" t="s">
        <v>74</v>
      </c>
      <c r="AZ910" t="s">
        <v>74</v>
      </c>
      <c r="BA910" t="s">
        <v>74</v>
      </c>
      <c r="BB910">
        <v>119</v>
      </c>
      <c r="BC910">
        <v>138</v>
      </c>
      <c r="BD910" t="s">
        <v>74</v>
      </c>
      <c r="BE910" t="s">
        <v>16987</v>
      </c>
      <c r="BF910" t="str">
        <f>HYPERLINK("http://dx.doi.org/10.1016/j.jclepro.2018.11.270","http://dx.doi.org/10.1016/j.jclepro.2018.11.270")</f>
        <v>http://dx.doi.org/10.1016/j.jclepro.2018.11.270</v>
      </c>
      <c r="BG910" t="s">
        <v>74</v>
      </c>
      <c r="BH910" t="s">
        <v>74</v>
      </c>
      <c r="BI910">
        <v>20</v>
      </c>
      <c r="BJ910" t="s">
        <v>995</v>
      </c>
      <c r="BK910" t="s">
        <v>147</v>
      </c>
      <c r="BL910" t="s">
        <v>996</v>
      </c>
      <c r="BM910" t="s">
        <v>16988</v>
      </c>
      <c r="BN910" t="s">
        <v>74</v>
      </c>
      <c r="BO910" t="s">
        <v>74</v>
      </c>
      <c r="BP910" t="s">
        <v>2105</v>
      </c>
      <c r="BQ910" t="s">
        <v>2106</v>
      </c>
      <c r="BR910" t="s">
        <v>102</v>
      </c>
      <c r="BS910" t="s">
        <v>16989</v>
      </c>
      <c r="BT910" t="str">
        <f>HYPERLINK("https%3A%2F%2Fwww.webofscience.com%2Fwos%2Fwoscc%2Ffull-record%2FWOS:000457952500012","View Full Record in Web of Science")</f>
        <v>View Full Record in Web of Science</v>
      </c>
    </row>
    <row r="911" spans="1:72" x14ac:dyDescent="0.2">
      <c r="A911" t="s">
        <v>72</v>
      </c>
      <c r="B911" t="s">
        <v>16990</v>
      </c>
      <c r="C911" t="s">
        <v>74</v>
      </c>
      <c r="D911" t="s">
        <v>74</v>
      </c>
      <c r="E911" t="s">
        <v>74</v>
      </c>
      <c r="F911" t="s">
        <v>16991</v>
      </c>
      <c r="G911" t="s">
        <v>74</v>
      </c>
      <c r="H911" t="s">
        <v>74</v>
      </c>
      <c r="I911" t="s">
        <v>16992</v>
      </c>
      <c r="J911" t="s">
        <v>7807</v>
      </c>
      <c r="K911" t="s">
        <v>74</v>
      </c>
      <c r="L911" t="s">
        <v>74</v>
      </c>
      <c r="M911" t="s">
        <v>78</v>
      </c>
      <c r="N911" t="s">
        <v>917</v>
      </c>
      <c r="O911" t="s">
        <v>74</v>
      </c>
      <c r="P911" t="s">
        <v>74</v>
      </c>
      <c r="Q911" t="s">
        <v>74</v>
      </c>
      <c r="R911" t="s">
        <v>74</v>
      </c>
      <c r="S911" t="s">
        <v>74</v>
      </c>
      <c r="T911" t="s">
        <v>16993</v>
      </c>
      <c r="U911" t="s">
        <v>16994</v>
      </c>
      <c r="V911" t="s">
        <v>16995</v>
      </c>
      <c r="W911" t="s">
        <v>16996</v>
      </c>
      <c r="X911" t="s">
        <v>16997</v>
      </c>
      <c r="Y911" t="s">
        <v>16998</v>
      </c>
      <c r="Z911" t="s">
        <v>16999</v>
      </c>
      <c r="AA911" t="s">
        <v>17000</v>
      </c>
      <c r="AB911" t="s">
        <v>17001</v>
      </c>
      <c r="AC911" t="s">
        <v>17002</v>
      </c>
      <c r="AD911" t="s">
        <v>17003</v>
      </c>
      <c r="AE911" t="s">
        <v>17004</v>
      </c>
      <c r="AF911" t="s">
        <v>74</v>
      </c>
      <c r="AG911">
        <v>57</v>
      </c>
      <c r="AH911">
        <v>0</v>
      </c>
      <c r="AI911">
        <v>0</v>
      </c>
      <c r="AJ911">
        <v>0</v>
      </c>
      <c r="AK911">
        <v>0</v>
      </c>
      <c r="AL911" t="s">
        <v>321</v>
      </c>
      <c r="AM911" t="s">
        <v>348</v>
      </c>
      <c r="AN911" t="s">
        <v>1454</v>
      </c>
      <c r="AO911" t="s">
        <v>7816</v>
      </c>
      <c r="AP911" t="s">
        <v>7817</v>
      </c>
      <c r="AQ911" t="s">
        <v>74</v>
      </c>
      <c r="AR911" t="s">
        <v>7818</v>
      </c>
      <c r="AS911" t="s">
        <v>7819</v>
      </c>
      <c r="AT911" t="s">
        <v>17005</v>
      </c>
      <c r="AU911">
        <v>2023</v>
      </c>
      <c r="AV911" t="s">
        <v>74</v>
      </c>
      <c r="AW911" t="s">
        <v>74</v>
      </c>
      <c r="AX911" t="s">
        <v>74</v>
      </c>
      <c r="AY911" t="s">
        <v>74</v>
      </c>
      <c r="AZ911" t="s">
        <v>74</v>
      </c>
      <c r="BA911" t="s">
        <v>74</v>
      </c>
      <c r="BB911" t="s">
        <v>74</v>
      </c>
      <c r="BC911" t="s">
        <v>74</v>
      </c>
      <c r="BD911" t="s">
        <v>74</v>
      </c>
      <c r="BE911" t="s">
        <v>17006</v>
      </c>
      <c r="BF911" t="str">
        <f>HYPERLINK("http://dx.doi.org/10.1007/s00500-023-08512-2","http://dx.doi.org/10.1007/s00500-023-08512-2")</f>
        <v>http://dx.doi.org/10.1007/s00500-023-08512-2</v>
      </c>
      <c r="BG911" t="s">
        <v>74</v>
      </c>
      <c r="BH911" t="s">
        <v>930</v>
      </c>
      <c r="BI911">
        <v>17</v>
      </c>
      <c r="BJ911" t="s">
        <v>4166</v>
      </c>
      <c r="BK911" t="s">
        <v>98</v>
      </c>
      <c r="BL911" t="s">
        <v>99</v>
      </c>
      <c r="BM911" t="s">
        <v>17007</v>
      </c>
      <c r="BN911" t="s">
        <v>74</v>
      </c>
      <c r="BO911" t="s">
        <v>74</v>
      </c>
      <c r="BP911" t="s">
        <v>74</v>
      </c>
      <c r="BQ911" t="s">
        <v>74</v>
      </c>
      <c r="BR911" t="s">
        <v>102</v>
      </c>
      <c r="BS911" t="s">
        <v>17008</v>
      </c>
      <c r="BT911" t="str">
        <f>HYPERLINK("https%3A%2F%2Fwww.webofscience.com%2Fwos%2Fwoscc%2Ffull-record%2FWOS:000998277100002","View Full Record in Web of Science")</f>
        <v>View Full Record in Web of Science</v>
      </c>
    </row>
    <row r="912" spans="1:72" x14ac:dyDescent="0.2">
      <c r="A912" t="s">
        <v>72</v>
      </c>
      <c r="B912" t="s">
        <v>17009</v>
      </c>
      <c r="C912" t="s">
        <v>74</v>
      </c>
      <c r="D912" t="s">
        <v>74</v>
      </c>
      <c r="E912" t="s">
        <v>74</v>
      </c>
      <c r="F912" t="s">
        <v>17010</v>
      </c>
      <c r="G912" t="s">
        <v>74</v>
      </c>
      <c r="H912" t="s">
        <v>74</v>
      </c>
      <c r="I912" t="s">
        <v>17011</v>
      </c>
      <c r="J912" t="s">
        <v>17012</v>
      </c>
      <c r="K912" t="s">
        <v>74</v>
      </c>
      <c r="L912" t="s">
        <v>74</v>
      </c>
      <c r="M912" t="s">
        <v>78</v>
      </c>
      <c r="N912" t="s">
        <v>108</v>
      </c>
      <c r="O912" t="s">
        <v>74</v>
      </c>
      <c r="P912" t="s">
        <v>74</v>
      </c>
      <c r="Q912" t="s">
        <v>74</v>
      </c>
      <c r="R912" t="s">
        <v>74</v>
      </c>
      <c r="S912" t="s">
        <v>74</v>
      </c>
      <c r="T912" t="s">
        <v>17013</v>
      </c>
      <c r="U912" t="s">
        <v>17014</v>
      </c>
      <c r="V912" t="s">
        <v>17015</v>
      </c>
      <c r="W912" t="s">
        <v>17016</v>
      </c>
      <c r="X912" t="s">
        <v>17017</v>
      </c>
      <c r="Y912" t="s">
        <v>17018</v>
      </c>
      <c r="Z912" t="s">
        <v>17019</v>
      </c>
      <c r="AA912" t="s">
        <v>17020</v>
      </c>
      <c r="AB912" t="s">
        <v>17021</v>
      </c>
      <c r="AC912" t="s">
        <v>74</v>
      </c>
      <c r="AD912" t="s">
        <v>74</v>
      </c>
      <c r="AE912" t="s">
        <v>74</v>
      </c>
      <c r="AF912" t="s">
        <v>74</v>
      </c>
      <c r="AG912">
        <v>25</v>
      </c>
      <c r="AH912">
        <v>10</v>
      </c>
      <c r="AI912">
        <v>11</v>
      </c>
      <c r="AJ912">
        <v>1</v>
      </c>
      <c r="AK912">
        <v>27</v>
      </c>
      <c r="AL912" t="s">
        <v>17022</v>
      </c>
      <c r="AM912" t="s">
        <v>17023</v>
      </c>
      <c r="AN912" t="s">
        <v>17024</v>
      </c>
      <c r="AO912" t="s">
        <v>17025</v>
      </c>
      <c r="AP912" t="s">
        <v>74</v>
      </c>
      <c r="AQ912" t="s">
        <v>74</v>
      </c>
      <c r="AR912" t="s">
        <v>17026</v>
      </c>
      <c r="AS912" t="s">
        <v>17027</v>
      </c>
      <c r="AT912" t="s">
        <v>616</v>
      </c>
      <c r="AU912">
        <v>2013</v>
      </c>
      <c r="AV912">
        <v>35</v>
      </c>
      <c r="AW912">
        <v>1</v>
      </c>
      <c r="AX912" t="s">
        <v>74</v>
      </c>
      <c r="AY912" t="s">
        <v>74</v>
      </c>
      <c r="AZ912" t="s">
        <v>74</v>
      </c>
      <c r="BA912" t="s">
        <v>74</v>
      </c>
      <c r="BB912">
        <v>218</v>
      </c>
      <c r="BC912">
        <v>225</v>
      </c>
      <c r="BD912" t="s">
        <v>74</v>
      </c>
      <c r="BE912" t="s">
        <v>17028</v>
      </c>
      <c r="BF912" t="str">
        <f>HYPERLINK("http://dx.doi.org/10.1590/S0100-29452013000100025","http://dx.doi.org/10.1590/S0100-29452013000100025")</f>
        <v>http://dx.doi.org/10.1590/S0100-29452013000100025</v>
      </c>
      <c r="BG912" t="s">
        <v>74</v>
      </c>
      <c r="BH912" t="s">
        <v>74</v>
      </c>
      <c r="BI912">
        <v>8</v>
      </c>
      <c r="BJ912" t="s">
        <v>17029</v>
      </c>
      <c r="BK912" t="s">
        <v>98</v>
      </c>
      <c r="BL912" t="s">
        <v>8268</v>
      </c>
      <c r="BM912" t="s">
        <v>17030</v>
      </c>
      <c r="BN912" t="s">
        <v>74</v>
      </c>
      <c r="BO912" t="s">
        <v>306</v>
      </c>
      <c r="BP912" t="s">
        <v>74</v>
      </c>
      <c r="BQ912" t="s">
        <v>74</v>
      </c>
      <c r="BR912" t="s">
        <v>102</v>
      </c>
      <c r="BS912" t="s">
        <v>17031</v>
      </c>
      <c r="BT912" t="str">
        <f>HYPERLINK("https%3A%2F%2Fwww.webofscience.com%2Fwos%2Fwoscc%2Ffull-record%2FWOS:000320007200025","View Full Record in Web of Science")</f>
        <v>View Full Record in Web of Science</v>
      </c>
    </row>
    <row r="913" spans="1:72" x14ac:dyDescent="0.2">
      <c r="A913" t="s">
        <v>72</v>
      </c>
      <c r="B913" t="s">
        <v>17032</v>
      </c>
      <c r="C913" t="s">
        <v>74</v>
      </c>
      <c r="D913" t="s">
        <v>74</v>
      </c>
      <c r="E913" t="s">
        <v>74</v>
      </c>
      <c r="F913" t="s">
        <v>17033</v>
      </c>
      <c r="G913" t="s">
        <v>74</v>
      </c>
      <c r="H913" t="s">
        <v>74</v>
      </c>
      <c r="I913" t="s">
        <v>17034</v>
      </c>
      <c r="J913" t="s">
        <v>4480</v>
      </c>
      <c r="K913" t="s">
        <v>74</v>
      </c>
      <c r="L913" t="s">
        <v>74</v>
      </c>
      <c r="M913" t="s">
        <v>78</v>
      </c>
      <c r="N913" t="s">
        <v>79</v>
      </c>
      <c r="O913" t="s">
        <v>74</v>
      </c>
      <c r="P913" t="s">
        <v>74</v>
      </c>
      <c r="Q913" t="s">
        <v>74</v>
      </c>
      <c r="R913" t="s">
        <v>74</v>
      </c>
      <c r="S913" t="s">
        <v>74</v>
      </c>
      <c r="T913" t="s">
        <v>17035</v>
      </c>
      <c r="U913" t="s">
        <v>17036</v>
      </c>
      <c r="V913" t="s">
        <v>17037</v>
      </c>
      <c r="W913" t="s">
        <v>17038</v>
      </c>
      <c r="X913" t="s">
        <v>10066</v>
      </c>
      <c r="Y913" t="s">
        <v>17039</v>
      </c>
      <c r="Z913" t="s">
        <v>17040</v>
      </c>
      <c r="AA913" t="s">
        <v>74</v>
      </c>
      <c r="AB913" t="s">
        <v>17041</v>
      </c>
      <c r="AC913" t="s">
        <v>17042</v>
      </c>
      <c r="AD913" t="s">
        <v>17043</v>
      </c>
      <c r="AE913" t="s">
        <v>17044</v>
      </c>
      <c r="AF913" t="s">
        <v>74</v>
      </c>
      <c r="AG913">
        <v>102</v>
      </c>
      <c r="AH913">
        <v>24</v>
      </c>
      <c r="AI913">
        <v>24</v>
      </c>
      <c r="AJ913">
        <v>13</v>
      </c>
      <c r="AK913">
        <v>218</v>
      </c>
      <c r="AL913" t="s">
        <v>4005</v>
      </c>
      <c r="AM913" t="s">
        <v>4006</v>
      </c>
      <c r="AN913" t="s">
        <v>4007</v>
      </c>
      <c r="AO913" t="s">
        <v>4487</v>
      </c>
      <c r="AP913" t="s">
        <v>4488</v>
      </c>
      <c r="AQ913" t="s">
        <v>74</v>
      </c>
      <c r="AR913" t="s">
        <v>4489</v>
      </c>
      <c r="AS913" t="s">
        <v>4490</v>
      </c>
      <c r="AT913" t="s">
        <v>846</v>
      </c>
      <c r="AU913">
        <v>2020</v>
      </c>
      <c r="AV913">
        <v>27</v>
      </c>
      <c r="AW913">
        <v>15</v>
      </c>
      <c r="AX913" t="s">
        <v>74</v>
      </c>
      <c r="AY913" t="s">
        <v>74</v>
      </c>
      <c r="AZ913" t="s">
        <v>570</v>
      </c>
      <c r="BA913" t="s">
        <v>74</v>
      </c>
      <c r="BB913">
        <v>17671</v>
      </c>
      <c r="BC913">
        <v>17691</v>
      </c>
      <c r="BD913" t="s">
        <v>74</v>
      </c>
      <c r="BE913" t="s">
        <v>17045</v>
      </c>
      <c r="BF913" t="str">
        <f>HYPERLINK("http://dx.doi.org/10.1007/s11356-020-08158-9","http://dx.doi.org/10.1007/s11356-020-08158-9")</f>
        <v>http://dx.doi.org/10.1007/s11356-020-08158-9</v>
      </c>
      <c r="BG913" t="s">
        <v>74</v>
      </c>
      <c r="BH913" t="s">
        <v>288</v>
      </c>
      <c r="BI913">
        <v>21</v>
      </c>
      <c r="BJ913" t="s">
        <v>674</v>
      </c>
      <c r="BK913" t="s">
        <v>147</v>
      </c>
      <c r="BL913" t="s">
        <v>675</v>
      </c>
      <c r="BM913" t="s">
        <v>17046</v>
      </c>
      <c r="BN913">
        <v>32215795</v>
      </c>
      <c r="BO913" t="s">
        <v>74</v>
      </c>
      <c r="BP913" t="s">
        <v>74</v>
      </c>
      <c r="BQ913" t="s">
        <v>74</v>
      </c>
      <c r="BR913" t="s">
        <v>102</v>
      </c>
      <c r="BS913" t="s">
        <v>17047</v>
      </c>
      <c r="BT913" t="str">
        <f>HYPERLINK("https%3A%2F%2Fwww.webofscience.com%2Fwos%2Fwoscc%2Ffull-record%2FWOS:000521784700004","View Full Record in Web of Science")</f>
        <v>View Full Record in Web of Science</v>
      </c>
    </row>
    <row r="914" spans="1:72" x14ac:dyDescent="0.2">
      <c r="A914" t="s">
        <v>72</v>
      </c>
      <c r="B914" t="s">
        <v>17048</v>
      </c>
      <c r="C914" t="s">
        <v>74</v>
      </c>
      <c r="D914" t="s">
        <v>74</v>
      </c>
      <c r="E914" t="s">
        <v>74</v>
      </c>
      <c r="F914" t="s">
        <v>17049</v>
      </c>
      <c r="G914" t="s">
        <v>74</v>
      </c>
      <c r="H914" t="s">
        <v>74</v>
      </c>
      <c r="I914" t="s">
        <v>17050</v>
      </c>
      <c r="J914" t="s">
        <v>131</v>
      </c>
      <c r="K914" t="s">
        <v>74</v>
      </c>
      <c r="L914" t="s">
        <v>74</v>
      </c>
      <c r="M914" t="s">
        <v>78</v>
      </c>
      <c r="N914" t="s">
        <v>108</v>
      </c>
      <c r="O914" t="s">
        <v>74</v>
      </c>
      <c r="P914" t="s">
        <v>74</v>
      </c>
      <c r="Q914" t="s">
        <v>74</v>
      </c>
      <c r="R914" t="s">
        <v>74</v>
      </c>
      <c r="S914" t="s">
        <v>74</v>
      </c>
      <c r="T914" t="s">
        <v>17051</v>
      </c>
      <c r="U914" t="s">
        <v>17052</v>
      </c>
      <c r="V914" t="s">
        <v>17053</v>
      </c>
      <c r="W914" t="s">
        <v>17054</v>
      </c>
      <c r="X914" t="s">
        <v>17055</v>
      </c>
      <c r="Y914" t="s">
        <v>17056</v>
      </c>
      <c r="Z914" t="s">
        <v>17057</v>
      </c>
      <c r="AA914" t="s">
        <v>74</v>
      </c>
      <c r="AB914" t="s">
        <v>17058</v>
      </c>
      <c r="AC914" t="s">
        <v>74</v>
      </c>
      <c r="AD914" t="s">
        <v>74</v>
      </c>
      <c r="AE914" t="s">
        <v>74</v>
      </c>
      <c r="AF914" t="s">
        <v>74</v>
      </c>
      <c r="AG914">
        <v>33</v>
      </c>
      <c r="AH914">
        <v>4</v>
      </c>
      <c r="AI914">
        <v>4</v>
      </c>
      <c r="AJ914">
        <v>3</v>
      </c>
      <c r="AK914">
        <v>22</v>
      </c>
      <c r="AL914" t="s">
        <v>116</v>
      </c>
      <c r="AM914" t="s">
        <v>117</v>
      </c>
      <c r="AN914" t="s">
        <v>118</v>
      </c>
      <c r="AO914" t="s">
        <v>142</v>
      </c>
      <c r="AP914" t="s">
        <v>74</v>
      </c>
      <c r="AQ914" t="s">
        <v>74</v>
      </c>
      <c r="AR914" t="s">
        <v>143</v>
      </c>
      <c r="AS914" t="s">
        <v>144</v>
      </c>
      <c r="AT914" t="s">
        <v>8734</v>
      </c>
      <c r="AU914">
        <v>2019</v>
      </c>
      <c r="AV914">
        <v>11</v>
      </c>
      <c r="AW914">
        <v>1</v>
      </c>
      <c r="AX914" t="s">
        <v>74</v>
      </c>
      <c r="AY914" t="s">
        <v>74</v>
      </c>
      <c r="AZ914" t="s">
        <v>74</v>
      </c>
      <c r="BA914" t="s">
        <v>74</v>
      </c>
      <c r="BB914" t="s">
        <v>74</v>
      </c>
      <c r="BC914" t="s">
        <v>74</v>
      </c>
      <c r="BD914">
        <v>259</v>
      </c>
      <c r="BE914" t="s">
        <v>17059</v>
      </c>
      <c r="BF914" t="str">
        <f>HYPERLINK("http://dx.doi.org/10.3390/su11010259","http://dx.doi.org/10.3390/su11010259")</f>
        <v>http://dx.doi.org/10.3390/su11010259</v>
      </c>
      <c r="BG914" t="s">
        <v>74</v>
      </c>
      <c r="BH914" t="s">
        <v>74</v>
      </c>
      <c r="BI914">
        <v>14</v>
      </c>
      <c r="BJ914" t="s">
        <v>146</v>
      </c>
      <c r="BK914" t="s">
        <v>147</v>
      </c>
      <c r="BL914" t="s">
        <v>148</v>
      </c>
      <c r="BM914" t="s">
        <v>17060</v>
      </c>
      <c r="BN914" t="s">
        <v>74</v>
      </c>
      <c r="BO914" t="s">
        <v>623</v>
      </c>
      <c r="BP914" t="s">
        <v>74</v>
      </c>
      <c r="BQ914" t="s">
        <v>74</v>
      </c>
      <c r="BR914" t="s">
        <v>102</v>
      </c>
      <c r="BS914" t="s">
        <v>17061</v>
      </c>
      <c r="BT914" t="str">
        <f>HYPERLINK("https%3A%2F%2Fwww.webofscience.com%2Fwos%2Fwoscc%2Ffull-record%2FWOS:000457127300259","View Full Record in Web of Science")</f>
        <v>View Full Record in Web of Science</v>
      </c>
    </row>
    <row r="915" spans="1:72" x14ac:dyDescent="0.2">
      <c r="A915" t="s">
        <v>72</v>
      </c>
      <c r="B915" t="s">
        <v>17062</v>
      </c>
      <c r="C915" t="s">
        <v>74</v>
      </c>
      <c r="D915" t="s">
        <v>74</v>
      </c>
      <c r="E915" t="s">
        <v>74</v>
      </c>
      <c r="F915" t="s">
        <v>17063</v>
      </c>
      <c r="G915" t="s">
        <v>74</v>
      </c>
      <c r="H915" t="s">
        <v>74</v>
      </c>
      <c r="I915" t="s">
        <v>17064</v>
      </c>
      <c r="J915" t="s">
        <v>4384</v>
      </c>
      <c r="K915" t="s">
        <v>74</v>
      </c>
      <c r="L915" t="s">
        <v>74</v>
      </c>
      <c r="M915" t="s">
        <v>78</v>
      </c>
      <c r="N915" t="s">
        <v>108</v>
      </c>
      <c r="O915" t="s">
        <v>74</v>
      </c>
      <c r="P915" t="s">
        <v>74</v>
      </c>
      <c r="Q915" t="s">
        <v>74</v>
      </c>
      <c r="R915" t="s">
        <v>74</v>
      </c>
      <c r="S915" t="s">
        <v>74</v>
      </c>
      <c r="T915" t="s">
        <v>17065</v>
      </c>
      <c r="U915" t="s">
        <v>74</v>
      </c>
      <c r="V915" t="s">
        <v>17066</v>
      </c>
      <c r="W915" t="s">
        <v>17067</v>
      </c>
      <c r="X915" t="s">
        <v>17068</v>
      </c>
      <c r="Y915" t="s">
        <v>17069</v>
      </c>
      <c r="Z915" t="s">
        <v>17070</v>
      </c>
      <c r="AA915" t="s">
        <v>74</v>
      </c>
      <c r="AB915" t="s">
        <v>74</v>
      </c>
      <c r="AC915" t="s">
        <v>17071</v>
      </c>
      <c r="AD915" t="s">
        <v>17072</v>
      </c>
      <c r="AE915" t="s">
        <v>17073</v>
      </c>
      <c r="AF915" t="s">
        <v>74</v>
      </c>
      <c r="AG915">
        <v>70</v>
      </c>
      <c r="AH915">
        <v>1</v>
      </c>
      <c r="AI915">
        <v>1</v>
      </c>
      <c r="AJ915">
        <v>1</v>
      </c>
      <c r="AK915">
        <v>4</v>
      </c>
      <c r="AL915" t="s">
        <v>167</v>
      </c>
      <c r="AM915" t="s">
        <v>168</v>
      </c>
      <c r="AN915" t="s">
        <v>169</v>
      </c>
      <c r="AO915" t="s">
        <v>4393</v>
      </c>
      <c r="AP915" t="s">
        <v>74</v>
      </c>
      <c r="AQ915" t="s">
        <v>74</v>
      </c>
      <c r="AR915" t="s">
        <v>4384</v>
      </c>
      <c r="AS915" t="s">
        <v>4394</v>
      </c>
      <c r="AT915" t="s">
        <v>74</v>
      </c>
      <c r="AU915">
        <v>2022</v>
      </c>
      <c r="AV915">
        <v>10</v>
      </c>
      <c r="AW915" t="s">
        <v>74</v>
      </c>
      <c r="AX915" t="s">
        <v>74</v>
      </c>
      <c r="AY915" t="s">
        <v>74</v>
      </c>
      <c r="AZ915" t="s">
        <v>74</v>
      </c>
      <c r="BA915" t="s">
        <v>74</v>
      </c>
      <c r="BB915">
        <v>49566</v>
      </c>
      <c r="BC915">
        <v>49584</v>
      </c>
      <c r="BD915" t="s">
        <v>74</v>
      </c>
      <c r="BE915" t="s">
        <v>17074</v>
      </c>
      <c r="BF915" t="str">
        <f>HYPERLINK("http://dx.doi.org/10.1109/ACCESS.2022.3171226","http://dx.doi.org/10.1109/ACCESS.2022.3171226")</f>
        <v>http://dx.doi.org/10.1109/ACCESS.2022.3171226</v>
      </c>
      <c r="BG915" t="s">
        <v>74</v>
      </c>
      <c r="BH915" t="s">
        <v>74</v>
      </c>
      <c r="BI915">
        <v>19</v>
      </c>
      <c r="BJ915" t="s">
        <v>2959</v>
      </c>
      <c r="BK915" t="s">
        <v>98</v>
      </c>
      <c r="BL915" t="s">
        <v>2960</v>
      </c>
      <c r="BM915" t="s">
        <v>17075</v>
      </c>
      <c r="BN915" t="s">
        <v>74</v>
      </c>
      <c r="BO915" t="s">
        <v>126</v>
      </c>
      <c r="BP915" t="s">
        <v>74</v>
      </c>
      <c r="BQ915" t="s">
        <v>74</v>
      </c>
      <c r="BR915" t="s">
        <v>102</v>
      </c>
      <c r="BS915" t="s">
        <v>17076</v>
      </c>
      <c r="BT915" t="str">
        <f>HYPERLINK("https%3A%2F%2Fwww.webofscience.com%2Fwos%2Fwoscc%2Ffull-record%2FWOS:000795627600001","View Full Record in Web of Science")</f>
        <v>View Full Record in Web of Science</v>
      </c>
    </row>
    <row r="916" spans="1:72" x14ac:dyDescent="0.2">
      <c r="A916" t="s">
        <v>72</v>
      </c>
      <c r="B916" t="s">
        <v>17077</v>
      </c>
      <c r="C916" t="s">
        <v>74</v>
      </c>
      <c r="D916" t="s">
        <v>74</v>
      </c>
      <c r="E916" t="s">
        <v>74</v>
      </c>
      <c r="F916" t="s">
        <v>17078</v>
      </c>
      <c r="G916" t="s">
        <v>74</v>
      </c>
      <c r="H916" t="s">
        <v>74</v>
      </c>
      <c r="I916" t="s">
        <v>17079</v>
      </c>
      <c r="J916" t="s">
        <v>17080</v>
      </c>
      <c r="K916" t="s">
        <v>74</v>
      </c>
      <c r="L916" t="s">
        <v>74</v>
      </c>
      <c r="M916" t="s">
        <v>78</v>
      </c>
      <c r="N916" t="s">
        <v>108</v>
      </c>
      <c r="O916" t="s">
        <v>74</v>
      </c>
      <c r="P916" t="s">
        <v>74</v>
      </c>
      <c r="Q916" t="s">
        <v>74</v>
      </c>
      <c r="R916" t="s">
        <v>74</v>
      </c>
      <c r="S916" t="s">
        <v>74</v>
      </c>
      <c r="T916" t="s">
        <v>74</v>
      </c>
      <c r="U916" t="s">
        <v>17081</v>
      </c>
      <c r="V916" t="s">
        <v>17082</v>
      </c>
      <c r="W916" t="s">
        <v>17083</v>
      </c>
      <c r="X916" t="s">
        <v>17084</v>
      </c>
      <c r="Y916" t="s">
        <v>17085</v>
      </c>
      <c r="Z916" t="s">
        <v>17086</v>
      </c>
      <c r="AA916" t="s">
        <v>17087</v>
      </c>
      <c r="AB916" t="s">
        <v>17088</v>
      </c>
      <c r="AC916" t="s">
        <v>74</v>
      </c>
      <c r="AD916" t="s">
        <v>74</v>
      </c>
      <c r="AE916" t="s">
        <v>74</v>
      </c>
      <c r="AF916" t="s">
        <v>74</v>
      </c>
      <c r="AG916">
        <v>148</v>
      </c>
      <c r="AH916">
        <v>0</v>
      </c>
      <c r="AI916">
        <v>0</v>
      </c>
      <c r="AJ916">
        <v>1</v>
      </c>
      <c r="AK916">
        <v>1</v>
      </c>
      <c r="AL916" t="s">
        <v>3963</v>
      </c>
      <c r="AM916" t="s">
        <v>90</v>
      </c>
      <c r="AN916" t="s">
        <v>3964</v>
      </c>
      <c r="AO916" t="s">
        <v>17089</v>
      </c>
      <c r="AP916" t="s">
        <v>17090</v>
      </c>
      <c r="AQ916" t="s">
        <v>74</v>
      </c>
      <c r="AR916" t="s">
        <v>17091</v>
      </c>
      <c r="AS916" t="s">
        <v>17092</v>
      </c>
      <c r="AT916" t="s">
        <v>17093</v>
      </c>
      <c r="AU916">
        <v>2023</v>
      </c>
      <c r="AV916">
        <v>2023</v>
      </c>
      <c r="AW916" t="s">
        <v>74</v>
      </c>
      <c r="AX916" t="s">
        <v>74</v>
      </c>
      <c r="AY916" t="s">
        <v>74</v>
      </c>
      <c r="AZ916" t="s">
        <v>74</v>
      </c>
      <c r="BA916" t="s">
        <v>74</v>
      </c>
      <c r="BB916" t="s">
        <v>74</v>
      </c>
      <c r="BC916" t="s">
        <v>74</v>
      </c>
      <c r="BD916">
        <v>6916213</v>
      </c>
      <c r="BE916" t="s">
        <v>17094</v>
      </c>
      <c r="BF916" t="str">
        <f>HYPERLINK("http://dx.doi.org/10.1155/2023/6916213","http://dx.doi.org/10.1155/2023/6916213")</f>
        <v>http://dx.doi.org/10.1155/2023/6916213</v>
      </c>
      <c r="BG916" t="s">
        <v>74</v>
      </c>
      <c r="BH916" t="s">
        <v>74</v>
      </c>
      <c r="BI916">
        <v>21</v>
      </c>
      <c r="BJ916" t="s">
        <v>15918</v>
      </c>
      <c r="BK916" t="s">
        <v>98</v>
      </c>
      <c r="BL916" t="s">
        <v>2157</v>
      </c>
      <c r="BM916" t="s">
        <v>17095</v>
      </c>
      <c r="BN916" t="s">
        <v>74</v>
      </c>
      <c r="BO916" t="s">
        <v>126</v>
      </c>
      <c r="BP916" t="s">
        <v>74</v>
      </c>
      <c r="BQ916" t="s">
        <v>74</v>
      </c>
      <c r="BR916" t="s">
        <v>102</v>
      </c>
      <c r="BS916" t="s">
        <v>17096</v>
      </c>
      <c r="BT916" t="str">
        <f>HYPERLINK("https%3A%2F%2Fwww.webofscience.com%2Fwos%2Fwoscc%2Ffull-record%2FWOS:001051108000002","View Full Record in Web of Science")</f>
        <v>View Full Record in Web of Science</v>
      </c>
    </row>
    <row r="917" spans="1:72" x14ac:dyDescent="0.2">
      <c r="A917" t="s">
        <v>72</v>
      </c>
      <c r="B917" t="s">
        <v>17097</v>
      </c>
      <c r="C917" t="s">
        <v>74</v>
      </c>
      <c r="D917" t="s">
        <v>74</v>
      </c>
      <c r="E917" t="s">
        <v>74</v>
      </c>
      <c r="F917" t="s">
        <v>17098</v>
      </c>
      <c r="G917" t="s">
        <v>74</v>
      </c>
      <c r="H917" t="s">
        <v>74</v>
      </c>
      <c r="I917" t="s">
        <v>17099</v>
      </c>
      <c r="J917" t="s">
        <v>131</v>
      </c>
      <c r="K917" t="s">
        <v>74</v>
      </c>
      <c r="L917" t="s">
        <v>74</v>
      </c>
      <c r="M917" t="s">
        <v>78</v>
      </c>
      <c r="N917" t="s">
        <v>108</v>
      </c>
      <c r="O917" t="s">
        <v>74</v>
      </c>
      <c r="P917" t="s">
        <v>74</v>
      </c>
      <c r="Q917" t="s">
        <v>74</v>
      </c>
      <c r="R917" t="s">
        <v>74</v>
      </c>
      <c r="S917" t="s">
        <v>74</v>
      </c>
      <c r="T917" t="s">
        <v>17100</v>
      </c>
      <c r="U917" t="s">
        <v>17101</v>
      </c>
      <c r="V917" t="s">
        <v>17102</v>
      </c>
      <c r="W917" t="s">
        <v>17103</v>
      </c>
      <c r="X917" t="s">
        <v>17104</v>
      </c>
      <c r="Y917" t="s">
        <v>17105</v>
      </c>
      <c r="Z917" t="s">
        <v>17106</v>
      </c>
      <c r="AA917" t="s">
        <v>17107</v>
      </c>
      <c r="AB917" t="s">
        <v>17108</v>
      </c>
      <c r="AC917" t="s">
        <v>17109</v>
      </c>
      <c r="AD917" t="s">
        <v>17110</v>
      </c>
      <c r="AE917" t="s">
        <v>17111</v>
      </c>
      <c r="AF917" t="s">
        <v>74</v>
      </c>
      <c r="AG917">
        <v>88</v>
      </c>
      <c r="AH917">
        <v>2</v>
      </c>
      <c r="AI917">
        <v>1</v>
      </c>
      <c r="AJ917">
        <v>13</v>
      </c>
      <c r="AK917">
        <v>13</v>
      </c>
      <c r="AL917" t="s">
        <v>116</v>
      </c>
      <c r="AM917" t="s">
        <v>117</v>
      </c>
      <c r="AN917" t="s">
        <v>118</v>
      </c>
      <c r="AO917" t="s">
        <v>74</v>
      </c>
      <c r="AP917" t="s">
        <v>142</v>
      </c>
      <c r="AQ917" t="s">
        <v>74</v>
      </c>
      <c r="AR917" t="s">
        <v>143</v>
      </c>
      <c r="AS917" t="s">
        <v>144</v>
      </c>
      <c r="AT917" t="s">
        <v>800</v>
      </c>
      <c r="AU917">
        <v>2023</v>
      </c>
      <c r="AV917">
        <v>15</v>
      </c>
      <c r="AW917">
        <v>8</v>
      </c>
      <c r="AX917" t="s">
        <v>74</v>
      </c>
      <c r="AY917" t="s">
        <v>74</v>
      </c>
      <c r="AZ917" t="s">
        <v>74</v>
      </c>
      <c r="BA917" t="s">
        <v>74</v>
      </c>
      <c r="BB917" t="s">
        <v>74</v>
      </c>
      <c r="BC917" t="s">
        <v>74</v>
      </c>
      <c r="BD917">
        <v>6965</v>
      </c>
      <c r="BE917" t="s">
        <v>17112</v>
      </c>
      <c r="BF917" t="str">
        <f>HYPERLINK("http://dx.doi.org/10.3390/su15086965","http://dx.doi.org/10.3390/su15086965")</f>
        <v>http://dx.doi.org/10.3390/su15086965</v>
      </c>
      <c r="BG917" t="s">
        <v>74</v>
      </c>
      <c r="BH917" t="s">
        <v>74</v>
      </c>
      <c r="BI917">
        <v>29</v>
      </c>
      <c r="BJ917" t="s">
        <v>146</v>
      </c>
      <c r="BK917" t="s">
        <v>147</v>
      </c>
      <c r="BL917" t="s">
        <v>148</v>
      </c>
      <c r="BM917" t="s">
        <v>17113</v>
      </c>
      <c r="BN917" t="s">
        <v>74</v>
      </c>
      <c r="BO917" t="s">
        <v>126</v>
      </c>
      <c r="BP917" t="s">
        <v>74</v>
      </c>
      <c r="BQ917" t="s">
        <v>74</v>
      </c>
      <c r="BR917" t="s">
        <v>102</v>
      </c>
      <c r="BS917" t="s">
        <v>17114</v>
      </c>
      <c r="BT917" t="str">
        <f>HYPERLINK("https%3A%2F%2Fwww.webofscience.com%2Fwos%2Fwoscc%2Ffull-record%2FWOS:000977917700001","View Full Record in Web of Science")</f>
        <v>View Full Record in Web of Science</v>
      </c>
    </row>
    <row r="918" spans="1:72" x14ac:dyDescent="0.2">
      <c r="A918" t="s">
        <v>72</v>
      </c>
      <c r="B918" t="s">
        <v>17115</v>
      </c>
      <c r="C918" t="s">
        <v>74</v>
      </c>
      <c r="D918" t="s">
        <v>74</v>
      </c>
      <c r="E918" t="s">
        <v>74</v>
      </c>
      <c r="F918" t="s">
        <v>17116</v>
      </c>
      <c r="G918" t="s">
        <v>74</v>
      </c>
      <c r="H918" t="s">
        <v>74</v>
      </c>
      <c r="I918" t="s">
        <v>17117</v>
      </c>
      <c r="J918" t="s">
        <v>17118</v>
      </c>
      <c r="K918" t="s">
        <v>74</v>
      </c>
      <c r="L918" t="s">
        <v>74</v>
      </c>
      <c r="M918" t="s">
        <v>78</v>
      </c>
      <c r="N918" t="s">
        <v>79</v>
      </c>
      <c r="O918" t="s">
        <v>74</v>
      </c>
      <c r="P918" t="s">
        <v>74</v>
      </c>
      <c r="Q918" t="s">
        <v>74</v>
      </c>
      <c r="R918" t="s">
        <v>74</v>
      </c>
      <c r="S918" t="s">
        <v>74</v>
      </c>
      <c r="T918" t="s">
        <v>17119</v>
      </c>
      <c r="U918" t="s">
        <v>17120</v>
      </c>
      <c r="V918" t="s">
        <v>17121</v>
      </c>
      <c r="W918" t="s">
        <v>17122</v>
      </c>
      <c r="X918" t="s">
        <v>17123</v>
      </c>
      <c r="Y918" t="s">
        <v>17124</v>
      </c>
      <c r="Z918" t="s">
        <v>17125</v>
      </c>
      <c r="AA918" t="s">
        <v>17126</v>
      </c>
      <c r="AB918" t="s">
        <v>17127</v>
      </c>
      <c r="AC918" t="s">
        <v>74</v>
      </c>
      <c r="AD918" t="s">
        <v>74</v>
      </c>
      <c r="AE918" t="s">
        <v>74</v>
      </c>
      <c r="AF918" t="s">
        <v>74</v>
      </c>
      <c r="AG918">
        <v>88</v>
      </c>
      <c r="AH918">
        <v>11</v>
      </c>
      <c r="AI918">
        <v>11</v>
      </c>
      <c r="AJ918">
        <v>20</v>
      </c>
      <c r="AK918">
        <v>75</v>
      </c>
      <c r="AL918" t="s">
        <v>437</v>
      </c>
      <c r="AM918" t="s">
        <v>438</v>
      </c>
      <c r="AN918" t="s">
        <v>439</v>
      </c>
      <c r="AO918" t="s">
        <v>17128</v>
      </c>
      <c r="AP918" t="s">
        <v>17129</v>
      </c>
      <c r="AQ918" t="s">
        <v>74</v>
      </c>
      <c r="AR918" t="s">
        <v>17130</v>
      </c>
      <c r="AS918" t="s">
        <v>17131</v>
      </c>
      <c r="AT918" t="s">
        <v>12913</v>
      </c>
      <c r="AU918">
        <v>2023</v>
      </c>
      <c r="AV918">
        <v>24</v>
      </c>
      <c r="AW918">
        <v>2</v>
      </c>
      <c r="AX918" t="s">
        <v>74</v>
      </c>
      <c r="AY918" t="s">
        <v>74</v>
      </c>
      <c r="AZ918" t="s">
        <v>74</v>
      </c>
      <c r="BA918" t="s">
        <v>74</v>
      </c>
      <c r="BB918">
        <v>535</v>
      </c>
      <c r="BC918">
        <v>559</v>
      </c>
      <c r="BD918" t="s">
        <v>74</v>
      </c>
      <c r="BE918" t="s">
        <v>17132</v>
      </c>
      <c r="BF918" t="str">
        <f>HYPERLINK("http://dx.doi.org/10.1108/JIC-09-2021-0234","http://dx.doi.org/10.1108/JIC-09-2021-0234")</f>
        <v>http://dx.doi.org/10.1108/JIC-09-2021-0234</v>
      </c>
      <c r="BG918" t="s">
        <v>74</v>
      </c>
      <c r="BH918" t="s">
        <v>4060</v>
      </c>
      <c r="BI918">
        <v>25</v>
      </c>
      <c r="BJ918" t="s">
        <v>849</v>
      </c>
      <c r="BK918" t="s">
        <v>242</v>
      </c>
      <c r="BL918" t="s">
        <v>419</v>
      </c>
      <c r="BM918" t="s">
        <v>17133</v>
      </c>
      <c r="BN918" t="s">
        <v>74</v>
      </c>
      <c r="BO918" t="s">
        <v>74</v>
      </c>
      <c r="BP918" t="s">
        <v>74</v>
      </c>
      <c r="BQ918" t="s">
        <v>74</v>
      </c>
      <c r="BR918" t="s">
        <v>102</v>
      </c>
      <c r="BS918" t="s">
        <v>17134</v>
      </c>
      <c r="BT918" t="str">
        <f>HYPERLINK("https%3A%2F%2Fwww.webofscience.com%2Fwos%2Fwoscc%2Ffull-record%2FWOS:000732212200001","View Full Record in Web of Science")</f>
        <v>View Full Record in Web of Science</v>
      </c>
    </row>
    <row r="919" spans="1:72" x14ac:dyDescent="0.2">
      <c r="A919" t="s">
        <v>72</v>
      </c>
      <c r="B919" t="s">
        <v>17135</v>
      </c>
      <c r="C919" t="s">
        <v>74</v>
      </c>
      <c r="D919" t="s">
        <v>74</v>
      </c>
      <c r="E919" t="s">
        <v>74</v>
      </c>
      <c r="F919" t="s">
        <v>17136</v>
      </c>
      <c r="G919" t="s">
        <v>74</v>
      </c>
      <c r="H919" t="s">
        <v>74</v>
      </c>
      <c r="I919" t="s">
        <v>17137</v>
      </c>
      <c r="J919" t="s">
        <v>8951</v>
      </c>
      <c r="K919" t="s">
        <v>74</v>
      </c>
      <c r="L919" t="s">
        <v>74</v>
      </c>
      <c r="M919" t="s">
        <v>78</v>
      </c>
      <c r="N919" t="s">
        <v>108</v>
      </c>
      <c r="O919" t="s">
        <v>74</v>
      </c>
      <c r="P919" t="s">
        <v>74</v>
      </c>
      <c r="Q919" t="s">
        <v>74</v>
      </c>
      <c r="R919" t="s">
        <v>74</v>
      </c>
      <c r="S919" t="s">
        <v>74</v>
      </c>
      <c r="T919" t="s">
        <v>17138</v>
      </c>
      <c r="U919" t="s">
        <v>17139</v>
      </c>
      <c r="V919" t="s">
        <v>17140</v>
      </c>
      <c r="W919" t="s">
        <v>17141</v>
      </c>
      <c r="X919" t="s">
        <v>17142</v>
      </c>
      <c r="Y919" t="s">
        <v>17143</v>
      </c>
      <c r="Z919" t="s">
        <v>17144</v>
      </c>
      <c r="AA919" t="s">
        <v>74</v>
      </c>
      <c r="AB919" t="s">
        <v>17145</v>
      </c>
      <c r="AC919" t="s">
        <v>17146</v>
      </c>
      <c r="AD919" t="s">
        <v>17147</v>
      </c>
      <c r="AE919" t="s">
        <v>17148</v>
      </c>
      <c r="AF919" t="s">
        <v>74</v>
      </c>
      <c r="AG919">
        <v>47</v>
      </c>
      <c r="AH919">
        <v>15</v>
      </c>
      <c r="AI919">
        <v>15</v>
      </c>
      <c r="AJ919">
        <v>0</v>
      </c>
      <c r="AK919">
        <v>2</v>
      </c>
      <c r="AL919" t="s">
        <v>167</v>
      </c>
      <c r="AM919" t="s">
        <v>168</v>
      </c>
      <c r="AN919" t="s">
        <v>169</v>
      </c>
      <c r="AO919" t="s">
        <v>8959</v>
      </c>
      <c r="AP919" t="s">
        <v>8960</v>
      </c>
      <c r="AQ919" t="s">
        <v>74</v>
      </c>
      <c r="AR919" t="s">
        <v>8961</v>
      </c>
      <c r="AS919" t="s">
        <v>8962</v>
      </c>
      <c r="AT919" t="s">
        <v>216</v>
      </c>
      <c r="AU919">
        <v>2019</v>
      </c>
      <c r="AV919">
        <v>27</v>
      </c>
      <c r="AW919">
        <v>12</v>
      </c>
      <c r="AX919" t="s">
        <v>74</v>
      </c>
      <c r="AY919" t="s">
        <v>74</v>
      </c>
      <c r="AZ919" t="s">
        <v>74</v>
      </c>
      <c r="BA919" t="s">
        <v>74</v>
      </c>
      <c r="BB919">
        <v>2897</v>
      </c>
      <c r="BC919">
        <v>2910</v>
      </c>
      <c r="BD919" t="s">
        <v>74</v>
      </c>
      <c r="BE919" t="s">
        <v>17149</v>
      </c>
      <c r="BF919" t="str">
        <f>HYPERLINK("http://dx.doi.org/10.1109/TVLSI.2019.2933278","http://dx.doi.org/10.1109/TVLSI.2019.2933278")</f>
        <v>http://dx.doi.org/10.1109/TVLSI.2019.2933278</v>
      </c>
      <c r="BG919" t="s">
        <v>74</v>
      </c>
      <c r="BH919" t="s">
        <v>74</v>
      </c>
      <c r="BI919">
        <v>14</v>
      </c>
      <c r="BJ919" t="s">
        <v>8964</v>
      </c>
      <c r="BK919" t="s">
        <v>98</v>
      </c>
      <c r="BL919" t="s">
        <v>269</v>
      </c>
      <c r="BM919" t="s">
        <v>17150</v>
      </c>
      <c r="BN919" t="s">
        <v>74</v>
      </c>
      <c r="BO919" t="s">
        <v>702</v>
      </c>
      <c r="BP919" t="s">
        <v>74</v>
      </c>
      <c r="BQ919" t="s">
        <v>74</v>
      </c>
      <c r="BR919" t="s">
        <v>102</v>
      </c>
      <c r="BS919" t="s">
        <v>17151</v>
      </c>
      <c r="BT919" t="str">
        <f>HYPERLINK("https%3A%2F%2Fwww.webofscience.com%2Fwos%2Fwoscc%2Ffull-record%2FWOS:000508360300018","View Full Record in Web of Science")</f>
        <v>View Full Record in Web of Science</v>
      </c>
    </row>
    <row r="920" spans="1:72" x14ac:dyDescent="0.2">
      <c r="A920" t="s">
        <v>72</v>
      </c>
      <c r="B920" t="s">
        <v>17152</v>
      </c>
      <c r="C920" t="s">
        <v>74</v>
      </c>
      <c r="D920" t="s">
        <v>74</v>
      </c>
      <c r="E920" t="s">
        <v>74</v>
      </c>
      <c r="F920" t="s">
        <v>17153</v>
      </c>
      <c r="G920" t="s">
        <v>74</v>
      </c>
      <c r="H920" t="s">
        <v>74</v>
      </c>
      <c r="I920" t="s">
        <v>17154</v>
      </c>
      <c r="J920" t="s">
        <v>762</v>
      </c>
      <c r="K920" t="s">
        <v>74</v>
      </c>
      <c r="L920" t="s">
        <v>74</v>
      </c>
      <c r="M920" t="s">
        <v>78</v>
      </c>
      <c r="N920" t="s">
        <v>108</v>
      </c>
      <c r="O920" t="s">
        <v>74</v>
      </c>
      <c r="P920" t="s">
        <v>74</v>
      </c>
      <c r="Q920" t="s">
        <v>74</v>
      </c>
      <c r="R920" t="s">
        <v>74</v>
      </c>
      <c r="S920" t="s">
        <v>74</v>
      </c>
      <c r="T920" t="s">
        <v>17155</v>
      </c>
      <c r="U920" t="s">
        <v>17156</v>
      </c>
      <c r="V920" t="s">
        <v>17157</v>
      </c>
      <c r="W920" t="s">
        <v>17158</v>
      </c>
      <c r="X920" t="s">
        <v>17159</v>
      </c>
      <c r="Y920" t="s">
        <v>17160</v>
      </c>
      <c r="Z920" t="s">
        <v>17161</v>
      </c>
      <c r="AA920" t="s">
        <v>17162</v>
      </c>
      <c r="AB920" t="s">
        <v>17163</v>
      </c>
      <c r="AC920" t="s">
        <v>17164</v>
      </c>
      <c r="AD920" t="s">
        <v>15681</v>
      </c>
      <c r="AE920" t="s">
        <v>17165</v>
      </c>
      <c r="AF920" t="s">
        <v>74</v>
      </c>
      <c r="AG920">
        <v>70</v>
      </c>
      <c r="AH920">
        <v>18</v>
      </c>
      <c r="AI920">
        <v>18</v>
      </c>
      <c r="AJ920">
        <v>8</v>
      </c>
      <c r="AK920">
        <v>54</v>
      </c>
      <c r="AL920" t="s">
        <v>279</v>
      </c>
      <c r="AM920" t="s">
        <v>280</v>
      </c>
      <c r="AN920" t="s">
        <v>281</v>
      </c>
      <c r="AO920" t="s">
        <v>773</v>
      </c>
      <c r="AP920" t="s">
        <v>774</v>
      </c>
      <c r="AQ920" t="s">
        <v>74</v>
      </c>
      <c r="AR920" t="s">
        <v>775</v>
      </c>
      <c r="AS920" t="s">
        <v>776</v>
      </c>
      <c r="AT920" t="s">
        <v>3700</v>
      </c>
      <c r="AU920">
        <v>2020</v>
      </c>
      <c r="AV920">
        <v>58</v>
      </c>
      <c r="AW920">
        <v>17</v>
      </c>
      <c r="AX920" t="s">
        <v>74</v>
      </c>
      <c r="AY920" t="s">
        <v>74</v>
      </c>
      <c r="AZ920" t="s">
        <v>74</v>
      </c>
      <c r="BA920" t="s">
        <v>74</v>
      </c>
      <c r="BB920">
        <v>5359</v>
      </c>
      <c r="BC920">
        <v>5379</v>
      </c>
      <c r="BD920" t="s">
        <v>74</v>
      </c>
      <c r="BE920" t="s">
        <v>17166</v>
      </c>
      <c r="BF920" t="str">
        <f>HYPERLINK("http://dx.doi.org/10.1080/00207543.2020.1727043","http://dx.doi.org/10.1080/00207543.2020.1727043")</f>
        <v>http://dx.doi.org/10.1080/00207543.2020.1727043</v>
      </c>
      <c r="BG920" t="s">
        <v>74</v>
      </c>
      <c r="BH920" t="s">
        <v>1254</v>
      </c>
      <c r="BI920">
        <v>21</v>
      </c>
      <c r="BJ920" t="s">
        <v>780</v>
      </c>
      <c r="BK920" t="s">
        <v>147</v>
      </c>
      <c r="BL920" t="s">
        <v>781</v>
      </c>
      <c r="BM920" t="s">
        <v>17167</v>
      </c>
      <c r="BN920" t="s">
        <v>74</v>
      </c>
      <c r="BO920" t="s">
        <v>74</v>
      </c>
      <c r="BP920" t="s">
        <v>74</v>
      </c>
      <c r="BQ920" t="s">
        <v>74</v>
      </c>
      <c r="BR920" t="s">
        <v>102</v>
      </c>
      <c r="BS920" t="s">
        <v>17168</v>
      </c>
      <c r="BT920" t="str">
        <f>HYPERLINK("https%3A%2F%2Fwww.webofscience.com%2Fwos%2Fwoscc%2Ffull-record%2FWOS:000513754000001","View Full Record in Web of Science")</f>
        <v>View Full Record in Web of Science</v>
      </c>
    </row>
    <row r="921" spans="1:72" x14ac:dyDescent="0.2">
      <c r="A921" t="s">
        <v>72</v>
      </c>
      <c r="B921" t="s">
        <v>17169</v>
      </c>
      <c r="C921" t="s">
        <v>74</v>
      </c>
      <c r="D921" t="s">
        <v>74</v>
      </c>
      <c r="E921" t="s">
        <v>74</v>
      </c>
      <c r="F921" t="s">
        <v>17170</v>
      </c>
      <c r="G921" t="s">
        <v>74</v>
      </c>
      <c r="H921" t="s">
        <v>74</v>
      </c>
      <c r="I921" t="s">
        <v>17171</v>
      </c>
      <c r="J921" t="s">
        <v>17172</v>
      </c>
      <c r="K921" t="s">
        <v>74</v>
      </c>
      <c r="L921" t="s">
        <v>74</v>
      </c>
      <c r="M921" t="s">
        <v>78</v>
      </c>
      <c r="N921" t="s">
        <v>79</v>
      </c>
      <c r="O921" t="s">
        <v>74</v>
      </c>
      <c r="P921" t="s">
        <v>74</v>
      </c>
      <c r="Q921" t="s">
        <v>74</v>
      </c>
      <c r="R921" t="s">
        <v>74</v>
      </c>
      <c r="S921" t="s">
        <v>74</v>
      </c>
      <c r="T921" t="s">
        <v>74</v>
      </c>
      <c r="U921" t="s">
        <v>17173</v>
      </c>
      <c r="V921" t="s">
        <v>17174</v>
      </c>
      <c r="W921" t="s">
        <v>17175</v>
      </c>
      <c r="X921" t="s">
        <v>11182</v>
      </c>
      <c r="Y921" t="s">
        <v>17176</v>
      </c>
      <c r="Z921" t="s">
        <v>17177</v>
      </c>
      <c r="AA921" t="s">
        <v>17178</v>
      </c>
      <c r="AB921" t="s">
        <v>17179</v>
      </c>
      <c r="AC921" t="s">
        <v>74</v>
      </c>
      <c r="AD921" t="s">
        <v>74</v>
      </c>
      <c r="AE921" t="s">
        <v>74</v>
      </c>
      <c r="AF921" t="s">
        <v>74</v>
      </c>
      <c r="AG921">
        <v>127</v>
      </c>
      <c r="AH921">
        <v>79</v>
      </c>
      <c r="AI921">
        <v>80</v>
      </c>
      <c r="AJ921">
        <v>15</v>
      </c>
      <c r="AK921">
        <v>157</v>
      </c>
      <c r="AL921" t="s">
        <v>543</v>
      </c>
      <c r="AM921" t="s">
        <v>260</v>
      </c>
      <c r="AN921" t="s">
        <v>544</v>
      </c>
      <c r="AO921" t="s">
        <v>17180</v>
      </c>
      <c r="AP921" t="s">
        <v>74</v>
      </c>
      <c r="AQ921" t="s">
        <v>74</v>
      </c>
      <c r="AR921" t="s">
        <v>17181</v>
      </c>
      <c r="AS921" t="s">
        <v>17182</v>
      </c>
      <c r="AT921" t="s">
        <v>121</v>
      </c>
      <c r="AU921">
        <v>2019</v>
      </c>
      <c r="AV921">
        <v>72</v>
      </c>
      <c r="AW921" t="s">
        <v>74</v>
      </c>
      <c r="AX921" t="s">
        <v>74</v>
      </c>
      <c r="AY921" t="s">
        <v>74</v>
      </c>
      <c r="AZ921" t="s">
        <v>74</v>
      </c>
      <c r="BA921" t="s">
        <v>74</v>
      </c>
      <c r="BB921">
        <v>47</v>
      </c>
      <c r="BC921">
        <v>64</v>
      </c>
      <c r="BD921" t="s">
        <v>74</v>
      </c>
      <c r="BE921" t="s">
        <v>17183</v>
      </c>
      <c r="BF921" t="str">
        <f>HYPERLINK("http://dx.doi.org/10.1016/j.trd.2019.04.009","http://dx.doi.org/10.1016/j.trd.2019.04.009")</f>
        <v>http://dx.doi.org/10.1016/j.trd.2019.04.009</v>
      </c>
      <c r="BG921" t="s">
        <v>74</v>
      </c>
      <c r="BH921" t="s">
        <v>74</v>
      </c>
      <c r="BI921">
        <v>18</v>
      </c>
      <c r="BJ921" t="s">
        <v>17184</v>
      </c>
      <c r="BK921" t="s">
        <v>147</v>
      </c>
      <c r="BL921" t="s">
        <v>17185</v>
      </c>
      <c r="BM921" t="s">
        <v>17186</v>
      </c>
      <c r="BN921" t="s">
        <v>74</v>
      </c>
      <c r="BO921" t="s">
        <v>594</v>
      </c>
      <c r="BP921" t="s">
        <v>74</v>
      </c>
      <c r="BQ921" t="s">
        <v>74</v>
      </c>
      <c r="BR921" t="s">
        <v>102</v>
      </c>
      <c r="BS921" t="s">
        <v>17187</v>
      </c>
      <c r="BT921" t="str">
        <f>HYPERLINK("https%3A%2F%2Fwww.webofscience.com%2Fwos%2Fwoscc%2Ffull-record%2FWOS:000473373400004","View Full Record in Web of Science")</f>
        <v>View Full Record in Web of Science</v>
      </c>
    </row>
    <row r="922" spans="1:72" x14ac:dyDescent="0.2">
      <c r="A922" t="s">
        <v>72</v>
      </c>
      <c r="B922" t="s">
        <v>17188</v>
      </c>
      <c r="C922" t="s">
        <v>74</v>
      </c>
      <c r="D922" t="s">
        <v>74</v>
      </c>
      <c r="E922" t="s">
        <v>74</v>
      </c>
      <c r="F922" t="s">
        <v>17189</v>
      </c>
      <c r="G922" t="s">
        <v>74</v>
      </c>
      <c r="H922" t="s">
        <v>74</v>
      </c>
      <c r="I922" t="s">
        <v>17190</v>
      </c>
      <c r="J922" t="s">
        <v>16765</v>
      </c>
      <c r="K922" t="s">
        <v>74</v>
      </c>
      <c r="L922" t="s">
        <v>74</v>
      </c>
      <c r="M922" t="s">
        <v>78</v>
      </c>
      <c r="N922" t="s">
        <v>108</v>
      </c>
      <c r="O922" t="s">
        <v>74</v>
      </c>
      <c r="P922" t="s">
        <v>74</v>
      </c>
      <c r="Q922" t="s">
        <v>74</v>
      </c>
      <c r="R922" t="s">
        <v>74</v>
      </c>
      <c r="S922" t="s">
        <v>74</v>
      </c>
      <c r="T922" t="s">
        <v>17191</v>
      </c>
      <c r="U922" t="s">
        <v>74</v>
      </c>
      <c r="V922" t="s">
        <v>17192</v>
      </c>
      <c r="W922" t="s">
        <v>17193</v>
      </c>
      <c r="X922" t="s">
        <v>17194</v>
      </c>
      <c r="Y922" t="s">
        <v>17195</v>
      </c>
      <c r="Z922" t="s">
        <v>17196</v>
      </c>
      <c r="AA922" t="s">
        <v>17197</v>
      </c>
      <c r="AB922" t="s">
        <v>17198</v>
      </c>
      <c r="AC922" t="s">
        <v>74</v>
      </c>
      <c r="AD922" t="s">
        <v>74</v>
      </c>
      <c r="AE922" t="s">
        <v>74</v>
      </c>
      <c r="AF922" t="s">
        <v>74</v>
      </c>
      <c r="AG922">
        <v>47</v>
      </c>
      <c r="AH922">
        <v>14</v>
      </c>
      <c r="AI922">
        <v>15</v>
      </c>
      <c r="AJ922">
        <v>2</v>
      </c>
      <c r="AK922">
        <v>14</v>
      </c>
      <c r="AL922" t="s">
        <v>209</v>
      </c>
      <c r="AM922" t="s">
        <v>210</v>
      </c>
      <c r="AN922" t="s">
        <v>211</v>
      </c>
      <c r="AO922" t="s">
        <v>16778</v>
      </c>
      <c r="AP922" t="s">
        <v>16779</v>
      </c>
      <c r="AQ922" t="s">
        <v>74</v>
      </c>
      <c r="AR922" t="s">
        <v>16780</v>
      </c>
      <c r="AS922" t="s">
        <v>16781</v>
      </c>
      <c r="AT922" t="s">
        <v>616</v>
      </c>
      <c r="AU922">
        <v>2021</v>
      </c>
      <c r="AV922">
        <v>9</v>
      </c>
      <c r="AW922">
        <v>1</v>
      </c>
      <c r="AX922" t="s">
        <v>74</v>
      </c>
      <c r="AY922" t="s">
        <v>74</v>
      </c>
      <c r="AZ922" t="s">
        <v>74</v>
      </c>
      <c r="BA922" t="s">
        <v>74</v>
      </c>
      <c r="BB922">
        <v>59</v>
      </c>
      <c r="BC922">
        <v>67</v>
      </c>
      <c r="BD922" t="s">
        <v>74</v>
      </c>
      <c r="BE922" t="s">
        <v>17199</v>
      </c>
      <c r="BF922" t="str">
        <f>HYPERLINK("http://dx.doi.org/10.1016/j.cstp.2020.07.004","http://dx.doi.org/10.1016/j.cstp.2020.07.004")</f>
        <v>http://dx.doi.org/10.1016/j.cstp.2020.07.004</v>
      </c>
      <c r="BG922" t="s">
        <v>74</v>
      </c>
      <c r="BH922" t="s">
        <v>2101</v>
      </c>
      <c r="BI922">
        <v>9</v>
      </c>
      <c r="BJ922" t="s">
        <v>219</v>
      </c>
      <c r="BK922" t="s">
        <v>124</v>
      </c>
      <c r="BL922" t="s">
        <v>219</v>
      </c>
      <c r="BM922" t="s">
        <v>17200</v>
      </c>
      <c r="BN922" t="s">
        <v>74</v>
      </c>
      <c r="BO922" t="s">
        <v>74</v>
      </c>
      <c r="BP922" t="s">
        <v>74</v>
      </c>
      <c r="BQ922" t="s">
        <v>74</v>
      </c>
      <c r="BR922" t="s">
        <v>102</v>
      </c>
      <c r="BS922" t="s">
        <v>17201</v>
      </c>
      <c r="BT922" t="str">
        <f>HYPERLINK("https%3A%2F%2Fwww.webofscience.com%2Fwos%2Fwoscc%2Ffull-record%2FWOS:000621467400006","View Full Record in Web of Science")</f>
        <v>View Full Record in Web of Science</v>
      </c>
    </row>
    <row r="923" spans="1:72" x14ac:dyDescent="0.2">
      <c r="A923" t="s">
        <v>72</v>
      </c>
      <c r="B923" t="s">
        <v>17202</v>
      </c>
      <c r="C923" t="s">
        <v>74</v>
      </c>
      <c r="D923" t="s">
        <v>74</v>
      </c>
      <c r="E923" t="s">
        <v>74</v>
      </c>
      <c r="F923" t="s">
        <v>17203</v>
      </c>
      <c r="G923" t="s">
        <v>74</v>
      </c>
      <c r="H923" t="s">
        <v>74</v>
      </c>
      <c r="I923" t="s">
        <v>17204</v>
      </c>
      <c r="J923" t="s">
        <v>916</v>
      </c>
      <c r="K923" t="s">
        <v>74</v>
      </c>
      <c r="L923" t="s">
        <v>74</v>
      </c>
      <c r="M923" t="s">
        <v>78</v>
      </c>
      <c r="N923" t="s">
        <v>108</v>
      </c>
      <c r="O923" t="s">
        <v>74</v>
      </c>
      <c r="P923" t="s">
        <v>74</v>
      </c>
      <c r="Q923" t="s">
        <v>74</v>
      </c>
      <c r="R923" t="s">
        <v>74</v>
      </c>
      <c r="S923" t="s">
        <v>74</v>
      </c>
      <c r="T923" t="s">
        <v>17205</v>
      </c>
      <c r="U923" t="s">
        <v>17206</v>
      </c>
      <c r="V923" t="s">
        <v>17207</v>
      </c>
      <c r="W923" t="s">
        <v>17208</v>
      </c>
      <c r="X923" t="s">
        <v>17209</v>
      </c>
      <c r="Y923" t="s">
        <v>17210</v>
      </c>
      <c r="Z923" t="s">
        <v>17211</v>
      </c>
      <c r="AA923" t="s">
        <v>17212</v>
      </c>
      <c r="AB923" t="s">
        <v>17213</v>
      </c>
      <c r="AC923" t="s">
        <v>17214</v>
      </c>
      <c r="AD923" t="s">
        <v>17214</v>
      </c>
      <c r="AE923" t="s">
        <v>17215</v>
      </c>
      <c r="AF923" t="s">
        <v>74</v>
      </c>
      <c r="AG923">
        <v>62</v>
      </c>
      <c r="AH923">
        <v>16</v>
      </c>
      <c r="AI923">
        <v>16</v>
      </c>
      <c r="AJ923">
        <v>7</v>
      </c>
      <c r="AK923">
        <v>78</v>
      </c>
      <c r="AL923" t="s">
        <v>437</v>
      </c>
      <c r="AM923" t="s">
        <v>438</v>
      </c>
      <c r="AN923" t="s">
        <v>439</v>
      </c>
      <c r="AO923" t="s">
        <v>924</v>
      </c>
      <c r="AP923" t="s">
        <v>925</v>
      </c>
      <c r="AQ923" t="s">
        <v>74</v>
      </c>
      <c r="AR923" t="s">
        <v>926</v>
      </c>
      <c r="AS923" t="s">
        <v>927</v>
      </c>
      <c r="AT923" t="s">
        <v>17216</v>
      </c>
      <c r="AU923">
        <v>2021</v>
      </c>
      <c r="AV923">
        <v>36</v>
      </c>
      <c r="AW923">
        <v>12</v>
      </c>
      <c r="AX923" t="s">
        <v>74</v>
      </c>
      <c r="AY923" t="s">
        <v>74</v>
      </c>
      <c r="AZ923" t="s">
        <v>74</v>
      </c>
      <c r="BA923" t="s">
        <v>74</v>
      </c>
      <c r="BB923">
        <v>2113</v>
      </c>
      <c r="BC923">
        <v>2125</v>
      </c>
      <c r="BD923" t="s">
        <v>74</v>
      </c>
      <c r="BE923" t="s">
        <v>17217</v>
      </c>
      <c r="BF923" t="str">
        <f>HYPERLINK("http://dx.doi.org/10.1108/JBIM-05-2019-0236","http://dx.doi.org/10.1108/JBIM-05-2019-0236")</f>
        <v>http://dx.doi.org/10.1108/JBIM-05-2019-0236</v>
      </c>
      <c r="BG923" t="s">
        <v>74</v>
      </c>
      <c r="BH923" t="s">
        <v>1254</v>
      </c>
      <c r="BI923">
        <v>13</v>
      </c>
      <c r="BJ923" t="s">
        <v>931</v>
      </c>
      <c r="BK923" t="s">
        <v>242</v>
      </c>
      <c r="BL923" t="s">
        <v>419</v>
      </c>
      <c r="BM923" t="s">
        <v>17218</v>
      </c>
      <c r="BN923" t="s">
        <v>74</v>
      </c>
      <c r="BO923" t="s">
        <v>74</v>
      </c>
      <c r="BP923" t="s">
        <v>74</v>
      </c>
      <c r="BQ923" t="s">
        <v>74</v>
      </c>
      <c r="BR923" t="s">
        <v>102</v>
      </c>
      <c r="BS923" t="s">
        <v>17219</v>
      </c>
      <c r="BT923" t="str">
        <f>HYPERLINK("https%3A%2F%2Fwww.webofscience.com%2Fwos%2Fwoscc%2Ffull-record%2FWOS:000513592800001","View Full Record in Web of Science")</f>
        <v>View Full Record in Web of Science</v>
      </c>
    </row>
    <row r="924" spans="1:72" x14ac:dyDescent="0.2">
      <c r="A924" t="s">
        <v>72</v>
      </c>
      <c r="B924" t="s">
        <v>17220</v>
      </c>
      <c r="C924" t="s">
        <v>74</v>
      </c>
      <c r="D924" t="s">
        <v>74</v>
      </c>
      <c r="E924" t="s">
        <v>74</v>
      </c>
      <c r="F924" t="s">
        <v>17221</v>
      </c>
      <c r="G924" t="s">
        <v>74</v>
      </c>
      <c r="H924" t="s">
        <v>74</v>
      </c>
      <c r="I924" t="s">
        <v>17222</v>
      </c>
      <c r="J924" t="s">
        <v>17223</v>
      </c>
      <c r="K924" t="s">
        <v>74</v>
      </c>
      <c r="L924" t="s">
        <v>74</v>
      </c>
      <c r="M924" t="s">
        <v>78</v>
      </c>
      <c r="N924" t="s">
        <v>108</v>
      </c>
      <c r="O924" t="s">
        <v>74</v>
      </c>
      <c r="P924" t="s">
        <v>74</v>
      </c>
      <c r="Q924" t="s">
        <v>74</v>
      </c>
      <c r="R924" t="s">
        <v>74</v>
      </c>
      <c r="S924" t="s">
        <v>74</v>
      </c>
      <c r="T924" t="s">
        <v>17224</v>
      </c>
      <c r="U924" t="s">
        <v>17225</v>
      </c>
      <c r="V924" t="s">
        <v>17226</v>
      </c>
      <c r="W924" t="s">
        <v>17227</v>
      </c>
      <c r="X924" t="s">
        <v>17228</v>
      </c>
      <c r="Y924" t="s">
        <v>17229</v>
      </c>
      <c r="Z924" t="s">
        <v>17230</v>
      </c>
      <c r="AA924" t="s">
        <v>17231</v>
      </c>
      <c r="AB924" t="s">
        <v>17232</v>
      </c>
      <c r="AC924" t="s">
        <v>17233</v>
      </c>
      <c r="AD924" t="s">
        <v>17234</v>
      </c>
      <c r="AE924" t="s">
        <v>17235</v>
      </c>
      <c r="AF924" t="s">
        <v>74</v>
      </c>
      <c r="AG924">
        <v>39</v>
      </c>
      <c r="AH924">
        <v>31</v>
      </c>
      <c r="AI924">
        <v>31</v>
      </c>
      <c r="AJ924">
        <v>6</v>
      </c>
      <c r="AK924">
        <v>62</v>
      </c>
      <c r="AL924" t="s">
        <v>17236</v>
      </c>
      <c r="AM924" t="s">
        <v>17237</v>
      </c>
      <c r="AN924" t="s">
        <v>17238</v>
      </c>
      <c r="AO924" t="s">
        <v>17239</v>
      </c>
      <c r="AP924" t="s">
        <v>17240</v>
      </c>
      <c r="AQ924" t="s">
        <v>74</v>
      </c>
      <c r="AR924" t="s">
        <v>17241</v>
      </c>
      <c r="AS924" t="s">
        <v>17242</v>
      </c>
      <c r="AT924" t="s">
        <v>616</v>
      </c>
      <c r="AU924">
        <v>2017</v>
      </c>
      <c r="AV924">
        <v>31</v>
      </c>
      <c r="AW924">
        <v>2</v>
      </c>
      <c r="AX924" t="s">
        <v>74</v>
      </c>
      <c r="AY924" t="s">
        <v>74</v>
      </c>
      <c r="AZ924" t="s">
        <v>74</v>
      </c>
      <c r="BA924" t="s">
        <v>74</v>
      </c>
      <c r="BB924" t="s">
        <v>74</v>
      </c>
      <c r="BC924" t="s">
        <v>74</v>
      </c>
      <c r="BD924">
        <v>4016058</v>
      </c>
      <c r="BE924" t="s">
        <v>17243</v>
      </c>
      <c r="BF924" t="str">
        <f>HYPERLINK("http://dx.doi.org/10.1061/(ASCE)CP.1943-5487.0000628","http://dx.doi.org/10.1061/(ASCE)CP.1943-5487.0000628")</f>
        <v>http://dx.doi.org/10.1061/(ASCE)CP.1943-5487.0000628</v>
      </c>
      <c r="BG924" t="s">
        <v>74</v>
      </c>
      <c r="BH924" t="s">
        <v>74</v>
      </c>
      <c r="BI924">
        <v>12</v>
      </c>
      <c r="BJ924" t="s">
        <v>17244</v>
      </c>
      <c r="BK924" t="s">
        <v>98</v>
      </c>
      <c r="BL924" t="s">
        <v>269</v>
      </c>
      <c r="BM924" t="s">
        <v>17245</v>
      </c>
      <c r="BN924" t="s">
        <v>74</v>
      </c>
      <c r="BO924" t="s">
        <v>74</v>
      </c>
      <c r="BP924" t="s">
        <v>74</v>
      </c>
      <c r="BQ924" t="s">
        <v>74</v>
      </c>
      <c r="BR924" t="s">
        <v>102</v>
      </c>
      <c r="BS924" t="s">
        <v>17246</v>
      </c>
      <c r="BT924" t="str">
        <f>HYPERLINK("https%3A%2F%2Fwww.webofscience.com%2Fwos%2Fwoscc%2Ffull-record%2FWOS:000395521200012","View Full Record in Web of Science")</f>
        <v>View Full Record in Web of Science</v>
      </c>
    </row>
    <row r="925" spans="1:72" x14ac:dyDescent="0.2">
      <c r="A925" t="s">
        <v>72</v>
      </c>
      <c r="B925" t="s">
        <v>17247</v>
      </c>
      <c r="C925" t="s">
        <v>74</v>
      </c>
      <c r="D925" t="s">
        <v>74</v>
      </c>
      <c r="E925" t="s">
        <v>74</v>
      </c>
      <c r="F925" t="s">
        <v>17248</v>
      </c>
      <c r="G925" t="s">
        <v>74</v>
      </c>
      <c r="H925" t="s">
        <v>74</v>
      </c>
      <c r="I925" t="s">
        <v>17249</v>
      </c>
      <c r="J925" t="s">
        <v>15578</v>
      </c>
      <c r="K925" t="s">
        <v>74</v>
      </c>
      <c r="L925" t="s">
        <v>74</v>
      </c>
      <c r="M925" t="s">
        <v>78</v>
      </c>
      <c r="N925" t="s">
        <v>108</v>
      </c>
      <c r="O925" t="s">
        <v>74</v>
      </c>
      <c r="P925" t="s">
        <v>74</v>
      </c>
      <c r="Q925" t="s">
        <v>74</v>
      </c>
      <c r="R925" t="s">
        <v>74</v>
      </c>
      <c r="S925" t="s">
        <v>74</v>
      </c>
      <c r="T925" t="s">
        <v>17250</v>
      </c>
      <c r="U925" t="s">
        <v>17251</v>
      </c>
      <c r="V925" t="s">
        <v>17252</v>
      </c>
      <c r="W925" t="s">
        <v>17253</v>
      </c>
      <c r="X925" t="s">
        <v>17254</v>
      </c>
      <c r="Y925" t="s">
        <v>17255</v>
      </c>
      <c r="Z925" t="s">
        <v>17256</v>
      </c>
      <c r="AA925" t="s">
        <v>17257</v>
      </c>
      <c r="AB925" t="s">
        <v>17258</v>
      </c>
      <c r="AC925" t="s">
        <v>74</v>
      </c>
      <c r="AD925" t="s">
        <v>74</v>
      </c>
      <c r="AE925" t="s">
        <v>74</v>
      </c>
      <c r="AF925" t="s">
        <v>74</v>
      </c>
      <c r="AG925">
        <v>63</v>
      </c>
      <c r="AH925">
        <v>26</v>
      </c>
      <c r="AI925">
        <v>26</v>
      </c>
      <c r="AJ925">
        <v>4</v>
      </c>
      <c r="AK925">
        <v>61</v>
      </c>
      <c r="AL925" t="s">
        <v>209</v>
      </c>
      <c r="AM925" t="s">
        <v>210</v>
      </c>
      <c r="AN925" t="s">
        <v>211</v>
      </c>
      <c r="AO925" t="s">
        <v>15589</v>
      </c>
      <c r="AP925" t="s">
        <v>15590</v>
      </c>
      <c r="AQ925" t="s">
        <v>74</v>
      </c>
      <c r="AR925" t="s">
        <v>15591</v>
      </c>
      <c r="AS925" t="s">
        <v>15592</v>
      </c>
      <c r="AT925" t="s">
        <v>194</v>
      </c>
      <c r="AU925">
        <v>2020</v>
      </c>
      <c r="AV925">
        <v>62</v>
      </c>
      <c r="AW925" t="s">
        <v>74</v>
      </c>
      <c r="AX925" t="s">
        <v>74</v>
      </c>
      <c r="AY925" t="s">
        <v>74</v>
      </c>
      <c r="AZ925" t="s">
        <v>74</v>
      </c>
      <c r="BA925" t="s">
        <v>74</v>
      </c>
      <c r="BB925" t="s">
        <v>74</v>
      </c>
      <c r="BC925" t="s">
        <v>74</v>
      </c>
      <c r="BD925">
        <v>102383</v>
      </c>
      <c r="BE925" t="s">
        <v>17259</v>
      </c>
      <c r="BF925" t="str">
        <f>HYPERLINK("http://dx.doi.org/10.1016/j.scs.2020.102383","http://dx.doi.org/10.1016/j.scs.2020.102383")</f>
        <v>http://dx.doi.org/10.1016/j.scs.2020.102383</v>
      </c>
      <c r="BG925" t="s">
        <v>74</v>
      </c>
      <c r="BH925" t="s">
        <v>74</v>
      </c>
      <c r="BI925">
        <v>17</v>
      </c>
      <c r="BJ925" t="s">
        <v>15594</v>
      </c>
      <c r="BK925" t="s">
        <v>147</v>
      </c>
      <c r="BL925" t="s">
        <v>15595</v>
      </c>
      <c r="BM925" t="s">
        <v>17260</v>
      </c>
      <c r="BN925" t="s">
        <v>74</v>
      </c>
      <c r="BO925" t="s">
        <v>74</v>
      </c>
      <c r="BP925" t="s">
        <v>74</v>
      </c>
      <c r="BQ925" t="s">
        <v>74</v>
      </c>
      <c r="BR925" t="s">
        <v>102</v>
      </c>
      <c r="BS925" t="s">
        <v>17261</v>
      </c>
      <c r="BT925" t="str">
        <f>HYPERLINK("https%3A%2F%2Fwww.webofscience.com%2Fwos%2Fwoscc%2Ffull-record%2FWOS:000573594600010","View Full Record in Web of Science")</f>
        <v>View Full Record in Web of Science</v>
      </c>
    </row>
    <row r="926" spans="1:72" x14ac:dyDescent="0.2">
      <c r="A926" t="s">
        <v>72</v>
      </c>
      <c r="B926" t="s">
        <v>17262</v>
      </c>
      <c r="C926" t="s">
        <v>74</v>
      </c>
      <c r="D926" t="s">
        <v>74</v>
      </c>
      <c r="E926" t="s">
        <v>74</v>
      </c>
      <c r="F926" t="s">
        <v>17263</v>
      </c>
      <c r="G926" t="s">
        <v>74</v>
      </c>
      <c r="H926" t="s">
        <v>74</v>
      </c>
      <c r="I926" t="s">
        <v>17264</v>
      </c>
      <c r="J926" t="s">
        <v>976</v>
      </c>
      <c r="K926" t="s">
        <v>74</v>
      </c>
      <c r="L926" t="s">
        <v>74</v>
      </c>
      <c r="M926" t="s">
        <v>78</v>
      </c>
      <c r="N926" t="s">
        <v>79</v>
      </c>
      <c r="O926" t="s">
        <v>74</v>
      </c>
      <c r="P926" t="s">
        <v>74</v>
      </c>
      <c r="Q926" t="s">
        <v>74</v>
      </c>
      <c r="R926" t="s">
        <v>74</v>
      </c>
      <c r="S926" t="s">
        <v>74</v>
      </c>
      <c r="T926" t="s">
        <v>17265</v>
      </c>
      <c r="U926" t="s">
        <v>17266</v>
      </c>
      <c r="V926" t="s">
        <v>17267</v>
      </c>
      <c r="W926" t="s">
        <v>17268</v>
      </c>
      <c r="X926" t="s">
        <v>17269</v>
      </c>
      <c r="Y926" t="s">
        <v>17270</v>
      </c>
      <c r="Z926" t="s">
        <v>17271</v>
      </c>
      <c r="AA926" t="s">
        <v>17272</v>
      </c>
      <c r="AB926" t="s">
        <v>17273</v>
      </c>
      <c r="AC926" t="s">
        <v>17274</v>
      </c>
      <c r="AD926" t="s">
        <v>17275</v>
      </c>
      <c r="AE926" t="s">
        <v>17276</v>
      </c>
      <c r="AF926" t="s">
        <v>74</v>
      </c>
      <c r="AG926">
        <v>53</v>
      </c>
      <c r="AH926">
        <v>43</v>
      </c>
      <c r="AI926">
        <v>43</v>
      </c>
      <c r="AJ926">
        <v>22</v>
      </c>
      <c r="AK926">
        <v>221</v>
      </c>
      <c r="AL926" t="s">
        <v>259</v>
      </c>
      <c r="AM926" t="s">
        <v>260</v>
      </c>
      <c r="AN926" t="s">
        <v>261</v>
      </c>
      <c r="AO926" t="s">
        <v>989</v>
      </c>
      <c r="AP926" t="s">
        <v>990</v>
      </c>
      <c r="AQ926" t="s">
        <v>74</v>
      </c>
      <c r="AR926" t="s">
        <v>991</v>
      </c>
      <c r="AS926" t="s">
        <v>992</v>
      </c>
      <c r="AT926" t="s">
        <v>5170</v>
      </c>
      <c r="AU926">
        <v>2019</v>
      </c>
      <c r="AV926">
        <v>233</v>
      </c>
      <c r="AW926" t="s">
        <v>74</v>
      </c>
      <c r="AX926" t="s">
        <v>74</v>
      </c>
      <c r="AY926" t="s">
        <v>74</v>
      </c>
      <c r="AZ926" t="s">
        <v>74</v>
      </c>
      <c r="BA926" t="s">
        <v>74</v>
      </c>
      <c r="BB926">
        <v>84</v>
      </c>
      <c r="BC926">
        <v>99</v>
      </c>
      <c r="BD926" t="s">
        <v>74</v>
      </c>
      <c r="BE926" t="s">
        <v>17277</v>
      </c>
      <c r="BF926" t="str">
        <f>HYPERLINK("http://dx.doi.org/10.1016/j.jclepro.2019.05.303","http://dx.doi.org/10.1016/j.jclepro.2019.05.303")</f>
        <v>http://dx.doi.org/10.1016/j.jclepro.2019.05.303</v>
      </c>
      <c r="BG926" t="s">
        <v>74</v>
      </c>
      <c r="BH926" t="s">
        <v>74</v>
      </c>
      <c r="BI926">
        <v>16</v>
      </c>
      <c r="BJ926" t="s">
        <v>995</v>
      </c>
      <c r="BK926" t="s">
        <v>147</v>
      </c>
      <c r="BL926" t="s">
        <v>996</v>
      </c>
      <c r="BM926" t="s">
        <v>17278</v>
      </c>
      <c r="BN926" t="s">
        <v>74</v>
      </c>
      <c r="BO926" t="s">
        <v>74</v>
      </c>
      <c r="BP926" t="s">
        <v>74</v>
      </c>
      <c r="BQ926" t="s">
        <v>74</v>
      </c>
      <c r="BR926" t="s">
        <v>102</v>
      </c>
      <c r="BS926" t="s">
        <v>17279</v>
      </c>
      <c r="BT926" t="str">
        <f>HYPERLINK("https%3A%2F%2Fwww.webofscience.com%2Fwos%2Fwoscc%2Ffull-record%2FWOS:000479025500008","View Full Record in Web of Science")</f>
        <v>View Full Record in Web of Science</v>
      </c>
    </row>
    <row r="927" spans="1:72" x14ac:dyDescent="0.2">
      <c r="A927" t="s">
        <v>72</v>
      </c>
      <c r="B927" t="s">
        <v>17280</v>
      </c>
      <c r="C927" t="s">
        <v>74</v>
      </c>
      <c r="D927" t="s">
        <v>74</v>
      </c>
      <c r="E927" t="s">
        <v>74</v>
      </c>
      <c r="F927" t="s">
        <v>17281</v>
      </c>
      <c r="G927" t="s">
        <v>74</v>
      </c>
      <c r="H927" t="s">
        <v>74</v>
      </c>
      <c r="I927" t="s">
        <v>17282</v>
      </c>
      <c r="J927" t="s">
        <v>976</v>
      </c>
      <c r="K927" t="s">
        <v>74</v>
      </c>
      <c r="L927" t="s">
        <v>74</v>
      </c>
      <c r="M927" t="s">
        <v>78</v>
      </c>
      <c r="N927" t="s">
        <v>79</v>
      </c>
      <c r="O927" t="s">
        <v>74</v>
      </c>
      <c r="P927" t="s">
        <v>74</v>
      </c>
      <c r="Q927" t="s">
        <v>74</v>
      </c>
      <c r="R927" t="s">
        <v>74</v>
      </c>
      <c r="S927" t="s">
        <v>74</v>
      </c>
      <c r="T927" t="s">
        <v>17283</v>
      </c>
      <c r="U927" t="s">
        <v>17284</v>
      </c>
      <c r="V927" t="s">
        <v>17285</v>
      </c>
      <c r="W927" t="s">
        <v>17286</v>
      </c>
      <c r="X927" t="s">
        <v>17287</v>
      </c>
      <c r="Y927" t="s">
        <v>17288</v>
      </c>
      <c r="Z927" t="s">
        <v>17289</v>
      </c>
      <c r="AA927" t="s">
        <v>17290</v>
      </c>
      <c r="AB927" t="s">
        <v>17291</v>
      </c>
      <c r="AC927" t="s">
        <v>74</v>
      </c>
      <c r="AD927" t="s">
        <v>74</v>
      </c>
      <c r="AE927" t="s">
        <v>74</v>
      </c>
      <c r="AF927" t="s">
        <v>74</v>
      </c>
      <c r="AG927">
        <v>180</v>
      </c>
      <c r="AH927">
        <v>135</v>
      </c>
      <c r="AI927">
        <v>136</v>
      </c>
      <c r="AJ927">
        <v>117</v>
      </c>
      <c r="AK927">
        <v>657</v>
      </c>
      <c r="AL927" t="s">
        <v>259</v>
      </c>
      <c r="AM927" t="s">
        <v>260</v>
      </c>
      <c r="AN927" t="s">
        <v>261</v>
      </c>
      <c r="AO927" t="s">
        <v>989</v>
      </c>
      <c r="AP927" t="s">
        <v>990</v>
      </c>
      <c r="AQ927" t="s">
        <v>74</v>
      </c>
      <c r="AR927" t="s">
        <v>991</v>
      </c>
      <c r="AS927" t="s">
        <v>992</v>
      </c>
      <c r="AT927" t="s">
        <v>1074</v>
      </c>
      <c r="AU927">
        <v>2021</v>
      </c>
      <c r="AV927">
        <v>279</v>
      </c>
      <c r="AW927" t="s">
        <v>74</v>
      </c>
      <c r="AX927" t="s">
        <v>74</v>
      </c>
      <c r="AY927" t="s">
        <v>74</v>
      </c>
      <c r="AZ927" t="s">
        <v>74</v>
      </c>
      <c r="BA927" t="s">
        <v>74</v>
      </c>
      <c r="BB927" t="s">
        <v>74</v>
      </c>
      <c r="BC927" t="s">
        <v>74</v>
      </c>
      <c r="BD927">
        <v>122474</v>
      </c>
      <c r="BE927" t="s">
        <v>17292</v>
      </c>
      <c r="BF927" t="str">
        <f>HYPERLINK("http://dx.doi.org/10.1016/j.jclepro.2020.122474","http://dx.doi.org/10.1016/j.jclepro.2020.122474")</f>
        <v>http://dx.doi.org/10.1016/j.jclepro.2020.122474</v>
      </c>
      <c r="BG927" t="s">
        <v>74</v>
      </c>
      <c r="BH927" t="s">
        <v>74</v>
      </c>
      <c r="BI927">
        <v>22</v>
      </c>
      <c r="BJ927" t="s">
        <v>995</v>
      </c>
      <c r="BK927" t="s">
        <v>147</v>
      </c>
      <c r="BL927" t="s">
        <v>996</v>
      </c>
      <c r="BM927" t="s">
        <v>17293</v>
      </c>
      <c r="BN927" t="s">
        <v>74</v>
      </c>
      <c r="BO927" t="s">
        <v>74</v>
      </c>
      <c r="BP927" t="s">
        <v>2105</v>
      </c>
      <c r="BQ927" t="s">
        <v>2106</v>
      </c>
      <c r="BR927" t="s">
        <v>102</v>
      </c>
      <c r="BS927" t="s">
        <v>17294</v>
      </c>
      <c r="BT927" t="str">
        <f>HYPERLINK("https%3A%2F%2Fwww.webofscience.com%2Fwos%2Fwoscc%2Ffull-record%2FWOS:000595933500006","View Full Record in Web of Science")</f>
        <v>View Full Record in Web of Science</v>
      </c>
    </row>
    <row r="928" spans="1:72" x14ac:dyDescent="0.2">
      <c r="A928" t="s">
        <v>72</v>
      </c>
      <c r="B928" t="s">
        <v>17295</v>
      </c>
      <c r="C928" t="s">
        <v>74</v>
      </c>
      <c r="D928" t="s">
        <v>74</v>
      </c>
      <c r="E928" t="s">
        <v>74</v>
      </c>
      <c r="F928" t="s">
        <v>17296</v>
      </c>
      <c r="G928" t="s">
        <v>74</v>
      </c>
      <c r="H928" t="s">
        <v>74</v>
      </c>
      <c r="I928" t="s">
        <v>17297</v>
      </c>
      <c r="J928" t="s">
        <v>1600</v>
      </c>
      <c r="K928" t="s">
        <v>74</v>
      </c>
      <c r="L928" t="s">
        <v>74</v>
      </c>
      <c r="M928" t="s">
        <v>78</v>
      </c>
      <c r="N928" t="s">
        <v>108</v>
      </c>
      <c r="O928" t="s">
        <v>74</v>
      </c>
      <c r="P928" t="s">
        <v>74</v>
      </c>
      <c r="Q928" t="s">
        <v>74</v>
      </c>
      <c r="R928" t="s">
        <v>74</v>
      </c>
      <c r="S928" t="s">
        <v>74</v>
      </c>
      <c r="T928" t="s">
        <v>17298</v>
      </c>
      <c r="U928" t="s">
        <v>74</v>
      </c>
      <c r="V928" t="s">
        <v>17299</v>
      </c>
      <c r="W928" t="s">
        <v>17300</v>
      </c>
      <c r="X928" t="s">
        <v>17301</v>
      </c>
      <c r="Y928" t="s">
        <v>17302</v>
      </c>
      <c r="Z928" t="s">
        <v>17303</v>
      </c>
      <c r="AA928" t="s">
        <v>74</v>
      </c>
      <c r="AB928" t="s">
        <v>17304</v>
      </c>
      <c r="AC928" t="s">
        <v>17305</v>
      </c>
      <c r="AD928" t="s">
        <v>17306</v>
      </c>
      <c r="AE928" t="s">
        <v>17307</v>
      </c>
      <c r="AF928" t="s">
        <v>74</v>
      </c>
      <c r="AG928">
        <v>66</v>
      </c>
      <c r="AH928">
        <v>0</v>
      </c>
      <c r="AI928">
        <v>0</v>
      </c>
      <c r="AJ928">
        <v>5</v>
      </c>
      <c r="AK928">
        <v>5</v>
      </c>
      <c r="AL928" t="s">
        <v>116</v>
      </c>
      <c r="AM928" t="s">
        <v>117</v>
      </c>
      <c r="AN928" t="s">
        <v>118</v>
      </c>
      <c r="AO928" t="s">
        <v>74</v>
      </c>
      <c r="AP928" t="s">
        <v>1609</v>
      </c>
      <c r="AQ928" t="s">
        <v>74</v>
      </c>
      <c r="AR928" t="s">
        <v>1610</v>
      </c>
      <c r="AS928" t="s">
        <v>1611</v>
      </c>
      <c r="AT928" t="s">
        <v>239</v>
      </c>
      <c r="AU928">
        <v>2023</v>
      </c>
      <c r="AV928">
        <v>11</v>
      </c>
      <c r="AW928">
        <v>16</v>
      </c>
      <c r="AX928" t="s">
        <v>74</v>
      </c>
      <c r="AY928" t="s">
        <v>74</v>
      </c>
      <c r="AZ928" t="s">
        <v>74</v>
      </c>
      <c r="BA928" t="s">
        <v>74</v>
      </c>
      <c r="BB928" t="s">
        <v>74</v>
      </c>
      <c r="BC928" t="s">
        <v>74</v>
      </c>
      <c r="BD928">
        <v>3615</v>
      </c>
      <c r="BE928" t="s">
        <v>17308</v>
      </c>
      <c r="BF928" t="str">
        <f>HYPERLINK("http://dx.doi.org/10.3390/math11163615","http://dx.doi.org/10.3390/math11163615")</f>
        <v>http://dx.doi.org/10.3390/math11163615</v>
      </c>
      <c r="BG928" t="s">
        <v>74</v>
      </c>
      <c r="BH928" t="s">
        <v>74</v>
      </c>
      <c r="BI928">
        <v>20</v>
      </c>
      <c r="BJ928" t="s">
        <v>1611</v>
      </c>
      <c r="BK928" t="s">
        <v>98</v>
      </c>
      <c r="BL928" t="s">
        <v>1611</v>
      </c>
      <c r="BM928" t="s">
        <v>17309</v>
      </c>
      <c r="BN928" t="s">
        <v>74</v>
      </c>
      <c r="BO928" t="s">
        <v>126</v>
      </c>
      <c r="BP928" t="s">
        <v>74</v>
      </c>
      <c r="BQ928" t="s">
        <v>74</v>
      </c>
      <c r="BR928" t="s">
        <v>102</v>
      </c>
      <c r="BS928" t="s">
        <v>17310</v>
      </c>
      <c r="BT928" t="str">
        <f>HYPERLINK("https%3A%2F%2Fwww.webofscience.com%2Fwos%2Fwoscc%2Ffull-record%2FWOS:001056421700001","View Full Record in Web of Science")</f>
        <v>View Full Record in Web of Science</v>
      </c>
    </row>
    <row r="929" spans="1:72" x14ac:dyDescent="0.2">
      <c r="A929" t="s">
        <v>72</v>
      </c>
      <c r="B929" t="s">
        <v>17311</v>
      </c>
      <c r="C929" t="s">
        <v>74</v>
      </c>
      <c r="D929" t="s">
        <v>74</v>
      </c>
      <c r="E929" t="s">
        <v>74</v>
      </c>
      <c r="F929" t="s">
        <v>17312</v>
      </c>
      <c r="G929" t="s">
        <v>74</v>
      </c>
      <c r="H929" t="s">
        <v>74</v>
      </c>
      <c r="I929" t="s">
        <v>17313</v>
      </c>
      <c r="J929" t="s">
        <v>17314</v>
      </c>
      <c r="K929" t="s">
        <v>74</v>
      </c>
      <c r="L929" t="s">
        <v>74</v>
      </c>
      <c r="M929" t="s">
        <v>78</v>
      </c>
      <c r="N929" t="s">
        <v>108</v>
      </c>
      <c r="O929" t="s">
        <v>74</v>
      </c>
      <c r="P929" t="s">
        <v>74</v>
      </c>
      <c r="Q929" t="s">
        <v>74</v>
      </c>
      <c r="R929" t="s">
        <v>74</v>
      </c>
      <c r="S929" t="s">
        <v>74</v>
      </c>
      <c r="T929" t="s">
        <v>17315</v>
      </c>
      <c r="U929" t="s">
        <v>17316</v>
      </c>
      <c r="V929" t="s">
        <v>17317</v>
      </c>
      <c r="W929" t="s">
        <v>17318</v>
      </c>
      <c r="X929" t="s">
        <v>17319</v>
      </c>
      <c r="Y929" t="s">
        <v>17320</v>
      </c>
      <c r="Z929" t="s">
        <v>17321</v>
      </c>
      <c r="AA929" t="s">
        <v>17322</v>
      </c>
      <c r="AB929" t="s">
        <v>17323</v>
      </c>
      <c r="AC929" t="s">
        <v>74</v>
      </c>
      <c r="AD929" t="s">
        <v>74</v>
      </c>
      <c r="AE929" t="s">
        <v>74</v>
      </c>
      <c r="AF929" t="s">
        <v>74</v>
      </c>
      <c r="AG929">
        <v>70</v>
      </c>
      <c r="AH929">
        <v>2</v>
      </c>
      <c r="AI929">
        <v>2</v>
      </c>
      <c r="AJ929">
        <v>4</v>
      </c>
      <c r="AK929">
        <v>28</v>
      </c>
      <c r="AL929" t="s">
        <v>13284</v>
      </c>
      <c r="AM929" t="s">
        <v>13285</v>
      </c>
      <c r="AN929" t="s">
        <v>13286</v>
      </c>
      <c r="AO929" t="s">
        <v>17324</v>
      </c>
      <c r="AP929" t="s">
        <v>17325</v>
      </c>
      <c r="AQ929" t="s">
        <v>74</v>
      </c>
      <c r="AR929" t="s">
        <v>17326</v>
      </c>
      <c r="AS929" t="s">
        <v>17327</v>
      </c>
      <c r="AT929" t="s">
        <v>616</v>
      </c>
      <c r="AU929">
        <v>2022</v>
      </c>
      <c r="AV929">
        <v>33</v>
      </c>
      <c r="AW929">
        <v>1</v>
      </c>
      <c r="AX929" t="s">
        <v>74</v>
      </c>
      <c r="AY929" t="s">
        <v>74</v>
      </c>
      <c r="AZ929" t="s">
        <v>74</v>
      </c>
      <c r="BA929" t="s">
        <v>74</v>
      </c>
      <c r="BB929">
        <v>152</v>
      </c>
      <c r="BC929">
        <v>178</v>
      </c>
      <c r="BD929">
        <v>25</v>
      </c>
      <c r="BE929" t="s">
        <v>17328</v>
      </c>
      <c r="BF929" t="str">
        <f>HYPERLINK("http://dx.doi.org/10.1287/isre.2021.1033","http://dx.doi.org/10.1287/isre.2021.1033")</f>
        <v>http://dx.doi.org/10.1287/isre.2021.1033</v>
      </c>
      <c r="BG929" t="s">
        <v>74</v>
      </c>
      <c r="BH929" t="s">
        <v>4060</v>
      </c>
      <c r="BI929">
        <v>28</v>
      </c>
      <c r="BJ929" t="s">
        <v>15159</v>
      </c>
      <c r="BK929" t="s">
        <v>242</v>
      </c>
      <c r="BL929" t="s">
        <v>15160</v>
      </c>
      <c r="BM929" t="s">
        <v>17329</v>
      </c>
      <c r="BN929" t="s">
        <v>74</v>
      </c>
      <c r="BO929" t="s">
        <v>74</v>
      </c>
      <c r="BP929" t="s">
        <v>74</v>
      </c>
      <c r="BQ929" t="s">
        <v>74</v>
      </c>
      <c r="BR929" t="s">
        <v>102</v>
      </c>
      <c r="BS929" t="s">
        <v>17330</v>
      </c>
      <c r="BT929" t="str">
        <f>HYPERLINK("https%3A%2F%2Fwww.webofscience.com%2Fwos%2Fwoscc%2Ffull-record%2FWOS:000733249000001","View Full Record in Web of Science")</f>
        <v>View Full Record in Web of Science</v>
      </c>
    </row>
    <row r="930" spans="1:72" x14ac:dyDescent="0.2">
      <c r="A930" t="s">
        <v>72</v>
      </c>
      <c r="B930" t="s">
        <v>17331</v>
      </c>
      <c r="C930" t="s">
        <v>74</v>
      </c>
      <c r="D930" t="s">
        <v>74</v>
      </c>
      <c r="E930" t="s">
        <v>74</v>
      </c>
      <c r="F930" t="s">
        <v>17332</v>
      </c>
      <c r="G930" t="s">
        <v>74</v>
      </c>
      <c r="H930" t="s">
        <v>74</v>
      </c>
      <c r="I930" t="s">
        <v>17333</v>
      </c>
      <c r="J930" t="s">
        <v>17334</v>
      </c>
      <c r="K930" t="s">
        <v>74</v>
      </c>
      <c r="L930" t="s">
        <v>74</v>
      </c>
      <c r="M930" t="s">
        <v>78</v>
      </c>
      <c r="N930" t="s">
        <v>79</v>
      </c>
      <c r="O930" t="s">
        <v>74</v>
      </c>
      <c r="P930" t="s">
        <v>74</v>
      </c>
      <c r="Q930" t="s">
        <v>74</v>
      </c>
      <c r="R930" t="s">
        <v>74</v>
      </c>
      <c r="S930" t="s">
        <v>74</v>
      </c>
      <c r="T930" t="s">
        <v>17335</v>
      </c>
      <c r="U930" t="s">
        <v>17336</v>
      </c>
      <c r="V930" t="s">
        <v>17337</v>
      </c>
      <c r="W930" t="s">
        <v>17338</v>
      </c>
      <c r="X930" t="s">
        <v>17339</v>
      </c>
      <c r="Y930" t="s">
        <v>17340</v>
      </c>
      <c r="Z930" t="s">
        <v>17341</v>
      </c>
      <c r="AA930" t="s">
        <v>17342</v>
      </c>
      <c r="AB930" t="s">
        <v>17343</v>
      </c>
      <c r="AC930" t="s">
        <v>17344</v>
      </c>
      <c r="AD930" t="s">
        <v>17344</v>
      </c>
      <c r="AE930" t="s">
        <v>17345</v>
      </c>
      <c r="AF930" t="s">
        <v>74</v>
      </c>
      <c r="AG930">
        <v>106</v>
      </c>
      <c r="AH930">
        <v>4</v>
      </c>
      <c r="AI930">
        <v>4</v>
      </c>
      <c r="AJ930">
        <v>4</v>
      </c>
      <c r="AK930">
        <v>4</v>
      </c>
      <c r="AL930" t="s">
        <v>17346</v>
      </c>
      <c r="AM930" t="s">
        <v>3717</v>
      </c>
      <c r="AN930" t="s">
        <v>17347</v>
      </c>
      <c r="AO930" t="s">
        <v>74</v>
      </c>
      <c r="AP930" t="s">
        <v>17348</v>
      </c>
      <c r="AQ930" t="s">
        <v>74</v>
      </c>
      <c r="AR930" t="s">
        <v>17349</v>
      </c>
      <c r="AS930" t="s">
        <v>17350</v>
      </c>
      <c r="AT930" t="s">
        <v>74</v>
      </c>
      <c r="AU930">
        <v>2022</v>
      </c>
      <c r="AV930">
        <v>6</v>
      </c>
      <c r="AW930" t="s">
        <v>74</v>
      </c>
      <c r="AX930" t="s">
        <v>74</v>
      </c>
      <c r="AY930" t="s">
        <v>74</v>
      </c>
      <c r="AZ930" t="s">
        <v>74</v>
      </c>
      <c r="BA930" t="s">
        <v>74</v>
      </c>
      <c r="BB930">
        <v>138</v>
      </c>
      <c r="BC930">
        <v>155</v>
      </c>
      <c r="BD930" t="s">
        <v>74</v>
      </c>
      <c r="BE930" t="s">
        <v>17351</v>
      </c>
      <c r="BF930" t="str">
        <f>HYPERLINK("http://dx.doi.org/10.1016/j.aiia.2022.09.0022589-7217","http://dx.doi.org/10.1016/j.aiia.2022.09.0022589-7217")</f>
        <v>http://dx.doi.org/10.1016/j.aiia.2022.09.0022589-7217</v>
      </c>
      <c r="BG930" t="s">
        <v>74</v>
      </c>
      <c r="BH930" t="s">
        <v>74</v>
      </c>
      <c r="BI930">
        <v>18</v>
      </c>
      <c r="BJ930" t="s">
        <v>17352</v>
      </c>
      <c r="BK930" t="s">
        <v>124</v>
      </c>
      <c r="BL930" t="s">
        <v>14386</v>
      </c>
      <c r="BM930" t="s">
        <v>17353</v>
      </c>
      <c r="BN930" t="s">
        <v>74</v>
      </c>
      <c r="BO930" t="s">
        <v>74</v>
      </c>
      <c r="BP930" t="s">
        <v>74</v>
      </c>
      <c r="BQ930" t="s">
        <v>74</v>
      </c>
      <c r="BR930" t="s">
        <v>102</v>
      </c>
      <c r="BS930" t="s">
        <v>17354</v>
      </c>
      <c r="BT930" t="str">
        <f>HYPERLINK("https%3A%2F%2Fwww.webofscience.com%2Fwos%2Fwoscc%2Ffull-record%2FWOS:001039775600001","View Full Record in Web of Science")</f>
        <v>View Full Record in Web of Science</v>
      </c>
    </row>
    <row r="931" spans="1:72" x14ac:dyDescent="0.2">
      <c r="A931" t="s">
        <v>72</v>
      </c>
      <c r="B931" t="s">
        <v>17355</v>
      </c>
      <c r="C931" t="s">
        <v>74</v>
      </c>
      <c r="D931" t="s">
        <v>74</v>
      </c>
      <c r="E931" t="s">
        <v>74</v>
      </c>
      <c r="F931" t="s">
        <v>17356</v>
      </c>
      <c r="G931" t="s">
        <v>74</v>
      </c>
      <c r="H931" t="s">
        <v>74</v>
      </c>
      <c r="I931" t="s">
        <v>17357</v>
      </c>
      <c r="J931" t="s">
        <v>17358</v>
      </c>
      <c r="K931" t="s">
        <v>74</v>
      </c>
      <c r="L931" t="s">
        <v>74</v>
      </c>
      <c r="M931" t="s">
        <v>78</v>
      </c>
      <c r="N931" t="s">
        <v>108</v>
      </c>
      <c r="O931" t="s">
        <v>74</v>
      </c>
      <c r="P931" t="s">
        <v>74</v>
      </c>
      <c r="Q931" t="s">
        <v>74</v>
      </c>
      <c r="R931" t="s">
        <v>74</v>
      </c>
      <c r="S931" t="s">
        <v>74</v>
      </c>
      <c r="T931" t="s">
        <v>17359</v>
      </c>
      <c r="U931" t="s">
        <v>17360</v>
      </c>
      <c r="V931" t="s">
        <v>17361</v>
      </c>
      <c r="W931" t="s">
        <v>17362</v>
      </c>
      <c r="X931" t="s">
        <v>17363</v>
      </c>
      <c r="Y931" t="s">
        <v>17364</v>
      </c>
      <c r="Z931" t="s">
        <v>17365</v>
      </c>
      <c r="AA931" t="s">
        <v>17366</v>
      </c>
      <c r="AB931" t="s">
        <v>17367</v>
      </c>
      <c r="AC931" t="s">
        <v>74</v>
      </c>
      <c r="AD931" t="s">
        <v>74</v>
      </c>
      <c r="AE931" t="s">
        <v>74</v>
      </c>
      <c r="AF931" t="s">
        <v>74</v>
      </c>
      <c r="AG931">
        <v>91</v>
      </c>
      <c r="AH931">
        <v>0</v>
      </c>
      <c r="AI931">
        <v>0</v>
      </c>
      <c r="AJ931">
        <v>3</v>
      </c>
      <c r="AK931">
        <v>10</v>
      </c>
      <c r="AL931" t="s">
        <v>437</v>
      </c>
      <c r="AM931" t="s">
        <v>438</v>
      </c>
      <c r="AN931" t="s">
        <v>439</v>
      </c>
      <c r="AO931" t="s">
        <v>17368</v>
      </c>
      <c r="AP931" t="s">
        <v>17369</v>
      </c>
      <c r="AQ931" t="s">
        <v>74</v>
      </c>
      <c r="AR931" t="s">
        <v>17370</v>
      </c>
      <c r="AS931" t="s">
        <v>17371</v>
      </c>
      <c r="AT931" t="s">
        <v>17372</v>
      </c>
      <c r="AU931">
        <v>2021</v>
      </c>
      <c r="AV931">
        <v>19</v>
      </c>
      <c r="AW931">
        <v>5</v>
      </c>
      <c r="AX931" t="s">
        <v>74</v>
      </c>
      <c r="AY931" t="s">
        <v>74</v>
      </c>
      <c r="AZ931" t="s">
        <v>74</v>
      </c>
      <c r="BA931" t="s">
        <v>74</v>
      </c>
      <c r="BB931">
        <v>587</v>
      </c>
      <c r="BC931">
        <v>611</v>
      </c>
      <c r="BD931" t="s">
        <v>74</v>
      </c>
      <c r="BE931" t="s">
        <v>17373</v>
      </c>
      <c r="BF931" t="str">
        <f>HYPERLINK("http://dx.doi.org/10.1108/JFM-08-2020-0054","http://dx.doi.org/10.1108/JFM-08-2020-0054")</f>
        <v>http://dx.doi.org/10.1108/JFM-08-2020-0054</v>
      </c>
      <c r="BG931" t="s">
        <v>74</v>
      </c>
      <c r="BH931" t="s">
        <v>1056</v>
      </c>
      <c r="BI931">
        <v>25</v>
      </c>
      <c r="BJ931" t="s">
        <v>418</v>
      </c>
      <c r="BK931" t="s">
        <v>124</v>
      </c>
      <c r="BL931" t="s">
        <v>419</v>
      </c>
      <c r="BM931" t="s">
        <v>17374</v>
      </c>
      <c r="BN931" t="s">
        <v>74</v>
      </c>
      <c r="BO931" t="s">
        <v>74</v>
      </c>
      <c r="BP931" t="s">
        <v>74</v>
      </c>
      <c r="BQ931" t="s">
        <v>74</v>
      </c>
      <c r="BR931" t="s">
        <v>102</v>
      </c>
      <c r="BS931" t="s">
        <v>17375</v>
      </c>
      <c r="BT931" t="str">
        <f>HYPERLINK("https%3A%2F%2Fwww.webofscience.com%2Fwos%2Fwoscc%2Ffull-record%2FWOS:000669525800001","View Full Record in Web of Science")</f>
        <v>View Full Record in Web of Science</v>
      </c>
    </row>
    <row r="932" spans="1:72" x14ac:dyDescent="0.2">
      <c r="A932" t="s">
        <v>72</v>
      </c>
      <c r="B932" t="s">
        <v>17376</v>
      </c>
      <c r="C932" t="s">
        <v>74</v>
      </c>
      <c r="D932" t="s">
        <v>74</v>
      </c>
      <c r="E932" t="s">
        <v>74</v>
      </c>
      <c r="F932" t="s">
        <v>17377</v>
      </c>
      <c r="G932" t="s">
        <v>74</v>
      </c>
      <c r="H932" t="s">
        <v>74</v>
      </c>
      <c r="I932" t="s">
        <v>17378</v>
      </c>
      <c r="J932" t="s">
        <v>2886</v>
      </c>
      <c r="K932" t="s">
        <v>74</v>
      </c>
      <c r="L932" t="s">
        <v>74</v>
      </c>
      <c r="M932" t="s">
        <v>78</v>
      </c>
      <c r="N932" t="s">
        <v>108</v>
      </c>
      <c r="O932" t="s">
        <v>74</v>
      </c>
      <c r="P932" t="s">
        <v>74</v>
      </c>
      <c r="Q932" t="s">
        <v>74</v>
      </c>
      <c r="R932" t="s">
        <v>74</v>
      </c>
      <c r="S932" t="s">
        <v>74</v>
      </c>
      <c r="T932" t="s">
        <v>17379</v>
      </c>
      <c r="U932" t="s">
        <v>17380</v>
      </c>
      <c r="V932" t="s">
        <v>17381</v>
      </c>
      <c r="W932" t="s">
        <v>17382</v>
      </c>
      <c r="X932" t="s">
        <v>17383</v>
      </c>
      <c r="Y932" t="s">
        <v>17384</v>
      </c>
      <c r="Z932" t="s">
        <v>17385</v>
      </c>
      <c r="AA932" t="s">
        <v>17386</v>
      </c>
      <c r="AB932" t="s">
        <v>17387</v>
      </c>
      <c r="AC932" t="s">
        <v>17388</v>
      </c>
      <c r="AD932" t="s">
        <v>10523</v>
      </c>
      <c r="AE932" t="s">
        <v>17389</v>
      </c>
      <c r="AF932" t="s">
        <v>74</v>
      </c>
      <c r="AG932">
        <v>53</v>
      </c>
      <c r="AH932">
        <v>1</v>
      </c>
      <c r="AI932">
        <v>1</v>
      </c>
      <c r="AJ932">
        <v>2</v>
      </c>
      <c r="AK932">
        <v>3</v>
      </c>
      <c r="AL932" t="s">
        <v>116</v>
      </c>
      <c r="AM932" t="s">
        <v>117</v>
      </c>
      <c r="AN932" t="s">
        <v>118</v>
      </c>
      <c r="AO932" t="s">
        <v>74</v>
      </c>
      <c r="AP932" t="s">
        <v>2897</v>
      </c>
      <c r="AQ932" t="s">
        <v>74</v>
      </c>
      <c r="AR932" t="s">
        <v>2898</v>
      </c>
      <c r="AS932" t="s">
        <v>2899</v>
      </c>
      <c r="AT932" t="s">
        <v>174</v>
      </c>
      <c r="AU932">
        <v>2022</v>
      </c>
      <c r="AV932">
        <v>12</v>
      </c>
      <c r="AW932">
        <v>19</v>
      </c>
      <c r="AX932" t="s">
        <v>74</v>
      </c>
      <c r="AY932" t="s">
        <v>74</v>
      </c>
      <c r="AZ932" t="s">
        <v>74</v>
      </c>
      <c r="BA932" t="s">
        <v>74</v>
      </c>
      <c r="BB932" t="s">
        <v>74</v>
      </c>
      <c r="BC932" t="s">
        <v>74</v>
      </c>
      <c r="BD932">
        <v>10023</v>
      </c>
      <c r="BE932" t="s">
        <v>17390</v>
      </c>
      <c r="BF932" t="str">
        <f>HYPERLINK("http://dx.doi.org/10.3390/app121910023","http://dx.doi.org/10.3390/app121910023")</f>
        <v>http://dx.doi.org/10.3390/app121910023</v>
      </c>
      <c r="BG932" t="s">
        <v>74</v>
      </c>
      <c r="BH932" t="s">
        <v>74</v>
      </c>
      <c r="BI932">
        <v>25</v>
      </c>
      <c r="BJ932" t="s">
        <v>2902</v>
      </c>
      <c r="BK932" t="s">
        <v>98</v>
      </c>
      <c r="BL932" t="s">
        <v>2903</v>
      </c>
      <c r="BM932" t="s">
        <v>17391</v>
      </c>
      <c r="BN932" t="s">
        <v>74</v>
      </c>
      <c r="BO932" t="s">
        <v>126</v>
      </c>
      <c r="BP932" t="s">
        <v>74</v>
      </c>
      <c r="BQ932" t="s">
        <v>74</v>
      </c>
      <c r="BR932" t="s">
        <v>102</v>
      </c>
      <c r="BS932" t="s">
        <v>17392</v>
      </c>
      <c r="BT932" t="str">
        <f>HYPERLINK("https%3A%2F%2Fwww.webofscience.com%2Fwos%2Fwoscc%2Ffull-record%2FWOS:000866597100001","View Full Record in Web of Science")</f>
        <v>View Full Record in Web of Science</v>
      </c>
    </row>
    <row r="933" spans="1:72" x14ac:dyDescent="0.2">
      <c r="A933" t="s">
        <v>72</v>
      </c>
      <c r="B933" t="s">
        <v>17393</v>
      </c>
      <c r="C933" t="s">
        <v>74</v>
      </c>
      <c r="D933" t="s">
        <v>74</v>
      </c>
      <c r="E933" t="s">
        <v>74</v>
      </c>
      <c r="F933" t="s">
        <v>17394</v>
      </c>
      <c r="G933" t="s">
        <v>74</v>
      </c>
      <c r="H933" t="s">
        <v>74</v>
      </c>
      <c r="I933" t="s">
        <v>17395</v>
      </c>
      <c r="J933" t="s">
        <v>131</v>
      </c>
      <c r="K933" t="s">
        <v>74</v>
      </c>
      <c r="L933" t="s">
        <v>74</v>
      </c>
      <c r="M933" t="s">
        <v>78</v>
      </c>
      <c r="N933" t="s">
        <v>108</v>
      </c>
      <c r="O933" t="s">
        <v>74</v>
      </c>
      <c r="P933" t="s">
        <v>74</v>
      </c>
      <c r="Q933" t="s">
        <v>74</v>
      </c>
      <c r="R933" t="s">
        <v>74</v>
      </c>
      <c r="S933" t="s">
        <v>74</v>
      </c>
      <c r="T933" t="s">
        <v>17396</v>
      </c>
      <c r="U933" t="s">
        <v>17397</v>
      </c>
      <c r="V933" t="s">
        <v>17398</v>
      </c>
      <c r="W933" t="s">
        <v>17399</v>
      </c>
      <c r="X933" t="s">
        <v>17400</v>
      </c>
      <c r="Y933" t="s">
        <v>17401</v>
      </c>
      <c r="Z933" t="s">
        <v>17402</v>
      </c>
      <c r="AA933" t="s">
        <v>74</v>
      </c>
      <c r="AB933" t="s">
        <v>74</v>
      </c>
      <c r="AC933" t="s">
        <v>17403</v>
      </c>
      <c r="AD933" t="s">
        <v>17404</v>
      </c>
      <c r="AE933" t="s">
        <v>17405</v>
      </c>
      <c r="AF933" t="s">
        <v>74</v>
      </c>
      <c r="AG933">
        <v>58</v>
      </c>
      <c r="AH933">
        <v>0</v>
      </c>
      <c r="AI933">
        <v>0</v>
      </c>
      <c r="AJ933">
        <v>1</v>
      </c>
      <c r="AK933">
        <v>1</v>
      </c>
      <c r="AL933" t="s">
        <v>116</v>
      </c>
      <c r="AM933" t="s">
        <v>117</v>
      </c>
      <c r="AN933" t="s">
        <v>118</v>
      </c>
      <c r="AO933" t="s">
        <v>74</v>
      </c>
      <c r="AP933" t="s">
        <v>142</v>
      </c>
      <c r="AQ933" t="s">
        <v>74</v>
      </c>
      <c r="AR933" t="s">
        <v>143</v>
      </c>
      <c r="AS933" t="s">
        <v>144</v>
      </c>
      <c r="AT933" t="s">
        <v>239</v>
      </c>
      <c r="AU933">
        <v>2023</v>
      </c>
      <c r="AV933">
        <v>15</v>
      </c>
      <c r="AW933">
        <v>16</v>
      </c>
      <c r="AX933" t="s">
        <v>74</v>
      </c>
      <c r="AY933" t="s">
        <v>74</v>
      </c>
      <c r="AZ933" t="s">
        <v>74</v>
      </c>
      <c r="BA933" t="s">
        <v>74</v>
      </c>
      <c r="BB933" t="s">
        <v>74</v>
      </c>
      <c r="BC933" t="s">
        <v>74</v>
      </c>
      <c r="BD933">
        <v>12425</v>
      </c>
      <c r="BE933" t="s">
        <v>17406</v>
      </c>
      <c r="BF933" t="str">
        <f>HYPERLINK("http://dx.doi.org/10.3390/su151612425","http://dx.doi.org/10.3390/su151612425")</f>
        <v>http://dx.doi.org/10.3390/su151612425</v>
      </c>
      <c r="BG933" t="s">
        <v>74</v>
      </c>
      <c r="BH933" t="s">
        <v>74</v>
      </c>
      <c r="BI933">
        <v>23</v>
      </c>
      <c r="BJ933" t="s">
        <v>146</v>
      </c>
      <c r="BK933" t="s">
        <v>147</v>
      </c>
      <c r="BL933" t="s">
        <v>148</v>
      </c>
      <c r="BM933" t="s">
        <v>17407</v>
      </c>
      <c r="BN933" t="s">
        <v>74</v>
      </c>
      <c r="BO933" t="s">
        <v>126</v>
      </c>
      <c r="BP933" t="s">
        <v>74</v>
      </c>
      <c r="BQ933" t="s">
        <v>74</v>
      </c>
      <c r="BR933" t="s">
        <v>102</v>
      </c>
      <c r="BS933" t="s">
        <v>17408</v>
      </c>
      <c r="BT933" t="str">
        <f>HYPERLINK("https%3A%2F%2Fwww.webofscience.com%2Fwos%2Fwoscc%2Ffull-record%2FWOS:001057396500001","View Full Record in Web of Science")</f>
        <v>View Full Record in Web of Science</v>
      </c>
    </row>
    <row r="934" spans="1:72" x14ac:dyDescent="0.2">
      <c r="A934" t="s">
        <v>72</v>
      </c>
      <c r="B934" t="s">
        <v>17409</v>
      </c>
      <c r="C934" t="s">
        <v>74</v>
      </c>
      <c r="D934" t="s">
        <v>74</v>
      </c>
      <c r="E934" t="s">
        <v>74</v>
      </c>
      <c r="F934" t="s">
        <v>17410</v>
      </c>
      <c r="G934" t="s">
        <v>74</v>
      </c>
      <c r="H934" t="s">
        <v>74</v>
      </c>
      <c r="I934" t="s">
        <v>17411</v>
      </c>
      <c r="J934" t="s">
        <v>17412</v>
      </c>
      <c r="K934" t="s">
        <v>74</v>
      </c>
      <c r="L934" t="s">
        <v>74</v>
      </c>
      <c r="M934" t="s">
        <v>78</v>
      </c>
      <c r="N934" t="s">
        <v>79</v>
      </c>
      <c r="O934" t="s">
        <v>74</v>
      </c>
      <c r="P934" t="s">
        <v>74</v>
      </c>
      <c r="Q934" t="s">
        <v>74</v>
      </c>
      <c r="R934" t="s">
        <v>74</v>
      </c>
      <c r="S934" t="s">
        <v>74</v>
      </c>
      <c r="T934" t="s">
        <v>17413</v>
      </c>
      <c r="U934" t="s">
        <v>17414</v>
      </c>
      <c r="V934" t="s">
        <v>17415</v>
      </c>
      <c r="W934" t="s">
        <v>17416</v>
      </c>
      <c r="X934" t="s">
        <v>17417</v>
      </c>
      <c r="Y934" t="s">
        <v>17418</v>
      </c>
      <c r="Z934" t="s">
        <v>17419</v>
      </c>
      <c r="AA934" t="s">
        <v>74</v>
      </c>
      <c r="AB934" t="s">
        <v>74</v>
      </c>
      <c r="AC934" t="s">
        <v>74</v>
      </c>
      <c r="AD934" t="s">
        <v>74</v>
      </c>
      <c r="AE934" t="s">
        <v>74</v>
      </c>
      <c r="AF934" t="s">
        <v>74</v>
      </c>
      <c r="AG934">
        <v>95</v>
      </c>
      <c r="AH934">
        <v>2</v>
      </c>
      <c r="AI934">
        <v>2</v>
      </c>
      <c r="AJ934">
        <v>5</v>
      </c>
      <c r="AK934">
        <v>14</v>
      </c>
      <c r="AL934" t="s">
        <v>279</v>
      </c>
      <c r="AM934" t="s">
        <v>280</v>
      </c>
      <c r="AN934" t="s">
        <v>281</v>
      </c>
      <c r="AO934" t="s">
        <v>17420</v>
      </c>
      <c r="AP934" t="s">
        <v>17421</v>
      </c>
      <c r="AQ934" t="s">
        <v>74</v>
      </c>
      <c r="AR934" t="s">
        <v>17422</v>
      </c>
      <c r="AS934" t="s">
        <v>17423</v>
      </c>
      <c r="AT934" t="s">
        <v>17424</v>
      </c>
      <c r="AU934">
        <v>2023</v>
      </c>
      <c r="AV934">
        <v>23</v>
      </c>
      <c r="AW934">
        <v>14</v>
      </c>
      <c r="AX934" t="s">
        <v>74</v>
      </c>
      <c r="AY934" t="s">
        <v>74</v>
      </c>
      <c r="AZ934" t="s">
        <v>74</v>
      </c>
      <c r="BA934" t="s">
        <v>74</v>
      </c>
      <c r="BB934">
        <v>2409</v>
      </c>
      <c r="BC934">
        <v>2418</v>
      </c>
      <c r="BD934" t="s">
        <v>74</v>
      </c>
      <c r="BE934" t="s">
        <v>17425</v>
      </c>
      <c r="BF934" t="str">
        <f>HYPERLINK("http://dx.doi.org/10.1080/15623599.2022.2061751","http://dx.doi.org/10.1080/15623599.2022.2061751")</f>
        <v>http://dx.doi.org/10.1080/15623599.2022.2061751</v>
      </c>
      <c r="BG934" t="s">
        <v>74</v>
      </c>
      <c r="BH934" t="s">
        <v>1099</v>
      </c>
      <c r="BI934">
        <v>10</v>
      </c>
      <c r="BJ934" t="s">
        <v>418</v>
      </c>
      <c r="BK934" t="s">
        <v>124</v>
      </c>
      <c r="BL934" t="s">
        <v>419</v>
      </c>
      <c r="BM934" t="s">
        <v>17426</v>
      </c>
      <c r="BN934" t="s">
        <v>74</v>
      </c>
      <c r="BO934" t="s">
        <v>74</v>
      </c>
      <c r="BP934" t="s">
        <v>74</v>
      </c>
      <c r="BQ934" t="s">
        <v>74</v>
      </c>
      <c r="BR934" t="s">
        <v>102</v>
      </c>
      <c r="BS934" t="s">
        <v>17427</v>
      </c>
      <c r="BT934" t="str">
        <f>HYPERLINK("https%3A%2F%2Fwww.webofscience.com%2Fwos%2Fwoscc%2Ffull-record%2FWOS:000786460100001","View Full Record in Web of Science")</f>
        <v>View Full Record in Web of Science</v>
      </c>
    </row>
    <row r="935" spans="1:72" x14ac:dyDescent="0.2">
      <c r="A935" t="s">
        <v>72</v>
      </c>
      <c r="B935" t="s">
        <v>17428</v>
      </c>
      <c r="C935" t="s">
        <v>74</v>
      </c>
      <c r="D935" t="s">
        <v>74</v>
      </c>
      <c r="E935" t="s">
        <v>74</v>
      </c>
      <c r="F935" t="s">
        <v>17429</v>
      </c>
      <c r="G935" t="s">
        <v>74</v>
      </c>
      <c r="H935" t="s">
        <v>74</v>
      </c>
      <c r="I935" t="s">
        <v>17430</v>
      </c>
      <c r="J935" t="s">
        <v>6530</v>
      </c>
      <c r="K935" t="s">
        <v>74</v>
      </c>
      <c r="L935" t="s">
        <v>74</v>
      </c>
      <c r="M935" t="s">
        <v>78</v>
      </c>
      <c r="N935" t="s">
        <v>108</v>
      </c>
      <c r="O935" t="s">
        <v>74</v>
      </c>
      <c r="P935" t="s">
        <v>74</v>
      </c>
      <c r="Q935" t="s">
        <v>74</v>
      </c>
      <c r="R935" t="s">
        <v>74</v>
      </c>
      <c r="S935" t="s">
        <v>74</v>
      </c>
      <c r="T935" t="s">
        <v>17431</v>
      </c>
      <c r="U935" t="s">
        <v>17432</v>
      </c>
      <c r="V935" t="s">
        <v>17433</v>
      </c>
      <c r="W935" t="s">
        <v>17434</v>
      </c>
      <c r="X935" t="s">
        <v>17435</v>
      </c>
      <c r="Y935" t="s">
        <v>17436</v>
      </c>
      <c r="Z935" t="s">
        <v>17437</v>
      </c>
      <c r="AA935" t="s">
        <v>74</v>
      </c>
      <c r="AB935" t="s">
        <v>17438</v>
      </c>
      <c r="AC935" t="s">
        <v>74</v>
      </c>
      <c r="AD935" t="s">
        <v>74</v>
      </c>
      <c r="AE935" t="s">
        <v>74</v>
      </c>
      <c r="AF935" t="s">
        <v>74</v>
      </c>
      <c r="AG935">
        <v>57</v>
      </c>
      <c r="AH935">
        <v>0</v>
      </c>
      <c r="AI935">
        <v>0</v>
      </c>
      <c r="AJ935">
        <v>7</v>
      </c>
      <c r="AK935">
        <v>21</v>
      </c>
      <c r="AL935" t="s">
        <v>116</v>
      </c>
      <c r="AM935" t="s">
        <v>117</v>
      </c>
      <c r="AN935" t="s">
        <v>118</v>
      </c>
      <c r="AO935" t="s">
        <v>74</v>
      </c>
      <c r="AP935" t="s">
        <v>6541</v>
      </c>
      <c r="AQ935" t="s">
        <v>74</v>
      </c>
      <c r="AR935" t="s">
        <v>6530</v>
      </c>
      <c r="AS935" t="s">
        <v>6542</v>
      </c>
      <c r="AT935" t="s">
        <v>194</v>
      </c>
      <c r="AU935">
        <v>2022</v>
      </c>
      <c r="AV935">
        <v>12</v>
      </c>
      <c r="AW935">
        <v>11</v>
      </c>
      <c r="AX935" t="s">
        <v>74</v>
      </c>
      <c r="AY935" t="s">
        <v>74</v>
      </c>
      <c r="AZ935" t="s">
        <v>74</v>
      </c>
      <c r="BA935" t="s">
        <v>74</v>
      </c>
      <c r="BB935" t="s">
        <v>74</v>
      </c>
      <c r="BC935" t="s">
        <v>74</v>
      </c>
      <c r="BD935">
        <v>2827</v>
      </c>
      <c r="BE935" t="s">
        <v>17439</v>
      </c>
      <c r="BF935" t="str">
        <f>HYPERLINK("http://dx.doi.org/10.3390/agronomy12112827","http://dx.doi.org/10.3390/agronomy12112827")</f>
        <v>http://dx.doi.org/10.3390/agronomy12112827</v>
      </c>
      <c r="BG935" t="s">
        <v>74</v>
      </c>
      <c r="BH935" t="s">
        <v>74</v>
      </c>
      <c r="BI935">
        <v>16</v>
      </c>
      <c r="BJ935" t="s">
        <v>6544</v>
      </c>
      <c r="BK935" t="s">
        <v>98</v>
      </c>
      <c r="BL935" t="s">
        <v>6545</v>
      </c>
      <c r="BM935" t="s">
        <v>17440</v>
      </c>
      <c r="BN935" t="s">
        <v>74</v>
      </c>
      <c r="BO935" t="s">
        <v>126</v>
      </c>
      <c r="BP935" t="s">
        <v>74</v>
      </c>
      <c r="BQ935" t="s">
        <v>74</v>
      </c>
      <c r="BR935" t="s">
        <v>102</v>
      </c>
      <c r="BS935" t="s">
        <v>17441</v>
      </c>
      <c r="BT935" t="str">
        <f>HYPERLINK("https%3A%2F%2Fwww.webofscience.com%2Fwos%2Fwoscc%2Ffull-record%2FWOS:000894356500001","View Full Record in Web of Science")</f>
        <v>View Full Record in Web of Science</v>
      </c>
    </row>
    <row r="936" spans="1:72" x14ac:dyDescent="0.2">
      <c r="A936" t="s">
        <v>72</v>
      </c>
      <c r="B936" t="s">
        <v>17442</v>
      </c>
      <c r="C936" t="s">
        <v>74</v>
      </c>
      <c r="D936" t="s">
        <v>74</v>
      </c>
      <c r="E936" t="s">
        <v>74</v>
      </c>
      <c r="F936" t="s">
        <v>17443</v>
      </c>
      <c r="G936" t="s">
        <v>74</v>
      </c>
      <c r="H936" t="s">
        <v>74</v>
      </c>
      <c r="I936" t="s">
        <v>17444</v>
      </c>
      <c r="J936" t="s">
        <v>17445</v>
      </c>
      <c r="K936" t="s">
        <v>74</v>
      </c>
      <c r="L936" t="s">
        <v>74</v>
      </c>
      <c r="M936" t="s">
        <v>78</v>
      </c>
      <c r="N936" t="s">
        <v>108</v>
      </c>
      <c r="O936" t="s">
        <v>74</v>
      </c>
      <c r="P936" t="s">
        <v>74</v>
      </c>
      <c r="Q936" t="s">
        <v>74</v>
      </c>
      <c r="R936" t="s">
        <v>74</v>
      </c>
      <c r="S936" t="s">
        <v>74</v>
      </c>
      <c r="T936" t="s">
        <v>17446</v>
      </c>
      <c r="U936" t="s">
        <v>17447</v>
      </c>
      <c r="V936" t="s">
        <v>17448</v>
      </c>
      <c r="W936" t="s">
        <v>17449</v>
      </c>
      <c r="X936" t="s">
        <v>14372</v>
      </c>
      <c r="Y936" t="s">
        <v>17450</v>
      </c>
      <c r="Z936" t="s">
        <v>17451</v>
      </c>
      <c r="AA936" t="s">
        <v>74</v>
      </c>
      <c r="AB936" t="s">
        <v>74</v>
      </c>
      <c r="AC936" t="s">
        <v>74</v>
      </c>
      <c r="AD936" t="s">
        <v>74</v>
      </c>
      <c r="AE936" t="s">
        <v>74</v>
      </c>
      <c r="AF936" t="s">
        <v>74</v>
      </c>
      <c r="AG936">
        <v>34</v>
      </c>
      <c r="AH936">
        <v>0</v>
      </c>
      <c r="AI936">
        <v>0</v>
      </c>
      <c r="AJ936">
        <v>2</v>
      </c>
      <c r="AK936">
        <v>2</v>
      </c>
      <c r="AL936" t="s">
        <v>259</v>
      </c>
      <c r="AM936" t="s">
        <v>260</v>
      </c>
      <c r="AN936" t="s">
        <v>261</v>
      </c>
      <c r="AO936" t="s">
        <v>17452</v>
      </c>
      <c r="AP936" t="s">
        <v>17453</v>
      </c>
      <c r="AQ936" t="s">
        <v>74</v>
      </c>
      <c r="AR936" t="s">
        <v>17454</v>
      </c>
      <c r="AS936" t="s">
        <v>17455</v>
      </c>
      <c r="AT936" t="s">
        <v>846</v>
      </c>
      <c r="AU936">
        <v>2023</v>
      </c>
      <c r="AV936">
        <v>82</v>
      </c>
      <c r="AW936" t="s">
        <v>74</v>
      </c>
      <c r="AX936" t="s">
        <v>74</v>
      </c>
      <c r="AY936" t="s">
        <v>74</v>
      </c>
      <c r="AZ936" t="s">
        <v>74</v>
      </c>
      <c r="BA936" t="s">
        <v>74</v>
      </c>
      <c r="BB936" t="s">
        <v>74</v>
      </c>
      <c r="BC936" t="s">
        <v>74</v>
      </c>
      <c r="BD936">
        <v>103540</v>
      </c>
      <c r="BE936" t="s">
        <v>17456</v>
      </c>
      <c r="BF936" t="str">
        <f>HYPERLINK("http://dx.doi.org/10.1016/j.resourpol.2023.103540","http://dx.doi.org/10.1016/j.resourpol.2023.103540")</f>
        <v>http://dx.doi.org/10.1016/j.resourpol.2023.103540</v>
      </c>
      <c r="BG936" t="s">
        <v>74</v>
      </c>
      <c r="BH936" t="s">
        <v>355</v>
      </c>
      <c r="BI936">
        <v>7</v>
      </c>
      <c r="BJ936" t="s">
        <v>3022</v>
      </c>
      <c r="BK936" t="s">
        <v>242</v>
      </c>
      <c r="BL936" t="s">
        <v>675</v>
      </c>
      <c r="BM936" t="s">
        <v>17457</v>
      </c>
      <c r="BN936" t="s">
        <v>74</v>
      </c>
      <c r="BO936" t="s">
        <v>74</v>
      </c>
      <c r="BP936" t="s">
        <v>74</v>
      </c>
      <c r="BQ936" t="s">
        <v>74</v>
      </c>
      <c r="BR936" t="s">
        <v>102</v>
      </c>
      <c r="BS936" t="s">
        <v>17458</v>
      </c>
      <c r="BT936" t="str">
        <f>HYPERLINK("https%3A%2F%2Fwww.webofscience.com%2Fwos%2Fwoscc%2Ffull-record%2FWOS:001006842400001","View Full Record in Web of Science")</f>
        <v>View Full Record in Web of Science</v>
      </c>
    </row>
    <row r="937" spans="1:72" x14ac:dyDescent="0.2">
      <c r="A937" t="s">
        <v>72</v>
      </c>
      <c r="B937" t="s">
        <v>17459</v>
      </c>
      <c r="C937" t="s">
        <v>74</v>
      </c>
      <c r="D937" t="s">
        <v>74</v>
      </c>
      <c r="E937" t="s">
        <v>74</v>
      </c>
      <c r="F937" t="s">
        <v>17460</v>
      </c>
      <c r="G937" t="s">
        <v>74</v>
      </c>
      <c r="H937" t="s">
        <v>74</v>
      </c>
      <c r="I937" t="s">
        <v>17461</v>
      </c>
      <c r="J937" t="s">
        <v>6495</v>
      </c>
      <c r="K937" t="s">
        <v>74</v>
      </c>
      <c r="L937" t="s">
        <v>74</v>
      </c>
      <c r="M937" t="s">
        <v>78</v>
      </c>
      <c r="N937" t="s">
        <v>108</v>
      </c>
      <c r="O937" t="s">
        <v>74</v>
      </c>
      <c r="P937" t="s">
        <v>74</v>
      </c>
      <c r="Q937" t="s">
        <v>74</v>
      </c>
      <c r="R937" t="s">
        <v>74</v>
      </c>
      <c r="S937" t="s">
        <v>74</v>
      </c>
      <c r="T937" t="s">
        <v>17462</v>
      </c>
      <c r="U937" t="s">
        <v>17463</v>
      </c>
      <c r="V937" t="s">
        <v>17464</v>
      </c>
      <c r="W937" t="s">
        <v>17465</v>
      </c>
      <c r="X937" t="s">
        <v>17466</v>
      </c>
      <c r="Y937" t="s">
        <v>17467</v>
      </c>
      <c r="Z937" t="s">
        <v>17468</v>
      </c>
      <c r="AA937" t="s">
        <v>17469</v>
      </c>
      <c r="AB937" t="s">
        <v>17470</v>
      </c>
      <c r="AC937" t="s">
        <v>74</v>
      </c>
      <c r="AD937" t="s">
        <v>74</v>
      </c>
      <c r="AE937" t="s">
        <v>74</v>
      </c>
      <c r="AF937" t="s">
        <v>74</v>
      </c>
      <c r="AG937">
        <v>51</v>
      </c>
      <c r="AH937">
        <v>16</v>
      </c>
      <c r="AI937">
        <v>16</v>
      </c>
      <c r="AJ937">
        <v>0</v>
      </c>
      <c r="AK937">
        <v>88</v>
      </c>
      <c r="AL937" t="s">
        <v>279</v>
      </c>
      <c r="AM937" t="s">
        <v>280</v>
      </c>
      <c r="AN937" t="s">
        <v>281</v>
      </c>
      <c r="AO937" t="s">
        <v>6505</v>
      </c>
      <c r="AP937" t="s">
        <v>6506</v>
      </c>
      <c r="AQ937" t="s">
        <v>74</v>
      </c>
      <c r="AR937" t="s">
        <v>6507</v>
      </c>
      <c r="AS937" t="s">
        <v>6508</v>
      </c>
      <c r="AT937" t="s">
        <v>416</v>
      </c>
      <c r="AU937">
        <v>2014</v>
      </c>
      <c r="AV937">
        <v>65</v>
      </c>
      <c r="AW937">
        <v>6</v>
      </c>
      <c r="AX937" t="s">
        <v>74</v>
      </c>
      <c r="AY937" t="s">
        <v>74</v>
      </c>
      <c r="AZ937" t="s">
        <v>570</v>
      </c>
      <c r="BA937" t="s">
        <v>74</v>
      </c>
      <c r="BB937">
        <v>873</v>
      </c>
      <c r="BC937">
        <v>887</v>
      </c>
      <c r="BD937" t="s">
        <v>74</v>
      </c>
      <c r="BE937" t="s">
        <v>17471</v>
      </c>
      <c r="BF937" t="str">
        <f>HYPERLINK("http://dx.doi.org/10.1057/jors.2013.22","http://dx.doi.org/10.1057/jors.2013.22")</f>
        <v>http://dx.doi.org/10.1057/jors.2013.22</v>
      </c>
      <c r="BG937" t="s">
        <v>74</v>
      </c>
      <c r="BH937" t="s">
        <v>74</v>
      </c>
      <c r="BI937">
        <v>15</v>
      </c>
      <c r="BJ937" t="s">
        <v>524</v>
      </c>
      <c r="BK937" t="s">
        <v>147</v>
      </c>
      <c r="BL937" t="s">
        <v>525</v>
      </c>
      <c r="BM937" t="s">
        <v>17472</v>
      </c>
      <c r="BN937" t="s">
        <v>74</v>
      </c>
      <c r="BO937" t="s">
        <v>74</v>
      </c>
      <c r="BP937" t="s">
        <v>74</v>
      </c>
      <c r="BQ937" t="s">
        <v>74</v>
      </c>
      <c r="BR937" t="s">
        <v>102</v>
      </c>
      <c r="BS937" t="s">
        <v>17473</v>
      </c>
      <c r="BT937" t="str">
        <f>HYPERLINK("https%3A%2F%2Fwww.webofscience.com%2Fwos%2Fwoscc%2Ffull-record%2FWOS:000336834700006","View Full Record in Web of Science")</f>
        <v>View Full Record in Web of Science</v>
      </c>
    </row>
    <row r="938" spans="1:72" x14ac:dyDescent="0.2">
      <c r="A938" t="s">
        <v>72</v>
      </c>
      <c r="B938" t="s">
        <v>17474</v>
      </c>
      <c r="C938" t="s">
        <v>74</v>
      </c>
      <c r="D938" t="s">
        <v>74</v>
      </c>
      <c r="E938" t="s">
        <v>74</v>
      </c>
      <c r="F938" t="s">
        <v>17475</v>
      </c>
      <c r="G938" t="s">
        <v>74</v>
      </c>
      <c r="H938" t="s">
        <v>74</v>
      </c>
      <c r="I938" t="s">
        <v>17476</v>
      </c>
      <c r="J938" t="s">
        <v>976</v>
      </c>
      <c r="K938" t="s">
        <v>74</v>
      </c>
      <c r="L938" t="s">
        <v>74</v>
      </c>
      <c r="M938" t="s">
        <v>78</v>
      </c>
      <c r="N938" t="s">
        <v>108</v>
      </c>
      <c r="O938" t="s">
        <v>74</v>
      </c>
      <c r="P938" t="s">
        <v>74</v>
      </c>
      <c r="Q938" t="s">
        <v>74</v>
      </c>
      <c r="R938" t="s">
        <v>74</v>
      </c>
      <c r="S938" t="s">
        <v>74</v>
      </c>
      <c r="T938" t="s">
        <v>17477</v>
      </c>
      <c r="U938" t="s">
        <v>17478</v>
      </c>
      <c r="V938" t="s">
        <v>17479</v>
      </c>
      <c r="W938" t="s">
        <v>17480</v>
      </c>
      <c r="X938" t="s">
        <v>17481</v>
      </c>
      <c r="Y938" t="s">
        <v>17482</v>
      </c>
      <c r="Z938" t="s">
        <v>17483</v>
      </c>
      <c r="AA938" t="s">
        <v>17484</v>
      </c>
      <c r="AB938" t="s">
        <v>17485</v>
      </c>
      <c r="AC938" t="s">
        <v>74</v>
      </c>
      <c r="AD938" t="s">
        <v>74</v>
      </c>
      <c r="AE938" t="s">
        <v>74</v>
      </c>
      <c r="AF938" t="s">
        <v>74</v>
      </c>
      <c r="AG938">
        <v>121</v>
      </c>
      <c r="AH938">
        <v>94</v>
      </c>
      <c r="AI938">
        <v>94</v>
      </c>
      <c r="AJ938">
        <v>14</v>
      </c>
      <c r="AK938">
        <v>81</v>
      </c>
      <c r="AL938" t="s">
        <v>259</v>
      </c>
      <c r="AM938" t="s">
        <v>260</v>
      </c>
      <c r="AN938" t="s">
        <v>261</v>
      </c>
      <c r="AO938" t="s">
        <v>989</v>
      </c>
      <c r="AP938" t="s">
        <v>990</v>
      </c>
      <c r="AQ938" t="s">
        <v>74</v>
      </c>
      <c r="AR938" t="s">
        <v>991</v>
      </c>
      <c r="AS938" t="s">
        <v>992</v>
      </c>
      <c r="AT938" t="s">
        <v>5209</v>
      </c>
      <c r="AU938">
        <v>2020</v>
      </c>
      <c r="AV938">
        <v>248</v>
      </c>
      <c r="AW938" t="s">
        <v>74</v>
      </c>
      <c r="AX938" t="s">
        <v>74</v>
      </c>
      <c r="AY938" t="s">
        <v>74</v>
      </c>
      <c r="AZ938" t="s">
        <v>74</v>
      </c>
      <c r="BA938" t="s">
        <v>74</v>
      </c>
      <c r="BB938" t="s">
        <v>74</v>
      </c>
      <c r="BC938" t="s">
        <v>74</v>
      </c>
      <c r="BD938">
        <v>119275</v>
      </c>
      <c r="BE938" t="s">
        <v>17486</v>
      </c>
      <c r="BF938" t="str">
        <f>HYPERLINK("http://dx.doi.org/10.1016/j.jclepro.2019.119275","http://dx.doi.org/10.1016/j.jclepro.2019.119275")</f>
        <v>http://dx.doi.org/10.1016/j.jclepro.2019.119275</v>
      </c>
      <c r="BG938" t="s">
        <v>74</v>
      </c>
      <c r="BH938" t="s">
        <v>74</v>
      </c>
      <c r="BI938">
        <v>20</v>
      </c>
      <c r="BJ938" t="s">
        <v>995</v>
      </c>
      <c r="BK938" t="s">
        <v>98</v>
      </c>
      <c r="BL938" t="s">
        <v>996</v>
      </c>
      <c r="BM938" t="s">
        <v>17487</v>
      </c>
      <c r="BN938" t="s">
        <v>74</v>
      </c>
      <c r="BO938" t="s">
        <v>74</v>
      </c>
      <c r="BP938" t="s">
        <v>74</v>
      </c>
      <c r="BQ938" t="s">
        <v>74</v>
      </c>
      <c r="BR938" t="s">
        <v>102</v>
      </c>
      <c r="BS938" t="s">
        <v>17488</v>
      </c>
      <c r="BT938" t="str">
        <f>HYPERLINK("https%3A%2F%2Fwww.webofscience.com%2Fwos%2Fwoscc%2Ffull-record%2FWOS:000507364000106","View Full Record in Web of Science")</f>
        <v>View Full Record in Web of Science</v>
      </c>
    </row>
    <row r="939" spans="1:72" x14ac:dyDescent="0.2">
      <c r="A939" t="s">
        <v>72</v>
      </c>
      <c r="B939" t="s">
        <v>17489</v>
      </c>
      <c r="C939" t="s">
        <v>74</v>
      </c>
      <c r="D939" t="s">
        <v>74</v>
      </c>
      <c r="E939" t="s">
        <v>74</v>
      </c>
      <c r="F939" t="s">
        <v>17490</v>
      </c>
      <c r="G939" t="s">
        <v>74</v>
      </c>
      <c r="H939" t="s">
        <v>74</v>
      </c>
      <c r="I939" t="s">
        <v>17491</v>
      </c>
      <c r="J939" t="s">
        <v>1782</v>
      </c>
      <c r="K939" t="s">
        <v>74</v>
      </c>
      <c r="L939" t="s">
        <v>74</v>
      </c>
      <c r="M939" t="s">
        <v>78</v>
      </c>
      <c r="N939" t="s">
        <v>108</v>
      </c>
      <c r="O939" t="s">
        <v>74</v>
      </c>
      <c r="P939" t="s">
        <v>74</v>
      </c>
      <c r="Q939" t="s">
        <v>74</v>
      </c>
      <c r="R939" t="s">
        <v>74</v>
      </c>
      <c r="S939" t="s">
        <v>74</v>
      </c>
      <c r="T939" t="s">
        <v>17492</v>
      </c>
      <c r="U939" t="s">
        <v>17493</v>
      </c>
      <c r="V939" t="s">
        <v>17494</v>
      </c>
      <c r="W939" t="s">
        <v>17495</v>
      </c>
      <c r="X939" t="s">
        <v>17496</v>
      </c>
      <c r="Y939" t="s">
        <v>17497</v>
      </c>
      <c r="Z939" t="s">
        <v>17498</v>
      </c>
      <c r="AA939" t="s">
        <v>74</v>
      </c>
      <c r="AB939" t="s">
        <v>74</v>
      </c>
      <c r="AC939" t="s">
        <v>74</v>
      </c>
      <c r="AD939" t="s">
        <v>74</v>
      </c>
      <c r="AE939" t="s">
        <v>74</v>
      </c>
      <c r="AF939" t="s">
        <v>74</v>
      </c>
      <c r="AG939">
        <v>69</v>
      </c>
      <c r="AH939">
        <v>17</v>
      </c>
      <c r="AI939">
        <v>17</v>
      </c>
      <c r="AJ939">
        <v>3</v>
      </c>
      <c r="AK939">
        <v>90</v>
      </c>
      <c r="AL939" t="s">
        <v>209</v>
      </c>
      <c r="AM939" t="s">
        <v>210</v>
      </c>
      <c r="AN939" t="s">
        <v>17499</v>
      </c>
      <c r="AO939" t="s">
        <v>1792</v>
      </c>
      <c r="AP939" t="s">
        <v>1793</v>
      </c>
      <c r="AQ939" t="s">
        <v>74</v>
      </c>
      <c r="AR939" t="s">
        <v>1794</v>
      </c>
      <c r="AS939" t="s">
        <v>1795</v>
      </c>
      <c r="AT939" t="s">
        <v>3700</v>
      </c>
      <c r="AU939">
        <v>2020</v>
      </c>
      <c r="AV939">
        <v>285</v>
      </c>
      <c r="AW939">
        <v>2</v>
      </c>
      <c r="AX939" t="s">
        <v>74</v>
      </c>
      <c r="AY939" t="s">
        <v>74</v>
      </c>
      <c r="AZ939" t="s">
        <v>74</v>
      </c>
      <c r="BA939" t="s">
        <v>74</v>
      </c>
      <c r="BB939">
        <v>513</v>
      </c>
      <c r="BC939">
        <v>537</v>
      </c>
      <c r="BD939" t="s">
        <v>74</v>
      </c>
      <c r="BE939" t="s">
        <v>17500</v>
      </c>
      <c r="BF939" t="str">
        <f>HYPERLINK("http://dx.doi.org/10.1016/j.ejor.2020.01.061","http://dx.doi.org/10.1016/j.ejor.2020.01.061")</f>
        <v>http://dx.doi.org/10.1016/j.ejor.2020.01.061</v>
      </c>
      <c r="BG939" t="s">
        <v>74</v>
      </c>
      <c r="BH939" t="s">
        <v>74</v>
      </c>
      <c r="BI939">
        <v>25</v>
      </c>
      <c r="BJ939" t="s">
        <v>524</v>
      </c>
      <c r="BK939" t="s">
        <v>98</v>
      </c>
      <c r="BL939" t="s">
        <v>525</v>
      </c>
      <c r="BM939" t="s">
        <v>17501</v>
      </c>
      <c r="BN939" t="s">
        <v>74</v>
      </c>
      <c r="BO939" t="s">
        <v>702</v>
      </c>
      <c r="BP939" t="s">
        <v>74</v>
      </c>
      <c r="BQ939" t="s">
        <v>74</v>
      </c>
      <c r="BR939" t="s">
        <v>102</v>
      </c>
      <c r="BS939" t="s">
        <v>17502</v>
      </c>
      <c r="BT939" t="str">
        <f>HYPERLINK("https%3A%2F%2Fwww.webofscience.com%2Fwos%2Fwoscc%2Ffull-record%2FWOS:000527281600008","View Full Record in Web of Science")</f>
        <v>View Full Record in Web of Science</v>
      </c>
    </row>
    <row r="940" spans="1:72" x14ac:dyDescent="0.2">
      <c r="A940" t="s">
        <v>72</v>
      </c>
      <c r="B940" t="s">
        <v>17503</v>
      </c>
      <c r="C940" t="s">
        <v>74</v>
      </c>
      <c r="D940" t="s">
        <v>74</v>
      </c>
      <c r="E940" t="s">
        <v>74</v>
      </c>
      <c r="F940" t="s">
        <v>17504</v>
      </c>
      <c r="G940" t="s">
        <v>74</v>
      </c>
      <c r="H940" t="s">
        <v>74</v>
      </c>
      <c r="I940" t="s">
        <v>17505</v>
      </c>
      <c r="J940" t="s">
        <v>9739</v>
      </c>
      <c r="K940" t="s">
        <v>74</v>
      </c>
      <c r="L940" t="s">
        <v>74</v>
      </c>
      <c r="M940" t="s">
        <v>78</v>
      </c>
      <c r="N940" t="s">
        <v>108</v>
      </c>
      <c r="O940" t="s">
        <v>74</v>
      </c>
      <c r="P940" t="s">
        <v>74</v>
      </c>
      <c r="Q940" t="s">
        <v>74</v>
      </c>
      <c r="R940" t="s">
        <v>74</v>
      </c>
      <c r="S940" t="s">
        <v>74</v>
      </c>
      <c r="T940" t="s">
        <v>17506</v>
      </c>
      <c r="U940" t="s">
        <v>17507</v>
      </c>
      <c r="V940" t="s">
        <v>17508</v>
      </c>
      <c r="W940" t="s">
        <v>17509</v>
      </c>
      <c r="X940" t="s">
        <v>17510</v>
      </c>
      <c r="Y940" t="s">
        <v>17511</v>
      </c>
      <c r="Z940" t="s">
        <v>17512</v>
      </c>
      <c r="AA940" t="s">
        <v>74</v>
      </c>
      <c r="AB940" t="s">
        <v>74</v>
      </c>
      <c r="AC940" t="s">
        <v>74</v>
      </c>
      <c r="AD940" t="s">
        <v>74</v>
      </c>
      <c r="AE940" t="s">
        <v>74</v>
      </c>
      <c r="AF940" t="s">
        <v>74</v>
      </c>
      <c r="AG940">
        <v>123</v>
      </c>
      <c r="AH940">
        <v>0</v>
      </c>
      <c r="AI940">
        <v>0</v>
      </c>
      <c r="AJ940">
        <v>11</v>
      </c>
      <c r="AK940">
        <v>37</v>
      </c>
      <c r="AL940" t="s">
        <v>321</v>
      </c>
      <c r="AM940" t="s">
        <v>322</v>
      </c>
      <c r="AN940" t="s">
        <v>323</v>
      </c>
      <c r="AO940" t="s">
        <v>9749</v>
      </c>
      <c r="AP940" t="s">
        <v>9750</v>
      </c>
      <c r="AQ940" t="s">
        <v>74</v>
      </c>
      <c r="AR940" t="s">
        <v>9739</v>
      </c>
      <c r="AS940" t="s">
        <v>9751</v>
      </c>
      <c r="AT940" t="s">
        <v>394</v>
      </c>
      <c r="AU940">
        <v>2022</v>
      </c>
      <c r="AV940">
        <v>127</v>
      </c>
      <c r="AW940">
        <v>9</v>
      </c>
      <c r="AX940" t="s">
        <v>74</v>
      </c>
      <c r="AY940" t="s">
        <v>74</v>
      </c>
      <c r="AZ940" t="s">
        <v>74</v>
      </c>
      <c r="BA940" t="s">
        <v>74</v>
      </c>
      <c r="BB940">
        <v>5083</v>
      </c>
      <c r="BC940">
        <v>5110</v>
      </c>
      <c r="BD940" t="s">
        <v>74</v>
      </c>
      <c r="BE940" t="s">
        <v>17513</v>
      </c>
      <c r="BF940" t="str">
        <f>HYPERLINK("http://dx.doi.org/10.1007/s11192-022-04461-z","http://dx.doi.org/10.1007/s11192-022-04461-z")</f>
        <v>http://dx.doi.org/10.1007/s11192-022-04461-z</v>
      </c>
      <c r="BG940" t="s">
        <v>74</v>
      </c>
      <c r="BH940" t="s">
        <v>572</v>
      </c>
      <c r="BI940">
        <v>28</v>
      </c>
      <c r="BJ940" t="s">
        <v>9753</v>
      </c>
      <c r="BK940" t="s">
        <v>147</v>
      </c>
      <c r="BL940" t="s">
        <v>9754</v>
      </c>
      <c r="BM940" t="s">
        <v>17514</v>
      </c>
      <c r="BN940" t="s">
        <v>74</v>
      </c>
      <c r="BO940" t="s">
        <v>74</v>
      </c>
      <c r="BP940" t="s">
        <v>74</v>
      </c>
      <c r="BQ940" t="s">
        <v>74</v>
      </c>
      <c r="BR940" t="s">
        <v>102</v>
      </c>
      <c r="BS940" t="s">
        <v>17515</v>
      </c>
      <c r="BT940" t="str">
        <f>HYPERLINK("https%3A%2F%2Fwww.webofscience.com%2Fwos%2Fwoscc%2Ffull-record%2FWOS:000842592200003","View Full Record in Web of Science")</f>
        <v>View Full Record in Web of Science</v>
      </c>
    </row>
    <row r="941" spans="1:72" x14ac:dyDescent="0.2">
      <c r="A941" t="s">
        <v>72</v>
      </c>
      <c r="B941" t="s">
        <v>17516</v>
      </c>
      <c r="C941" t="s">
        <v>74</v>
      </c>
      <c r="D941" t="s">
        <v>74</v>
      </c>
      <c r="E941" t="s">
        <v>74</v>
      </c>
      <c r="F941" t="s">
        <v>17517</v>
      </c>
      <c r="G941" t="s">
        <v>74</v>
      </c>
      <c r="H941" t="s">
        <v>74</v>
      </c>
      <c r="I941" t="s">
        <v>17518</v>
      </c>
      <c r="J941" t="s">
        <v>8407</v>
      </c>
      <c r="K941" t="s">
        <v>74</v>
      </c>
      <c r="L941" t="s">
        <v>74</v>
      </c>
      <c r="M941" t="s">
        <v>78</v>
      </c>
      <c r="N941" t="s">
        <v>108</v>
      </c>
      <c r="O941" t="s">
        <v>74</v>
      </c>
      <c r="P941" t="s">
        <v>74</v>
      </c>
      <c r="Q941" t="s">
        <v>74</v>
      </c>
      <c r="R941" t="s">
        <v>74</v>
      </c>
      <c r="S941" t="s">
        <v>74</v>
      </c>
      <c r="T941" t="s">
        <v>17519</v>
      </c>
      <c r="U941" t="s">
        <v>17520</v>
      </c>
      <c r="V941" t="s">
        <v>17521</v>
      </c>
      <c r="W941" t="s">
        <v>17522</v>
      </c>
      <c r="X941" t="s">
        <v>17523</v>
      </c>
      <c r="Y941" t="s">
        <v>17524</v>
      </c>
      <c r="Z941" t="s">
        <v>17525</v>
      </c>
      <c r="AA941" t="s">
        <v>17526</v>
      </c>
      <c r="AB941" t="s">
        <v>17527</v>
      </c>
      <c r="AC941" t="s">
        <v>17528</v>
      </c>
      <c r="AD941" t="s">
        <v>17529</v>
      </c>
      <c r="AE941" t="s">
        <v>17530</v>
      </c>
      <c r="AF941" t="s">
        <v>74</v>
      </c>
      <c r="AG941">
        <v>54</v>
      </c>
      <c r="AH941">
        <v>82</v>
      </c>
      <c r="AI941">
        <v>91</v>
      </c>
      <c r="AJ941">
        <v>9</v>
      </c>
      <c r="AK941">
        <v>204</v>
      </c>
      <c r="AL941" t="s">
        <v>209</v>
      </c>
      <c r="AM941" t="s">
        <v>210</v>
      </c>
      <c r="AN941" t="s">
        <v>211</v>
      </c>
      <c r="AO941" t="s">
        <v>8417</v>
      </c>
      <c r="AP941" t="s">
        <v>8418</v>
      </c>
      <c r="AQ941" t="s">
        <v>74</v>
      </c>
      <c r="AR941" t="s">
        <v>8419</v>
      </c>
      <c r="AS941" t="s">
        <v>8420</v>
      </c>
      <c r="AT941" t="s">
        <v>121</v>
      </c>
      <c r="AU941">
        <v>2017</v>
      </c>
      <c r="AV941">
        <v>56</v>
      </c>
      <c r="AW941" t="s">
        <v>74</v>
      </c>
      <c r="AX941" t="s">
        <v>74</v>
      </c>
      <c r="AY941" t="s">
        <v>74</v>
      </c>
      <c r="AZ941" t="s">
        <v>74</v>
      </c>
      <c r="BA941" t="s">
        <v>74</v>
      </c>
      <c r="BB941">
        <v>143</v>
      </c>
      <c r="BC941">
        <v>157</v>
      </c>
      <c r="BD941" t="s">
        <v>74</v>
      </c>
      <c r="BE941" t="s">
        <v>17531</v>
      </c>
      <c r="BF941" t="str">
        <f>HYPERLINK("http://dx.doi.org/10.1016/j.asoc.2017.02.025","http://dx.doi.org/10.1016/j.asoc.2017.02.025")</f>
        <v>http://dx.doi.org/10.1016/j.asoc.2017.02.025</v>
      </c>
      <c r="BG941" t="s">
        <v>74</v>
      </c>
      <c r="BH941" t="s">
        <v>74</v>
      </c>
      <c r="BI941">
        <v>15</v>
      </c>
      <c r="BJ941" t="s">
        <v>4166</v>
      </c>
      <c r="BK941" t="s">
        <v>98</v>
      </c>
      <c r="BL941" t="s">
        <v>99</v>
      </c>
      <c r="BM941" t="s">
        <v>17532</v>
      </c>
      <c r="BN941" t="s">
        <v>74</v>
      </c>
      <c r="BO941" t="s">
        <v>74</v>
      </c>
      <c r="BP941" t="s">
        <v>74</v>
      </c>
      <c r="BQ941" t="s">
        <v>74</v>
      </c>
      <c r="BR941" t="s">
        <v>102</v>
      </c>
      <c r="BS941" t="s">
        <v>17533</v>
      </c>
      <c r="BT941" t="str">
        <f>HYPERLINK("https%3A%2F%2Fwww.webofscience.com%2Fwos%2Fwoscc%2Ffull-record%2FWOS:000402364000012","View Full Record in Web of Science")</f>
        <v>View Full Record in Web of Science</v>
      </c>
    </row>
    <row r="942" spans="1:72" x14ac:dyDescent="0.2">
      <c r="A942" t="s">
        <v>72</v>
      </c>
      <c r="B942" t="s">
        <v>17534</v>
      </c>
      <c r="C942" t="s">
        <v>74</v>
      </c>
      <c r="D942" t="s">
        <v>74</v>
      </c>
      <c r="E942" t="s">
        <v>74</v>
      </c>
      <c r="F942" t="s">
        <v>17535</v>
      </c>
      <c r="G942" t="s">
        <v>74</v>
      </c>
      <c r="H942" t="s">
        <v>74</v>
      </c>
      <c r="I942" t="s">
        <v>17536</v>
      </c>
      <c r="J942" t="s">
        <v>17537</v>
      </c>
      <c r="K942" t="s">
        <v>74</v>
      </c>
      <c r="L942" t="s">
        <v>74</v>
      </c>
      <c r="M942" t="s">
        <v>78</v>
      </c>
      <c r="N942" t="s">
        <v>108</v>
      </c>
      <c r="O942" t="s">
        <v>74</v>
      </c>
      <c r="P942" t="s">
        <v>74</v>
      </c>
      <c r="Q942" t="s">
        <v>74</v>
      </c>
      <c r="R942" t="s">
        <v>74</v>
      </c>
      <c r="S942" t="s">
        <v>74</v>
      </c>
      <c r="T942" t="s">
        <v>17538</v>
      </c>
      <c r="U942" t="s">
        <v>17539</v>
      </c>
      <c r="V942" t="s">
        <v>17540</v>
      </c>
      <c r="W942" t="s">
        <v>17541</v>
      </c>
      <c r="X942" t="s">
        <v>17542</v>
      </c>
      <c r="Y942" t="s">
        <v>17543</v>
      </c>
      <c r="Z942" t="s">
        <v>17544</v>
      </c>
      <c r="AA942" t="s">
        <v>74</v>
      </c>
      <c r="AB942" t="s">
        <v>74</v>
      </c>
      <c r="AC942" t="s">
        <v>17545</v>
      </c>
      <c r="AD942" t="s">
        <v>17546</v>
      </c>
      <c r="AE942" t="s">
        <v>17547</v>
      </c>
      <c r="AF942" t="s">
        <v>74</v>
      </c>
      <c r="AG942">
        <v>88</v>
      </c>
      <c r="AH942">
        <v>0</v>
      </c>
      <c r="AI942">
        <v>0</v>
      </c>
      <c r="AJ942">
        <v>19</v>
      </c>
      <c r="AK942">
        <v>25</v>
      </c>
      <c r="AL942" t="s">
        <v>321</v>
      </c>
      <c r="AM942" t="s">
        <v>348</v>
      </c>
      <c r="AN942" t="s">
        <v>1454</v>
      </c>
      <c r="AO942" t="s">
        <v>17548</v>
      </c>
      <c r="AP942" t="s">
        <v>74</v>
      </c>
      <c r="AQ942" t="s">
        <v>74</v>
      </c>
      <c r="AR942" t="s">
        <v>17549</v>
      </c>
      <c r="AS942" t="s">
        <v>17550</v>
      </c>
      <c r="AT942" t="s">
        <v>5914</v>
      </c>
      <c r="AU942">
        <v>2022</v>
      </c>
      <c r="AV942">
        <v>9</v>
      </c>
      <c r="AW942">
        <v>1</v>
      </c>
      <c r="AX942" t="s">
        <v>74</v>
      </c>
      <c r="AY942" t="s">
        <v>74</v>
      </c>
      <c r="AZ942" t="s">
        <v>74</v>
      </c>
      <c r="BA942" t="s">
        <v>74</v>
      </c>
      <c r="BB942" t="s">
        <v>74</v>
      </c>
      <c r="BC942" t="s">
        <v>74</v>
      </c>
      <c r="BD942">
        <v>45</v>
      </c>
      <c r="BE942" t="s">
        <v>17551</v>
      </c>
      <c r="BF942" t="str">
        <f>HYPERLINK("http://dx.doi.org/10.1186/s40691-022-00316-6","http://dx.doi.org/10.1186/s40691-022-00316-6")</f>
        <v>http://dx.doi.org/10.1186/s40691-022-00316-6</v>
      </c>
      <c r="BG942" t="s">
        <v>74</v>
      </c>
      <c r="BH942" t="s">
        <v>74</v>
      </c>
      <c r="BI942">
        <v>22</v>
      </c>
      <c r="BJ942" t="s">
        <v>17552</v>
      </c>
      <c r="BK942" t="s">
        <v>98</v>
      </c>
      <c r="BL942" t="s">
        <v>5102</v>
      </c>
      <c r="BM942" t="s">
        <v>17553</v>
      </c>
      <c r="BN942" t="s">
        <v>74</v>
      </c>
      <c r="BO942" t="s">
        <v>126</v>
      </c>
      <c r="BP942" t="s">
        <v>74</v>
      </c>
      <c r="BQ942" t="s">
        <v>74</v>
      </c>
      <c r="BR942" t="s">
        <v>102</v>
      </c>
      <c r="BS942" t="s">
        <v>17554</v>
      </c>
      <c r="BT942" t="str">
        <f>HYPERLINK("https%3A%2F%2Fwww.webofscience.com%2Fwos%2Fwoscc%2Ffull-record%2FWOS:000903595500001","View Full Record in Web of Science")</f>
        <v>View Full Record in Web of Science</v>
      </c>
    </row>
    <row r="943" spans="1:72" x14ac:dyDescent="0.2">
      <c r="A943" t="s">
        <v>72</v>
      </c>
      <c r="B943" t="s">
        <v>17555</v>
      </c>
      <c r="C943" t="s">
        <v>74</v>
      </c>
      <c r="D943" t="s">
        <v>74</v>
      </c>
      <c r="E943" t="s">
        <v>74</v>
      </c>
      <c r="F943" t="s">
        <v>17556</v>
      </c>
      <c r="G943" t="s">
        <v>74</v>
      </c>
      <c r="H943" t="s">
        <v>74</v>
      </c>
      <c r="I943" t="s">
        <v>17557</v>
      </c>
      <c r="J943" t="s">
        <v>17558</v>
      </c>
      <c r="K943" t="s">
        <v>74</v>
      </c>
      <c r="L943" t="s">
        <v>74</v>
      </c>
      <c r="M943" t="s">
        <v>78</v>
      </c>
      <c r="N943" t="s">
        <v>108</v>
      </c>
      <c r="O943" t="s">
        <v>74</v>
      </c>
      <c r="P943" t="s">
        <v>74</v>
      </c>
      <c r="Q943" t="s">
        <v>74</v>
      </c>
      <c r="R943" t="s">
        <v>74</v>
      </c>
      <c r="S943" t="s">
        <v>74</v>
      </c>
      <c r="T943" t="s">
        <v>17559</v>
      </c>
      <c r="U943" t="s">
        <v>17560</v>
      </c>
      <c r="V943" t="s">
        <v>17561</v>
      </c>
      <c r="W943" t="s">
        <v>17562</v>
      </c>
      <c r="X943" t="s">
        <v>17563</v>
      </c>
      <c r="Y943" t="s">
        <v>17564</v>
      </c>
      <c r="Z943" t="s">
        <v>17565</v>
      </c>
      <c r="AA943" t="s">
        <v>17566</v>
      </c>
      <c r="AB943" t="s">
        <v>17567</v>
      </c>
      <c r="AC943" t="s">
        <v>74</v>
      </c>
      <c r="AD943" t="s">
        <v>74</v>
      </c>
      <c r="AE943" t="s">
        <v>74</v>
      </c>
      <c r="AF943" t="s">
        <v>74</v>
      </c>
      <c r="AG943">
        <v>72</v>
      </c>
      <c r="AH943">
        <v>33</v>
      </c>
      <c r="AI943">
        <v>37</v>
      </c>
      <c r="AJ943">
        <v>1</v>
      </c>
      <c r="AK943">
        <v>90</v>
      </c>
      <c r="AL943" t="s">
        <v>437</v>
      </c>
      <c r="AM943" t="s">
        <v>438</v>
      </c>
      <c r="AN943" t="s">
        <v>439</v>
      </c>
      <c r="AO943" t="s">
        <v>17568</v>
      </c>
      <c r="AP943" t="s">
        <v>74</v>
      </c>
      <c r="AQ943" t="s">
        <v>74</v>
      </c>
      <c r="AR943" t="s">
        <v>17569</v>
      </c>
      <c r="AS943" t="s">
        <v>17570</v>
      </c>
      <c r="AT943" t="s">
        <v>74</v>
      </c>
      <c r="AU943">
        <v>2011</v>
      </c>
      <c r="AV943">
        <v>21</v>
      </c>
      <c r="AW943">
        <v>4</v>
      </c>
      <c r="AX943" t="s">
        <v>74</v>
      </c>
      <c r="AY943" t="s">
        <v>74</v>
      </c>
      <c r="AZ943" t="s">
        <v>74</v>
      </c>
      <c r="BA943" t="s">
        <v>74</v>
      </c>
      <c r="BB943">
        <v>458</v>
      </c>
      <c r="BC943">
        <v>478</v>
      </c>
      <c r="BD943" t="s">
        <v>74</v>
      </c>
      <c r="BE943" t="s">
        <v>17571</v>
      </c>
      <c r="BF943" t="str">
        <f>HYPERLINK("http://dx.doi.org/10.1108/10662241111158326","http://dx.doi.org/10.1108/10662241111158326")</f>
        <v>http://dx.doi.org/10.1108/10662241111158326</v>
      </c>
      <c r="BG943" t="s">
        <v>74</v>
      </c>
      <c r="BH943" t="s">
        <v>74</v>
      </c>
      <c r="BI943">
        <v>21</v>
      </c>
      <c r="BJ943" t="s">
        <v>17572</v>
      </c>
      <c r="BK943" t="s">
        <v>147</v>
      </c>
      <c r="BL943" t="s">
        <v>17573</v>
      </c>
      <c r="BM943" t="s">
        <v>17574</v>
      </c>
      <c r="BN943" t="s">
        <v>74</v>
      </c>
      <c r="BO943" t="s">
        <v>74</v>
      </c>
      <c r="BP943" t="s">
        <v>74</v>
      </c>
      <c r="BQ943" t="s">
        <v>74</v>
      </c>
      <c r="BR943" t="s">
        <v>102</v>
      </c>
      <c r="BS943" t="s">
        <v>17575</v>
      </c>
      <c r="BT943" t="str">
        <f>HYPERLINK("https%3A%2F%2Fwww.webofscience.com%2Fwos%2Fwoscc%2Ffull-record%2FWOS:000295751600004","View Full Record in Web of Science")</f>
        <v>View Full Record in Web of Science</v>
      </c>
    </row>
    <row r="944" spans="1:72" x14ac:dyDescent="0.2">
      <c r="A944" t="s">
        <v>72</v>
      </c>
      <c r="B944" t="s">
        <v>17576</v>
      </c>
      <c r="C944" t="s">
        <v>74</v>
      </c>
      <c r="D944" t="s">
        <v>74</v>
      </c>
      <c r="E944" t="s">
        <v>74</v>
      </c>
      <c r="F944" t="s">
        <v>17577</v>
      </c>
      <c r="G944" t="s">
        <v>74</v>
      </c>
      <c r="H944" t="s">
        <v>74</v>
      </c>
      <c r="I944" t="s">
        <v>17578</v>
      </c>
      <c r="J944" t="s">
        <v>12376</v>
      </c>
      <c r="K944" t="s">
        <v>74</v>
      </c>
      <c r="L944" t="s">
        <v>74</v>
      </c>
      <c r="M944" t="s">
        <v>78</v>
      </c>
      <c r="N944" t="s">
        <v>108</v>
      </c>
      <c r="O944" t="s">
        <v>74</v>
      </c>
      <c r="P944" t="s">
        <v>74</v>
      </c>
      <c r="Q944" t="s">
        <v>74</v>
      </c>
      <c r="R944" t="s">
        <v>74</v>
      </c>
      <c r="S944" t="s">
        <v>74</v>
      </c>
      <c r="T944" t="s">
        <v>74</v>
      </c>
      <c r="U944" t="s">
        <v>17579</v>
      </c>
      <c r="V944" t="s">
        <v>17580</v>
      </c>
      <c r="W944" t="s">
        <v>17581</v>
      </c>
      <c r="X944" t="s">
        <v>17582</v>
      </c>
      <c r="Y944" t="s">
        <v>17583</v>
      </c>
      <c r="Z944" t="s">
        <v>17584</v>
      </c>
      <c r="AA944" t="s">
        <v>17585</v>
      </c>
      <c r="AB944" t="s">
        <v>17586</v>
      </c>
      <c r="AC944" t="s">
        <v>17587</v>
      </c>
      <c r="AD944" t="s">
        <v>17588</v>
      </c>
      <c r="AE944" t="s">
        <v>17589</v>
      </c>
      <c r="AF944" t="s">
        <v>74</v>
      </c>
      <c r="AG944">
        <v>31</v>
      </c>
      <c r="AH944">
        <v>12</v>
      </c>
      <c r="AI944">
        <v>12</v>
      </c>
      <c r="AJ944">
        <v>1</v>
      </c>
      <c r="AK944">
        <v>24</v>
      </c>
      <c r="AL944" t="s">
        <v>2952</v>
      </c>
      <c r="AM944" t="s">
        <v>90</v>
      </c>
      <c r="AN944" t="s">
        <v>2953</v>
      </c>
      <c r="AO944" t="s">
        <v>12388</v>
      </c>
      <c r="AP944" t="s">
        <v>12389</v>
      </c>
      <c r="AQ944" t="s">
        <v>74</v>
      </c>
      <c r="AR944" t="s">
        <v>12390</v>
      </c>
      <c r="AS944" t="s">
        <v>12391</v>
      </c>
      <c r="AT944" t="s">
        <v>74</v>
      </c>
      <c r="AU944">
        <v>2018</v>
      </c>
      <c r="AV944" t="s">
        <v>74</v>
      </c>
      <c r="AW944" t="s">
        <v>74</v>
      </c>
      <c r="AX944" t="s">
        <v>74</v>
      </c>
      <c r="AY944" t="s">
        <v>74</v>
      </c>
      <c r="AZ944" t="s">
        <v>74</v>
      </c>
      <c r="BA944" t="s">
        <v>74</v>
      </c>
      <c r="BB944" t="s">
        <v>74</v>
      </c>
      <c r="BC944" t="s">
        <v>74</v>
      </c>
      <c r="BD944">
        <v>4607493</v>
      </c>
      <c r="BE944" t="s">
        <v>17590</v>
      </c>
      <c r="BF944" t="str">
        <f>HYPERLINK("http://dx.doi.org/10.1155/2018/4607493","http://dx.doi.org/10.1155/2018/4607493")</f>
        <v>http://dx.doi.org/10.1155/2018/4607493</v>
      </c>
      <c r="BG944" t="s">
        <v>74</v>
      </c>
      <c r="BH944" t="s">
        <v>74</v>
      </c>
      <c r="BI944">
        <v>20</v>
      </c>
      <c r="BJ944" t="s">
        <v>12394</v>
      </c>
      <c r="BK944" t="s">
        <v>98</v>
      </c>
      <c r="BL944" t="s">
        <v>7606</v>
      </c>
      <c r="BM944" t="s">
        <v>17591</v>
      </c>
      <c r="BN944" t="s">
        <v>74</v>
      </c>
      <c r="BO944" t="s">
        <v>13242</v>
      </c>
      <c r="BP944" t="s">
        <v>74</v>
      </c>
      <c r="BQ944" t="s">
        <v>74</v>
      </c>
      <c r="BR944" t="s">
        <v>102</v>
      </c>
      <c r="BS944" t="s">
        <v>17592</v>
      </c>
      <c r="BT944" t="str">
        <f>HYPERLINK("https%3A%2F%2Fwww.webofscience.com%2Fwos%2Fwoscc%2Ffull-record%2FWOS:000433364300001","View Full Record in Web of Science")</f>
        <v>View Full Record in Web of Science</v>
      </c>
    </row>
    <row r="945" spans="1:72" x14ac:dyDescent="0.2">
      <c r="A945" t="s">
        <v>72</v>
      </c>
      <c r="B945" t="s">
        <v>17593</v>
      </c>
      <c r="C945" t="s">
        <v>74</v>
      </c>
      <c r="D945" t="s">
        <v>74</v>
      </c>
      <c r="E945" t="s">
        <v>74</v>
      </c>
      <c r="F945" t="s">
        <v>17594</v>
      </c>
      <c r="G945" t="s">
        <v>74</v>
      </c>
      <c r="H945" t="s">
        <v>74</v>
      </c>
      <c r="I945" t="s">
        <v>17595</v>
      </c>
      <c r="J945" t="s">
        <v>11939</v>
      </c>
      <c r="K945" t="s">
        <v>74</v>
      </c>
      <c r="L945" t="s">
        <v>74</v>
      </c>
      <c r="M945" t="s">
        <v>78</v>
      </c>
      <c r="N945" t="s">
        <v>108</v>
      </c>
      <c r="O945" t="s">
        <v>74</v>
      </c>
      <c r="P945" t="s">
        <v>74</v>
      </c>
      <c r="Q945" t="s">
        <v>74</v>
      </c>
      <c r="R945" t="s">
        <v>74</v>
      </c>
      <c r="S945" t="s">
        <v>74</v>
      </c>
      <c r="T945" t="s">
        <v>17596</v>
      </c>
      <c r="U945" t="s">
        <v>17597</v>
      </c>
      <c r="V945" t="s">
        <v>17598</v>
      </c>
      <c r="W945" t="s">
        <v>17599</v>
      </c>
      <c r="X945" t="s">
        <v>17600</v>
      </c>
      <c r="Y945" t="s">
        <v>17601</v>
      </c>
      <c r="Z945" t="s">
        <v>17602</v>
      </c>
      <c r="AA945" t="s">
        <v>17603</v>
      </c>
      <c r="AB945" t="s">
        <v>17604</v>
      </c>
      <c r="AC945" t="s">
        <v>74</v>
      </c>
      <c r="AD945" t="s">
        <v>74</v>
      </c>
      <c r="AE945" t="s">
        <v>74</v>
      </c>
      <c r="AF945" t="s">
        <v>74</v>
      </c>
      <c r="AG945">
        <v>76</v>
      </c>
      <c r="AH945">
        <v>12</v>
      </c>
      <c r="AI945">
        <v>12</v>
      </c>
      <c r="AJ945">
        <v>0</v>
      </c>
      <c r="AK945">
        <v>35</v>
      </c>
      <c r="AL945" t="s">
        <v>437</v>
      </c>
      <c r="AM945" t="s">
        <v>438</v>
      </c>
      <c r="AN945" t="s">
        <v>439</v>
      </c>
      <c r="AO945" t="s">
        <v>11946</v>
      </c>
      <c r="AP945" t="s">
        <v>11947</v>
      </c>
      <c r="AQ945" t="s">
        <v>74</v>
      </c>
      <c r="AR945" t="s">
        <v>11948</v>
      </c>
      <c r="AS945" t="s">
        <v>11949</v>
      </c>
      <c r="AT945" t="s">
        <v>74</v>
      </c>
      <c r="AU945">
        <v>2017</v>
      </c>
      <c r="AV945">
        <v>45</v>
      </c>
      <c r="AW945">
        <v>3</v>
      </c>
      <c r="AX945" t="s">
        <v>74</v>
      </c>
      <c r="AY945" t="s">
        <v>74</v>
      </c>
      <c r="AZ945" t="s">
        <v>74</v>
      </c>
      <c r="BA945" t="s">
        <v>74</v>
      </c>
      <c r="BB945">
        <v>271</v>
      </c>
      <c r="BC945">
        <v>291</v>
      </c>
      <c r="BD945" t="s">
        <v>74</v>
      </c>
      <c r="BE945" t="s">
        <v>17605</v>
      </c>
      <c r="BF945" t="str">
        <f>HYPERLINK("http://dx.doi.org/10.1108/IJRDM-07-2016-0117","http://dx.doi.org/10.1108/IJRDM-07-2016-0117")</f>
        <v>http://dx.doi.org/10.1108/IJRDM-07-2016-0117</v>
      </c>
      <c r="BG945" t="s">
        <v>74</v>
      </c>
      <c r="BH945" t="s">
        <v>74</v>
      </c>
      <c r="BI945">
        <v>21</v>
      </c>
      <c r="BJ945" t="s">
        <v>849</v>
      </c>
      <c r="BK945" t="s">
        <v>242</v>
      </c>
      <c r="BL945" t="s">
        <v>419</v>
      </c>
      <c r="BM945" t="s">
        <v>17606</v>
      </c>
      <c r="BN945" t="s">
        <v>74</v>
      </c>
      <c r="BO945" t="s">
        <v>74</v>
      </c>
      <c r="BP945" t="s">
        <v>74</v>
      </c>
      <c r="BQ945" t="s">
        <v>74</v>
      </c>
      <c r="BR945" t="s">
        <v>102</v>
      </c>
      <c r="BS945" t="s">
        <v>17607</v>
      </c>
      <c r="BT945" t="str">
        <f>HYPERLINK("https%3A%2F%2Fwww.webofscience.com%2Fwos%2Fwoscc%2Ffull-record%2FWOS:000398043700003","View Full Record in Web of Science")</f>
        <v>View Full Record in Web of Science</v>
      </c>
    </row>
    <row r="946" spans="1:72" x14ac:dyDescent="0.2">
      <c r="A946" t="s">
        <v>72</v>
      </c>
      <c r="B946" t="s">
        <v>17608</v>
      </c>
      <c r="C946" t="s">
        <v>74</v>
      </c>
      <c r="D946" t="s">
        <v>74</v>
      </c>
      <c r="E946" t="s">
        <v>74</v>
      </c>
      <c r="F946" t="s">
        <v>17609</v>
      </c>
      <c r="G946" t="s">
        <v>74</v>
      </c>
      <c r="H946" t="s">
        <v>74</v>
      </c>
      <c r="I946" t="s">
        <v>17610</v>
      </c>
      <c r="J946" t="s">
        <v>11345</v>
      </c>
      <c r="K946" t="s">
        <v>74</v>
      </c>
      <c r="L946" t="s">
        <v>74</v>
      </c>
      <c r="M946" t="s">
        <v>78</v>
      </c>
      <c r="N946" t="s">
        <v>108</v>
      </c>
      <c r="O946" t="s">
        <v>74</v>
      </c>
      <c r="P946" t="s">
        <v>74</v>
      </c>
      <c r="Q946" t="s">
        <v>74</v>
      </c>
      <c r="R946" t="s">
        <v>74</v>
      </c>
      <c r="S946" t="s">
        <v>74</v>
      </c>
      <c r="T946" t="s">
        <v>74</v>
      </c>
      <c r="U946" t="s">
        <v>74</v>
      </c>
      <c r="V946" t="s">
        <v>17611</v>
      </c>
      <c r="W946" t="s">
        <v>17612</v>
      </c>
      <c r="X946" t="s">
        <v>74</v>
      </c>
      <c r="Y946" t="s">
        <v>17613</v>
      </c>
      <c r="Z946" t="s">
        <v>17614</v>
      </c>
      <c r="AA946" t="s">
        <v>74</v>
      </c>
      <c r="AB946" t="s">
        <v>74</v>
      </c>
      <c r="AC946" t="s">
        <v>74</v>
      </c>
      <c r="AD946" t="s">
        <v>74</v>
      </c>
      <c r="AE946" t="s">
        <v>74</v>
      </c>
      <c r="AF946" t="s">
        <v>74</v>
      </c>
      <c r="AG946">
        <v>30</v>
      </c>
      <c r="AH946">
        <v>5</v>
      </c>
      <c r="AI946">
        <v>5</v>
      </c>
      <c r="AJ946">
        <v>1</v>
      </c>
      <c r="AK946">
        <v>8</v>
      </c>
      <c r="AL946" t="s">
        <v>2952</v>
      </c>
      <c r="AM946" t="s">
        <v>90</v>
      </c>
      <c r="AN946" t="s">
        <v>2953</v>
      </c>
      <c r="AO946" t="s">
        <v>11356</v>
      </c>
      <c r="AP946" t="s">
        <v>11357</v>
      </c>
      <c r="AQ946" t="s">
        <v>74</v>
      </c>
      <c r="AR946" t="s">
        <v>11345</v>
      </c>
      <c r="AS946" t="s">
        <v>11358</v>
      </c>
      <c r="AT946" t="s">
        <v>2900</v>
      </c>
      <c r="AU946">
        <v>2021</v>
      </c>
      <c r="AV946">
        <v>2021</v>
      </c>
      <c r="AW946" t="s">
        <v>74</v>
      </c>
      <c r="AX946" t="s">
        <v>74</v>
      </c>
      <c r="AY946" t="s">
        <v>74</v>
      </c>
      <c r="AZ946" t="s">
        <v>74</v>
      </c>
      <c r="BA946" t="s">
        <v>74</v>
      </c>
      <c r="BB946" t="s">
        <v>74</v>
      </c>
      <c r="BC946" t="s">
        <v>74</v>
      </c>
      <c r="BD946">
        <v>5590631</v>
      </c>
      <c r="BE946" t="s">
        <v>17615</v>
      </c>
      <c r="BF946" t="str">
        <f>HYPERLINK("http://dx.doi.org/10.1155/2021/5590631","http://dx.doi.org/10.1155/2021/5590631")</f>
        <v>http://dx.doi.org/10.1155/2021/5590631</v>
      </c>
      <c r="BG946" t="s">
        <v>74</v>
      </c>
      <c r="BH946" t="s">
        <v>74</v>
      </c>
      <c r="BI946">
        <v>12</v>
      </c>
      <c r="BJ946" t="s">
        <v>7525</v>
      </c>
      <c r="BK946" t="s">
        <v>98</v>
      </c>
      <c r="BL946" t="s">
        <v>7526</v>
      </c>
      <c r="BM946" t="s">
        <v>17616</v>
      </c>
      <c r="BN946" t="s">
        <v>74</v>
      </c>
      <c r="BO946" t="s">
        <v>126</v>
      </c>
      <c r="BP946" t="s">
        <v>74</v>
      </c>
      <c r="BQ946" t="s">
        <v>74</v>
      </c>
      <c r="BR946" t="s">
        <v>102</v>
      </c>
      <c r="BS946" t="s">
        <v>17617</v>
      </c>
      <c r="BT946" t="str">
        <f>HYPERLINK("https%3A%2F%2Fwww.webofscience.com%2Fwos%2Fwoscc%2Ffull-record%2FWOS:000629356500001","View Full Record in Web of Science")</f>
        <v>View Full Record in Web of Science</v>
      </c>
    </row>
    <row r="947" spans="1:72" x14ac:dyDescent="0.2">
      <c r="A947" t="s">
        <v>72</v>
      </c>
      <c r="B947" t="s">
        <v>17618</v>
      </c>
      <c r="C947" t="s">
        <v>74</v>
      </c>
      <c r="D947" t="s">
        <v>74</v>
      </c>
      <c r="E947" t="s">
        <v>74</v>
      </c>
      <c r="F947" t="s">
        <v>17619</v>
      </c>
      <c r="G947" t="s">
        <v>74</v>
      </c>
      <c r="H947" t="s">
        <v>74</v>
      </c>
      <c r="I947" t="s">
        <v>17620</v>
      </c>
      <c r="J947" t="s">
        <v>17621</v>
      </c>
      <c r="K947" t="s">
        <v>74</v>
      </c>
      <c r="L947" t="s">
        <v>74</v>
      </c>
      <c r="M947" t="s">
        <v>78</v>
      </c>
      <c r="N947" t="s">
        <v>108</v>
      </c>
      <c r="O947" t="s">
        <v>74</v>
      </c>
      <c r="P947" t="s">
        <v>74</v>
      </c>
      <c r="Q947" t="s">
        <v>74</v>
      </c>
      <c r="R947" t="s">
        <v>74</v>
      </c>
      <c r="S947" t="s">
        <v>74</v>
      </c>
      <c r="T947" t="s">
        <v>17622</v>
      </c>
      <c r="U947" t="s">
        <v>17623</v>
      </c>
      <c r="V947" t="s">
        <v>17624</v>
      </c>
      <c r="W947" t="s">
        <v>17625</v>
      </c>
      <c r="X947" t="s">
        <v>17626</v>
      </c>
      <c r="Y947" t="s">
        <v>17627</v>
      </c>
      <c r="Z947" t="s">
        <v>17628</v>
      </c>
      <c r="AA947" t="s">
        <v>17629</v>
      </c>
      <c r="AB947" t="s">
        <v>17630</v>
      </c>
      <c r="AC947" t="s">
        <v>17631</v>
      </c>
      <c r="AD947" t="s">
        <v>17632</v>
      </c>
      <c r="AE947" t="s">
        <v>17633</v>
      </c>
      <c r="AF947" t="s">
        <v>74</v>
      </c>
      <c r="AG947">
        <v>12</v>
      </c>
      <c r="AH947">
        <v>3</v>
      </c>
      <c r="AI947">
        <v>3</v>
      </c>
      <c r="AJ947">
        <v>0</v>
      </c>
      <c r="AK947">
        <v>6</v>
      </c>
      <c r="AL947" t="s">
        <v>209</v>
      </c>
      <c r="AM947" t="s">
        <v>210</v>
      </c>
      <c r="AN947" t="s">
        <v>211</v>
      </c>
      <c r="AO947" t="s">
        <v>17634</v>
      </c>
      <c r="AP947" t="s">
        <v>74</v>
      </c>
      <c r="AQ947" t="s">
        <v>74</v>
      </c>
      <c r="AR947" t="s">
        <v>17635</v>
      </c>
      <c r="AS947" t="s">
        <v>17636</v>
      </c>
      <c r="AT947" t="s">
        <v>216</v>
      </c>
      <c r="AU947">
        <v>2020</v>
      </c>
      <c r="AV947">
        <v>6</v>
      </c>
      <c r="AW947" t="s">
        <v>74</v>
      </c>
      <c r="AX947" t="s">
        <v>74</v>
      </c>
      <c r="AY947">
        <v>9</v>
      </c>
      <c r="AZ947" t="s">
        <v>74</v>
      </c>
      <c r="BA947" t="s">
        <v>74</v>
      </c>
      <c r="BB947">
        <v>1298</v>
      </c>
      <c r="BC947">
        <v>1302</v>
      </c>
      <c r="BD947" t="s">
        <v>74</v>
      </c>
      <c r="BE947" t="s">
        <v>17637</v>
      </c>
      <c r="BF947" t="str">
        <f>HYPERLINK("http://dx.doi.org/10.1016/j.egyr.2020.11.040","http://dx.doi.org/10.1016/j.egyr.2020.11.040")</f>
        <v>http://dx.doi.org/10.1016/j.egyr.2020.11.040</v>
      </c>
      <c r="BG947" t="s">
        <v>74</v>
      </c>
      <c r="BH947" t="s">
        <v>74</v>
      </c>
      <c r="BI947">
        <v>5</v>
      </c>
      <c r="BJ947" t="s">
        <v>7643</v>
      </c>
      <c r="BK947" t="s">
        <v>98</v>
      </c>
      <c r="BL947" t="s">
        <v>7643</v>
      </c>
      <c r="BM947" t="s">
        <v>17638</v>
      </c>
      <c r="BN947" t="s">
        <v>74</v>
      </c>
      <c r="BO947" t="s">
        <v>101</v>
      </c>
      <c r="BP947" t="s">
        <v>74</v>
      </c>
      <c r="BQ947" t="s">
        <v>74</v>
      </c>
      <c r="BR947" t="s">
        <v>102</v>
      </c>
      <c r="BS947" t="s">
        <v>17639</v>
      </c>
      <c r="BT947" t="str">
        <f>HYPERLINK("https%3A%2F%2Fwww.webofscience.com%2Fwos%2Fwoscc%2Ffull-record%2FWOS:000604392100177","View Full Record in Web of Science")</f>
        <v>View Full Record in Web of Science</v>
      </c>
    </row>
    <row r="948" spans="1:72" x14ac:dyDescent="0.2">
      <c r="A948" t="s">
        <v>72</v>
      </c>
      <c r="B948" t="s">
        <v>17640</v>
      </c>
      <c r="C948" t="s">
        <v>74</v>
      </c>
      <c r="D948" t="s">
        <v>74</v>
      </c>
      <c r="E948" t="s">
        <v>74</v>
      </c>
      <c r="F948" t="s">
        <v>17641</v>
      </c>
      <c r="G948" t="s">
        <v>74</v>
      </c>
      <c r="H948" t="s">
        <v>74</v>
      </c>
      <c r="I948" t="s">
        <v>17642</v>
      </c>
      <c r="J948" t="s">
        <v>15578</v>
      </c>
      <c r="K948" t="s">
        <v>74</v>
      </c>
      <c r="L948" t="s">
        <v>74</v>
      </c>
      <c r="M948" t="s">
        <v>78</v>
      </c>
      <c r="N948" t="s">
        <v>108</v>
      </c>
      <c r="O948" t="s">
        <v>74</v>
      </c>
      <c r="P948" t="s">
        <v>74</v>
      </c>
      <c r="Q948" t="s">
        <v>74</v>
      </c>
      <c r="R948" t="s">
        <v>74</v>
      </c>
      <c r="S948" t="s">
        <v>74</v>
      </c>
      <c r="T948" t="s">
        <v>17643</v>
      </c>
      <c r="U948" t="s">
        <v>17644</v>
      </c>
      <c r="V948" t="s">
        <v>17645</v>
      </c>
      <c r="W948" t="s">
        <v>17646</v>
      </c>
      <c r="X948" t="s">
        <v>17647</v>
      </c>
      <c r="Y948" t="s">
        <v>17648</v>
      </c>
      <c r="Z948" t="s">
        <v>17649</v>
      </c>
      <c r="AA948" t="s">
        <v>17650</v>
      </c>
      <c r="AB948" t="s">
        <v>17651</v>
      </c>
      <c r="AC948" t="s">
        <v>74</v>
      </c>
      <c r="AD948" t="s">
        <v>74</v>
      </c>
      <c r="AE948" t="s">
        <v>74</v>
      </c>
      <c r="AF948" t="s">
        <v>74</v>
      </c>
      <c r="AG948">
        <v>79</v>
      </c>
      <c r="AH948">
        <v>12</v>
      </c>
      <c r="AI948">
        <v>12</v>
      </c>
      <c r="AJ948">
        <v>11</v>
      </c>
      <c r="AK948">
        <v>52</v>
      </c>
      <c r="AL948" t="s">
        <v>209</v>
      </c>
      <c r="AM948" t="s">
        <v>210</v>
      </c>
      <c r="AN948" t="s">
        <v>211</v>
      </c>
      <c r="AO948" t="s">
        <v>15589</v>
      </c>
      <c r="AP948" t="s">
        <v>15590</v>
      </c>
      <c r="AQ948" t="s">
        <v>74</v>
      </c>
      <c r="AR948" t="s">
        <v>15591</v>
      </c>
      <c r="AS948" t="s">
        <v>15592</v>
      </c>
      <c r="AT948" t="s">
        <v>216</v>
      </c>
      <c r="AU948">
        <v>2021</v>
      </c>
      <c r="AV948">
        <v>75</v>
      </c>
      <c r="AW948" t="s">
        <v>74</v>
      </c>
      <c r="AX948" t="s">
        <v>74</v>
      </c>
      <c r="AY948" t="s">
        <v>74</v>
      </c>
      <c r="AZ948" t="s">
        <v>74</v>
      </c>
      <c r="BA948" t="s">
        <v>74</v>
      </c>
      <c r="BB948" t="s">
        <v>74</v>
      </c>
      <c r="BC948" t="s">
        <v>74</v>
      </c>
      <c r="BD948">
        <v>103331</v>
      </c>
      <c r="BE948" t="s">
        <v>17652</v>
      </c>
      <c r="BF948" t="str">
        <f>HYPERLINK("http://dx.doi.org/10.1016/j.scs.2021.103331","http://dx.doi.org/10.1016/j.scs.2021.103331")</f>
        <v>http://dx.doi.org/10.1016/j.scs.2021.103331</v>
      </c>
      <c r="BG948" t="s">
        <v>74</v>
      </c>
      <c r="BH948" t="s">
        <v>722</v>
      </c>
      <c r="BI948">
        <v>16</v>
      </c>
      <c r="BJ948" t="s">
        <v>15594</v>
      </c>
      <c r="BK948" t="s">
        <v>98</v>
      </c>
      <c r="BL948" t="s">
        <v>15595</v>
      </c>
      <c r="BM948" t="s">
        <v>17653</v>
      </c>
      <c r="BN948" t="s">
        <v>74</v>
      </c>
      <c r="BO948" t="s">
        <v>702</v>
      </c>
      <c r="BP948" t="s">
        <v>74</v>
      </c>
      <c r="BQ948" t="s">
        <v>74</v>
      </c>
      <c r="BR948" t="s">
        <v>102</v>
      </c>
      <c r="BS948" t="s">
        <v>17654</v>
      </c>
      <c r="BT948" t="str">
        <f>HYPERLINK("https%3A%2F%2Fwww.webofscience.com%2Fwos%2Fwoscc%2Ffull-record%2FWOS:000724826000007","View Full Record in Web of Science")</f>
        <v>View Full Record in Web of Science</v>
      </c>
    </row>
    <row r="949" spans="1:72" x14ac:dyDescent="0.2">
      <c r="A949" t="s">
        <v>72</v>
      </c>
      <c r="B949" t="s">
        <v>17655</v>
      </c>
      <c r="C949" t="s">
        <v>74</v>
      </c>
      <c r="D949" t="s">
        <v>74</v>
      </c>
      <c r="E949" t="s">
        <v>74</v>
      </c>
      <c r="F949" t="s">
        <v>17656</v>
      </c>
      <c r="G949" t="s">
        <v>74</v>
      </c>
      <c r="H949" t="s">
        <v>74</v>
      </c>
      <c r="I949" t="s">
        <v>17657</v>
      </c>
      <c r="J949" t="s">
        <v>1600</v>
      </c>
      <c r="K949" t="s">
        <v>74</v>
      </c>
      <c r="L949" t="s">
        <v>74</v>
      </c>
      <c r="M949" t="s">
        <v>78</v>
      </c>
      <c r="N949" t="s">
        <v>108</v>
      </c>
      <c r="O949" t="s">
        <v>74</v>
      </c>
      <c r="P949" t="s">
        <v>74</v>
      </c>
      <c r="Q949" t="s">
        <v>74</v>
      </c>
      <c r="R949" t="s">
        <v>74</v>
      </c>
      <c r="S949" t="s">
        <v>74</v>
      </c>
      <c r="T949" t="s">
        <v>17658</v>
      </c>
      <c r="U949" t="s">
        <v>14330</v>
      </c>
      <c r="V949" t="s">
        <v>17659</v>
      </c>
      <c r="W949" t="s">
        <v>17660</v>
      </c>
      <c r="X949" t="s">
        <v>17661</v>
      </c>
      <c r="Y949" t="s">
        <v>17662</v>
      </c>
      <c r="Z949" t="s">
        <v>17663</v>
      </c>
      <c r="AA949" t="s">
        <v>17664</v>
      </c>
      <c r="AB949" t="s">
        <v>17665</v>
      </c>
      <c r="AC949" t="s">
        <v>74</v>
      </c>
      <c r="AD949" t="s">
        <v>74</v>
      </c>
      <c r="AE949" t="s">
        <v>74</v>
      </c>
      <c r="AF949" t="s">
        <v>74</v>
      </c>
      <c r="AG949">
        <v>50</v>
      </c>
      <c r="AH949">
        <v>1</v>
      </c>
      <c r="AI949">
        <v>1</v>
      </c>
      <c r="AJ949">
        <v>15</v>
      </c>
      <c r="AK949">
        <v>20</v>
      </c>
      <c r="AL949" t="s">
        <v>116</v>
      </c>
      <c r="AM949" t="s">
        <v>117</v>
      </c>
      <c r="AN949" t="s">
        <v>118</v>
      </c>
      <c r="AO949" t="s">
        <v>74</v>
      </c>
      <c r="AP949" t="s">
        <v>1609</v>
      </c>
      <c r="AQ949" t="s">
        <v>74</v>
      </c>
      <c r="AR949" t="s">
        <v>1610</v>
      </c>
      <c r="AS949" t="s">
        <v>1611</v>
      </c>
      <c r="AT949" t="s">
        <v>738</v>
      </c>
      <c r="AU949">
        <v>2023</v>
      </c>
      <c r="AV949">
        <v>11</v>
      </c>
      <c r="AW949">
        <v>4</v>
      </c>
      <c r="AX949" t="s">
        <v>74</v>
      </c>
      <c r="AY949" t="s">
        <v>74</v>
      </c>
      <c r="AZ949" t="s">
        <v>74</v>
      </c>
      <c r="BA949" t="s">
        <v>74</v>
      </c>
      <c r="BB949" t="s">
        <v>74</v>
      </c>
      <c r="BC949" t="s">
        <v>74</v>
      </c>
      <c r="BD949">
        <v>811</v>
      </c>
      <c r="BE949" t="s">
        <v>17666</v>
      </c>
      <c r="BF949" t="str">
        <f>HYPERLINK("http://dx.doi.org/10.3390/math11040811","http://dx.doi.org/10.3390/math11040811")</f>
        <v>http://dx.doi.org/10.3390/math11040811</v>
      </c>
      <c r="BG949" t="s">
        <v>74</v>
      </c>
      <c r="BH949" t="s">
        <v>74</v>
      </c>
      <c r="BI949">
        <v>19</v>
      </c>
      <c r="BJ949" t="s">
        <v>1611</v>
      </c>
      <c r="BK949" t="s">
        <v>98</v>
      </c>
      <c r="BL949" t="s">
        <v>1611</v>
      </c>
      <c r="BM949" t="s">
        <v>17667</v>
      </c>
      <c r="BN949" t="s">
        <v>74</v>
      </c>
      <c r="BO949" t="s">
        <v>101</v>
      </c>
      <c r="BP949" t="s">
        <v>74</v>
      </c>
      <c r="BQ949" t="s">
        <v>74</v>
      </c>
      <c r="BR949" t="s">
        <v>102</v>
      </c>
      <c r="BS949" t="s">
        <v>17668</v>
      </c>
      <c r="BT949" t="str">
        <f>HYPERLINK("https%3A%2F%2Fwww.webofscience.com%2Fwos%2Fwoscc%2Ffull-record%2FWOS:000940773800001","View Full Record in Web of Science")</f>
        <v>View Full Record in Web of Science</v>
      </c>
    </row>
    <row r="950" spans="1:72" x14ac:dyDescent="0.2">
      <c r="A950" t="s">
        <v>72</v>
      </c>
      <c r="B950" t="s">
        <v>17669</v>
      </c>
      <c r="C950" t="s">
        <v>74</v>
      </c>
      <c r="D950" t="s">
        <v>74</v>
      </c>
      <c r="E950" t="s">
        <v>74</v>
      </c>
      <c r="F950" t="s">
        <v>17670</v>
      </c>
      <c r="G950" t="s">
        <v>74</v>
      </c>
      <c r="H950" t="s">
        <v>74</v>
      </c>
      <c r="I950" t="s">
        <v>17671</v>
      </c>
      <c r="J950" t="s">
        <v>976</v>
      </c>
      <c r="K950" t="s">
        <v>74</v>
      </c>
      <c r="L950" t="s">
        <v>74</v>
      </c>
      <c r="M950" t="s">
        <v>78</v>
      </c>
      <c r="N950" t="s">
        <v>108</v>
      </c>
      <c r="O950" t="s">
        <v>74</v>
      </c>
      <c r="P950" t="s">
        <v>74</v>
      </c>
      <c r="Q950" t="s">
        <v>74</v>
      </c>
      <c r="R950" t="s">
        <v>74</v>
      </c>
      <c r="S950" t="s">
        <v>74</v>
      </c>
      <c r="T950" t="s">
        <v>17672</v>
      </c>
      <c r="U950" t="s">
        <v>17673</v>
      </c>
      <c r="V950" t="s">
        <v>17674</v>
      </c>
      <c r="W950" t="s">
        <v>17675</v>
      </c>
      <c r="X950" t="s">
        <v>17676</v>
      </c>
      <c r="Y950" t="s">
        <v>17677</v>
      </c>
      <c r="Z950" t="s">
        <v>17678</v>
      </c>
      <c r="AA950" t="s">
        <v>17679</v>
      </c>
      <c r="AB950" t="s">
        <v>17680</v>
      </c>
      <c r="AC950" t="s">
        <v>17681</v>
      </c>
      <c r="AD950" t="s">
        <v>17682</v>
      </c>
      <c r="AE950" t="s">
        <v>17683</v>
      </c>
      <c r="AF950" t="s">
        <v>74</v>
      </c>
      <c r="AG950">
        <v>42</v>
      </c>
      <c r="AH950">
        <v>39</v>
      </c>
      <c r="AI950">
        <v>47</v>
      </c>
      <c r="AJ950">
        <v>6</v>
      </c>
      <c r="AK950">
        <v>81</v>
      </c>
      <c r="AL950" t="s">
        <v>259</v>
      </c>
      <c r="AM950" t="s">
        <v>260</v>
      </c>
      <c r="AN950" t="s">
        <v>261</v>
      </c>
      <c r="AO950" t="s">
        <v>989</v>
      </c>
      <c r="AP950" t="s">
        <v>990</v>
      </c>
      <c r="AQ950" t="s">
        <v>74</v>
      </c>
      <c r="AR950" t="s">
        <v>991</v>
      </c>
      <c r="AS950" t="s">
        <v>992</v>
      </c>
      <c r="AT950" t="s">
        <v>5170</v>
      </c>
      <c r="AU950">
        <v>2018</v>
      </c>
      <c r="AV950">
        <v>197</v>
      </c>
      <c r="AW950" t="s">
        <v>74</v>
      </c>
      <c r="AX950">
        <v>1</v>
      </c>
      <c r="AY950" t="s">
        <v>74</v>
      </c>
      <c r="AZ950" t="s">
        <v>74</v>
      </c>
      <c r="BA950" t="s">
        <v>74</v>
      </c>
      <c r="BB950">
        <v>443</v>
      </c>
      <c r="BC950">
        <v>461</v>
      </c>
      <c r="BD950" t="s">
        <v>74</v>
      </c>
      <c r="BE950" t="s">
        <v>17684</v>
      </c>
      <c r="BF950" t="str">
        <f>HYPERLINK("http://dx.doi.org/10.1016/j.jclepro.2018.06.208","http://dx.doi.org/10.1016/j.jclepro.2018.06.208")</f>
        <v>http://dx.doi.org/10.1016/j.jclepro.2018.06.208</v>
      </c>
      <c r="BG950" t="s">
        <v>74</v>
      </c>
      <c r="BH950" t="s">
        <v>74</v>
      </c>
      <c r="BI950">
        <v>19</v>
      </c>
      <c r="BJ950" t="s">
        <v>995</v>
      </c>
      <c r="BK950" t="s">
        <v>98</v>
      </c>
      <c r="BL950" t="s">
        <v>996</v>
      </c>
      <c r="BM950" t="s">
        <v>17685</v>
      </c>
      <c r="BN950" t="s">
        <v>74</v>
      </c>
      <c r="BO950" t="s">
        <v>74</v>
      </c>
      <c r="BP950" t="s">
        <v>74</v>
      </c>
      <c r="BQ950" t="s">
        <v>74</v>
      </c>
      <c r="BR950" t="s">
        <v>102</v>
      </c>
      <c r="BS950" t="s">
        <v>17686</v>
      </c>
      <c r="BT950" t="str">
        <f>HYPERLINK("https%3A%2F%2Fwww.webofscience.com%2Fwos%2Fwoscc%2Ffull-record%2FWOS:000441998400042","View Full Record in Web of Science")</f>
        <v>View Full Record in Web of Science</v>
      </c>
    </row>
    <row r="951" spans="1:72" x14ac:dyDescent="0.2">
      <c r="A951" t="s">
        <v>72</v>
      </c>
      <c r="B951" t="s">
        <v>17687</v>
      </c>
      <c r="C951" t="s">
        <v>74</v>
      </c>
      <c r="D951" t="s">
        <v>74</v>
      </c>
      <c r="E951" t="s">
        <v>74</v>
      </c>
      <c r="F951" t="s">
        <v>17688</v>
      </c>
      <c r="G951" t="s">
        <v>74</v>
      </c>
      <c r="H951" t="s">
        <v>74</v>
      </c>
      <c r="I951" t="s">
        <v>17689</v>
      </c>
      <c r="J951" t="s">
        <v>131</v>
      </c>
      <c r="K951" t="s">
        <v>74</v>
      </c>
      <c r="L951" t="s">
        <v>74</v>
      </c>
      <c r="M951" t="s">
        <v>78</v>
      </c>
      <c r="N951" t="s">
        <v>108</v>
      </c>
      <c r="O951" t="s">
        <v>74</v>
      </c>
      <c r="P951" t="s">
        <v>74</v>
      </c>
      <c r="Q951" t="s">
        <v>74</v>
      </c>
      <c r="R951" t="s">
        <v>74</v>
      </c>
      <c r="S951" t="s">
        <v>74</v>
      </c>
      <c r="T951" t="s">
        <v>17690</v>
      </c>
      <c r="U951" t="s">
        <v>17691</v>
      </c>
      <c r="V951" t="s">
        <v>17692</v>
      </c>
      <c r="W951" t="s">
        <v>17693</v>
      </c>
      <c r="X951" t="s">
        <v>17694</v>
      </c>
      <c r="Y951" t="s">
        <v>17695</v>
      </c>
      <c r="Z951" t="s">
        <v>17696</v>
      </c>
      <c r="AA951" t="s">
        <v>17697</v>
      </c>
      <c r="AB951" t="s">
        <v>17698</v>
      </c>
      <c r="AC951" t="s">
        <v>17699</v>
      </c>
      <c r="AD951" t="s">
        <v>17700</v>
      </c>
      <c r="AE951" t="s">
        <v>17701</v>
      </c>
      <c r="AF951" t="s">
        <v>74</v>
      </c>
      <c r="AG951">
        <v>76</v>
      </c>
      <c r="AH951">
        <v>11</v>
      </c>
      <c r="AI951">
        <v>11</v>
      </c>
      <c r="AJ951">
        <v>3</v>
      </c>
      <c r="AK951">
        <v>15</v>
      </c>
      <c r="AL951" t="s">
        <v>116</v>
      </c>
      <c r="AM951" t="s">
        <v>117</v>
      </c>
      <c r="AN951" t="s">
        <v>118</v>
      </c>
      <c r="AO951" t="s">
        <v>74</v>
      </c>
      <c r="AP951" t="s">
        <v>142</v>
      </c>
      <c r="AQ951" t="s">
        <v>74</v>
      </c>
      <c r="AR951" t="s">
        <v>143</v>
      </c>
      <c r="AS951" t="s">
        <v>144</v>
      </c>
      <c r="AT951" t="s">
        <v>800</v>
      </c>
      <c r="AU951">
        <v>2018</v>
      </c>
      <c r="AV951">
        <v>10</v>
      </c>
      <c r="AW951">
        <v>4</v>
      </c>
      <c r="AX951" t="s">
        <v>74</v>
      </c>
      <c r="AY951" t="s">
        <v>74</v>
      </c>
      <c r="AZ951" t="s">
        <v>74</v>
      </c>
      <c r="BA951" t="s">
        <v>74</v>
      </c>
      <c r="BB951" t="s">
        <v>74</v>
      </c>
      <c r="BC951" t="s">
        <v>74</v>
      </c>
      <c r="BD951">
        <v>1281</v>
      </c>
      <c r="BE951" t="s">
        <v>17702</v>
      </c>
      <c r="BF951" t="str">
        <f>HYPERLINK("http://dx.doi.org/10.3390/su10041281","http://dx.doi.org/10.3390/su10041281")</f>
        <v>http://dx.doi.org/10.3390/su10041281</v>
      </c>
      <c r="BG951" t="s">
        <v>74</v>
      </c>
      <c r="BH951" t="s">
        <v>74</v>
      </c>
      <c r="BI951">
        <v>16</v>
      </c>
      <c r="BJ951" t="s">
        <v>146</v>
      </c>
      <c r="BK951" t="s">
        <v>147</v>
      </c>
      <c r="BL951" t="s">
        <v>148</v>
      </c>
      <c r="BM951" t="s">
        <v>17703</v>
      </c>
      <c r="BN951" t="s">
        <v>74</v>
      </c>
      <c r="BO951" t="s">
        <v>126</v>
      </c>
      <c r="BP951" t="s">
        <v>74</v>
      </c>
      <c r="BQ951" t="s">
        <v>74</v>
      </c>
      <c r="BR951" t="s">
        <v>102</v>
      </c>
      <c r="BS951" t="s">
        <v>17704</v>
      </c>
      <c r="BT951" t="str">
        <f>HYPERLINK("https%3A%2F%2Fwww.webofscience.com%2Fwos%2Fwoscc%2Ffull-record%2FWOS:000435188000385","View Full Record in Web of Science")</f>
        <v>View Full Record in Web of Science</v>
      </c>
    </row>
    <row r="952" spans="1:72" x14ac:dyDescent="0.2">
      <c r="A952" t="s">
        <v>72</v>
      </c>
      <c r="B952" t="s">
        <v>17705</v>
      </c>
      <c r="C952" t="s">
        <v>74</v>
      </c>
      <c r="D952" t="s">
        <v>74</v>
      </c>
      <c r="E952" t="s">
        <v>74</v>
      </c>
      <c r="F952" t="s">
        <v>17706</v>
      </c>
      <c r="G952" t="s">
        <v>74</v>
      </c>
      <c r="H952" t="s">
        <v>74</v>
      </c>
      <c r="I952" t="s">
        <v>17707</v>
      </c>
      <c r="J952" t="s">
        <v>2804</v>
      </c>
      <c r="K952" t="s">
        <v>74</v>
      </c>
      <c r="L952" t="s">
        <v>74</v>
      </c>
      <c r="M952" t="s">
        <v>78</v>
      </c>
      <c r="N952" t="s">
        <v>108</v>
      </c>
      <c r="O952" t="s">
        <v>74</v>
      </c>
      <c r="P952" t="s">
        <v>74</v>
      </c>
      <c r="Q952" t="s">
        <v>74</v>
      </c>
      <c r="R952" t="s">
        <v>74</v>
      </c>
      <c r="S952" t="s">
        <v>74</v>
      </c>
      <c r="T952" t="s">
        <v>17708</v>
      </c>
      <c r="U952" t="s">
        <v>17709</v>
      </c>
      <c r="V952" t="s">
        <v>17710</v>
      </c>
      <c r="W952" t="s">
        <v>17711</v>
      </c>
      <c r="X952" t="s">
        <v>17712</v>
      </c>
      <c r="Y952" t="s">
        <v>17713</v>
      </c>
      <c r="Z952" t="s">
        <v>17714</v>
      </c>
      <c r="AA952" t="s">
        <v>74</v>
      </c>
      <c r="AB952" t="s">
        <v>17715</v>
      </c>
      <c r="AC952" t="s">
        <v>17716</v>
      </c>
      <c r="AD952" t="s">
        <v>17717</v>
      </c>
      <c r="AE952" t="s">
        <v>17718</v>
      </c>
      <c r="AF952" t="s">
        <v>74</v>
      </c>
      <c r="AG952">
        <v>32</v>
      </c>
      <c r="AH952">
        <v>8</v>
      </c>
      <c r="AI952">
        <v>9</v>
      </c>
      <c r="AJ952">
        <v>3</v>
      </c>
      <c r="AK952">
        <v>59</v>
      </c>
      <c r="AL952" t="s">
        <v>2147</v>
      </c>
      <c r="AM952" t="s">
        <v>90</v>
      </c>
      <c r="AN952" t="s">
        <v>2148</v>
      </c>
      <c r="AO952" t="s">
        <v>2814</v>
      </c>
      <c r="AP952" t="s">
        <v>2815</v>
      </c>
      <c r="AQ952" t="s">
        <v>74</v>
      </c>
      <c r="AR952" t="s">
        <v>2816</v>
      </c>
      <c r="AS952" t="s">
        <v>2817</v>
      </c>
      <c r="AT952" t="s">
        <v>738</v>
      </c>
      <c r="AU952">
        <v>2020</v>
      </c>
      <c r="AV952">
        <v>234</v>
      </c>
      <c r="AW952">
        <v>3</v>
      </c>
      <c r="AX952" t="s">
        <v>74</v>
      </c>
      <c r="AY952" t="s">
        <v>74</v>
      </c>
      <c r="AZ952" t="s">
        <v>74</v>
      </c>
      <c r="BA952" t="s">
        <v>74</v>
      </c>
      <c r="BB952">
        <v>489</v>
      </c>
      <c r="BC952">
        <v>500</v>
      </c>
      <c r="BD952">
        <v>954405419875340</v>
      </c>
      <c r="BE952" t="s">
        <v>17719</v>
      </c>
      <c r="BF952" t="str">
        <f>HYPERLINK("http://dx.doi.org/10.1177/0954405419875340","http://dx.doi.org/10.1177/0954405419875340")</f>
        <v>http://dx.doi.org/10.1177/0954405419875340</v>
      </c>
      <c r="BG952" t="s">
        <v>74</v>
      </c>
      <c r="BH952" t="s">
        <v>15383</v>
      </c>
      <c r="BI952">
        <v>12</v>
      </c>
      <c r="BJ952" t="s">
        <v>2819</v>
      </c>
      <c r="BK952" t="s">
        <v>98</v>
      </c>
      <c r="BL952" t="s">
        <v>1292</v>
      </c>
      <c r="BM952" t="s">
        <v>17720</v>
      </c>
      <c r="BN952" t="s">
        <v>74</v>
      </c>
      <c r="BO952" t="s">
        <v>74</v>
      </c>
      <c r="BP952" t="s">
        <v>74</v>
      </c>
      <c r="BQ952" t="s">
        <v>74</v>
      </c>
      <c r="BR952" t="s">
        <v>102</v>
      </c>
      <c r="BS952" t="s">
        <v>17721</v>
      </c>
      <c r="BT952" t="str">
        <f>HYPERLINK("https%3A%2F%2Fwww.webofscience.com%2Fwos%2Fwoscc%2Ffull-record%2FWOS:000491707500001","View Full Record in Web of Science")</f>
        <v>View Full Record in Web of Science</v>
      </c>
    </row>
    <row r="953" spans="1:72" x14ac:dyDescent="0.2">
      <c r="A953" t="s">
        <v>72</v>
      </c>
      <c r="B953" t="s">
        <v>17722</v>
      </c>
      <c r="C953" t="s">
        <v>74</v>
      </c>
      <c r="D953" t="s">
        <v>74</v>
      </c>
      <c r="E953" t="s">
        <v>74</v>
      </c>
      <c r="F953" t="s">
        <v>17723</v>
      </c>
      <c r="G953" t="s">
        <v>74</v>
      </c>
      <c r="H953" t="s">
        <v>74</v>
      </c>
      <c r="I953" t="s">
        <v>17724</v>
      </c>
      <c r="J953" t="s">
        <v>3951</v>
      </c>
      <c r="K953" t="s">
        <v>74</v>
      </c>
      <c r="L953" t="s">
        <v>74</v>
      </c>
      <c r="M953" t="s">
        <v>78</v>
      </c>
      <c r="N953" t="s">
        <v>108</v>
      </c>
      <c r="O953" t="s">
        <v>74</v>
      </c>
      <c r="P953" t="s">
        <v>74</v>
      </c>
      <c r="Q953" t="s">
        <v>74</v>
      </c>
      <c r="R953" t="s">
        <v>74</v>
      </c>
      <c r="S953" t="s">
        <v>74</v>
      </c>
      <c r="T953" t="s">
        <v>74</v>
      </c>
      <c r="U953" t="s">
        <v>17725</v>
      </c>
      <c r="V953" t="s">
        <v>17726</v>
      </c>
      <c r="W953" t="s">
        <v>17727</v>
      </c>
      <c r="X953" t="s">
        <v>17728</v>
      </c>
      <c r="Y953" t="s">
        <v>17729</v>
      </c>
      <c r="Z953" t="s">
        <v>17730</v>
      </c>
      <c r="AA953" t="s">
        <v>17731</v>
      </c>
      <c r="AB953" t="s">
        <v>74</v>
      </c>
      <c r="AC953" t="s">
        <v>17732</v>
      </c>
      <c r="AD953" t="s">
        <v>17733</v>
      </c>
      <c r="AE953" t="s">
        <v>17734</v>
      </c>
      <c r="AF953" t="s">
        <v>74</v>
      </c>
      <c r="AG953">
        <v>43</v>
      </c>
      <c r="AH953">
        <v>3</v>
      </c>
      <c r="AI953">
        <v>3</v>
      </c>
      <c r="AJ953">
        <v>7</v>
      </c>
      <c r="AK953">
        <v>39</v>
      </c>
      <c r="AL953" t="s">
        <v>3963</v>
      </c>
      <c r="AM953" t="s">
        <v>90</v>
      </c>
      <c r="AN953" t="s">
        <v>3964</v>
      </c>
      <c r="AO953" t="s">
        <v>3965</v>
      </c>
      <c r="AP953" t="s">
        <v>3966</v>
      </c>
      <c r="AQ953" t="s">
        <v>74</v>
      </c>
      <c r="AR953" t="s">
        <v>3967</v>
      </c>
      <c r="AS953" t="s">
        <v>3968</v>
      </c>
      <c r="AT953" t="s">
        <v>74</v>
      </c>
      <c r="AU953">
        <v>2018</v>
      </c>
      <c r="AV953">
        <v>2018</v>
      </c>
      <c r="AW953" t="s">
        <v>74</v>
      </c>
      <c r="AX953" t="s">
        <v>74</v>
      </c>
      <c r="AY953" t="s">
        <v>74</v>
      </c>
      <c r="AZ953" t="s">
        <v>74</v>
      </c>
      <c r="BA953" t="s">
        <v>74</v>
      </c>
      <c r="BB953" t="s">
        <v>74</v>
      </c>
      <c r="BC953" t="s">
        <v>74</v>
      </c>
      <c r="BD953">
        <v>5743287</v>
      </c>
      <c r="BE953" t="s">
        <v>17735</v>
      </c>
      <c r="BF953" t="str">
        <f>HYPERLINK("http://dx.doi.org/10.1155/2018/5743287","http://dx.doi.org/10.1155/2018/5743287")</f>
        <v>http://dx.doi.org/10.1155/2018/5743287</v>
      </c>
      <c r="BG953" t="s">
        <v>74</v>
      </c>
      <c r="BH953" t="s">
        <v>74</v>
      </c>
      <c r="BI953">
        <v>16</v>
      </c>
      <c r="BJ953" t="s">
        <v>3970</v>
      </c>
      <c r="BK953" t="s">
        <v>98</v>
      </c>
      <c r="BL953" t="s">
        <v>3971</v>
      </c>
      <c r="BM953" t="s">
        <v>17736</v>
      </c>
      <c r="BN953" t="s">
        <v>74</v>
      </c>
      <c r="BO953" t="s">
        <v>306</v>
      </c>
      <c r="BP953" t="s">
        <v>74</v>
      </c>
      <c r="BQ953" t="s">
        <v>74</v>
      </c>
      <c r="BR953" t="s">
        <v>102</v>
      </c>
      <c r="BS953" t="s">
        <v>17737</v>
      </c>
      <c r="BT953" t="str">
        <f>HYPERLINK("https%3A%2F%2Fwww.webofscience.com%2Fwos%2Fwoscc%2Ffull-record%2FWOS:000443603400001","View Full Record in Web of Science")</f>
        <v>View Full Record in Web of Science</v>
      </c>
    </row>
    <row r="954" spans="1:72" x14ac:dyDescent="0.2">
      <c r="A954" t="s">
        <v>72</v>
      </c>
      <c r="B954" t="s">
        <v>17738</v>
      </c>
      <c r="C954" t="s">
        <v>74</v>
      </c>
      <c r="D954" t="s">
        <v>74</v>
      </c>
      <c r="E954" t="s">
        <v>74</v>
      </c>
      <c r="F954" t="s">
        <v>17739</v>
      </c>
      <c r="G954" t="s">
        <v>74</v>
      </c>
      <c r="H954" t="s">
        <v>74</v>
      </c>
      <c r="I954" t="s">
        <v>17740</v>
      </c>
      <c r="J954" t="s">
        <v>1317</v>
      </c>
      <c r="K954" t="s">
        <v>74</v>
      </c>
      <c r="L954" t="s">
        <v>74</v>
      </c>
      <c r="M954" t="s">
        <v>78</v>
      </c>
      <c r="N954" t="s">
        <v>79</v>
      </c>
      <c r="O954" t="s">
        <v>74</v>
      </c>
      <c r="P954" t="s">
        <v>74</v>
      </c>
      <c r="Q954" t="s">
        <v>74</v>
      </c>
      <c r="R954" t="s">
        <v>74</v>
      </c>
      <c r="S954" t="s">
        <v>74</v>
      </c>
      <c r="T954" t="s">
        <v>17741</v>
      </c>
      <c r="U954" t="s">
        <v>74</v>
      </c>
      <c r="V954" t="s">
        <v>17742</v>
      </c>
      <c r="W954" t="s">
        <v>17743</v>
      </c>
      <c r="X954" t="s">
        <v>9078</v>
      </c>
      <c r="Y954" t="s">
        <v>9079</v>
      </c>
      <c r="Z954" t="s">
        <v>10846</v>
      </c>
      <c r="AA954" t="s">
        <v>9081</v>
      </c>
      <c r="AB954" t="s">
        <v>9082</v>
      </c>
      <c r="AC954" t="s">
        <v>74</v>
      </c>
      <c r="AD954" t="s">
        <v>74</v>
      </c>
      <c r="AE954" t="s">
        <v>74</v>
      </c>
      <c r="AF954" t="s">
        <v>74</v>
      </c>
      <c r="AG954">
        <v>201</v>
      </c>
      <c r="AH954">
        <v>9</v>
      </c>
      <c r="AI954">
        <v>9</v>
      </c>
      <c r="AJ954">
        <v>11</v>
      </c>
      <c r="AK954">
        <v>61</v>
      </c>
      <c r="AL954" t="s">
        <v>437</v>
      </c>
      <c r="AM954" t="s">
        <v>438</v>
      </c>
      <c r="AN954" t="s">
        <v>439</v>
      </c>
      <c r="AO954" t="s">
        <v>1325</v>
      </c>
      <c r="AP954" t="s">
        <v>1326</v>
      </c>
      <c r="AQ954" t="s">
        <v>74</v>
      </c>
      <c r="AR954" t="s">
        <v>1327</v>
      </c>
      <c r="AS954" t="s">
        <v>1328</v>
      </c>
      <c r="AT954" t="s">
        <v>14249</v>
      </c>
      <c r="AU954">
        <v>2021</v>
      </c>
      <c r="AV954">
        <v>28</v>
      </c>
      <c r="AW954">
        <v>9</v>
      </c>
      <c r="AX954" t="s">
        <v>74</v>
      </c>
      <c r="AY954" t="s">
        <v>74</v>
      </c>
      <c r="AZ954" t="s">
        <v>74</v>
      </c>
      <c r="BA954" t="s">
        <v>74</v>
      </c>
      <c r="BB954">
        <v>2605</v>
      </c>
      <c r="BC954">
        <v>2635</v>
      </c>
      <c r="BD954" t="s">
        <v>74</v>
      </c>
      <c r="BE954" t="s">
        <v>17744</v>
      </c>
      <c r="BF954" t="str">
        <f>HYPERLINK("http://dx.doi.org/10.1108/BIJ-10-2020-0547","http://dx.doi.org/10.1108/BIJ-10-2020-0547")</f>
        <v>http://dx.doi.org/10.1108/BIJ-10-2020-0547</v>
      </c>
      <c r="BG954" t="s">
        <v>74</v>
      </c>
      <c r="BH954" t="s">
        <v>2101</v>
      </c>
      <c r="BI954">
        <v>31</v>
      </c>
      <c r="BJ954" t="s">
        <v>418</v>
      </c>
      <c r="BK954" t="s">
        <v>124</v>
      </c>
      <c r="BL954" t="s">
        <v>419</v>
      </c>
      <c r="BM954" t="s">
        <v>17745</v>
      </c>
      <c r="BN954" t="s">
        <v>74</v>
      </c>
      <c r="BO954" t="s">
        <v>74</v>
      </c>
      <c r="BP954" t="s">
        <v>74</v>
      </c>
      <c r="BQ954" t="s">
        <v>74</v>
      </c>
      <c r="BR954" t="s">
        <v>102</v>
      </c>
      <c r="BS954" t="s">
        <v>17746</v>
      </c>
      <c r="BT954" t="str">
        <f>HYPERLINK("https%3A%2F%2Fwww.webofscience.com%2Fwos%2Fwoscc%2Ffull-record%2FWOS:000623201100001","View Full Record in Web of Science")</f>
        <v>View Full Record in Web of Science</v>
      </c>
    </row>
    <row r="955" spans="1:72" x14ac:dyDescent="0.2">
      <c r="A955" t="s">
        <v>72</v>
      </c>
      <c r="B955" t="s">
        <v>17747</v>
      </c>
      <c r="C955" t="s">
        <v>74</v>
      </c>
      <c r="D955" t="s">
        <v>74</v>
      </c>
      <c r="E955" t="s">
        <v>74</v>
      </c>
      <c r="F955" t="s">
        <v>17748</v>
      </c>
      <c r="G955" t="s">
        <v>74</v>
      </c>
      <c r="H955" t="s">
        <v>74</v>
      </c>
      <c r="I955" t="s">
        <v>17749</v>
      </c>
      <c r="J955" t="s">
        <v>17750</v>
      </c>
      <c r="K955" t="s">
        <v>74</v>
      </c>
      <c r="L955" t="s">
        <v>74</v>
      </c>
      <c r="M955" t="s">
        <v>78</v>
      </c>
      <c r="N955" t="s">
        <v>79</v>
      </c>
      <c r="O955" t="s">
        <v>74</v>
      </c>
      <c r="P955" t="s">
        <v>74</v>
      </c>
      <c r="Q955" t="s">
        <v>74</v>
      </c>
      <c r="R955" t="s">
        <v>74</v>
      </c>
      <c r="S955" t="s">
        <v>74</v>
      </c>
      <c r="T955" t="s">
        <v>17751</v>
      </c>
      <c r="U955" t="s">
        <v>17752</v>
      </c>
      <c r="V955" t="s">
        <v>17753</v>
      </c>
      <c r="W955" t="s">
        <v>17754</v>
      </c>
      <c r="X955" t="s">
        <v>17755</v>
      </c>
      <c r="Y955" t="s">
        <v>17756</v>
      </c>
      <c r="Z955" t="s">
        <v>17757</v>
      </c>
      <c r="AA955" t="s">
        <v>74</v>
      </c>
      <c r="AB955" t="s">
        <v>17758</v>
      </c>
      <c r="AC955" t="s">
        <v>17759</v>
      </c>
      <c r="AD955" t="s">
        <v>17759</v>
      </c>
      <c r="AE955" t="s">
        <v>17760</v>
      </c>
      <c r="AF955" t="s">
        <v>74</v>
      </c>
      <c r="AG955">
        <v>146</v>
      </c>
      <c r="AH955">
        <v>27</v>
      </c>
      <c r="AI955">
        <v>27</v>
      </c>
      <c r="AJ955">
        <v>27</v>
      </c>
      <c r="AK955">
        <v>153</v>
      </c>
      <c r="AL955" t="s">
        <v>209</v>
      </c>
      <c r="AM955" t="s">
        <v>210</v>
      </c>
      <c r="AN955" t="s">
        <v>211</v>
      </c>
      <c r="AO955" t="s">
        <v>17761</v>
      </c>
      <c r="AP955" t="s">
        <v>17762</v>
      </c>
      <c r="AQ955" t="s">
        <v>74</v>
      </c>
      <c r="AR955" t="s">
        <v>17763</v>
      </c>
      <c r="AS955" t="s">
        <v>17764</v>
      </c>
      <c r="AT955" t="s">
        <v>239</v>
      </c>
      <c r="AU955">
        <v>2021</v>
      </c>
      <c r="AV955">
        <v>599</v>
      </c>
      <c r="AW955" t="s">
        <v>74</v>
      </c>
      <c r="AX955" t="s">
        <v>74</v>
      </c>
      <c r="AY955" t="s">
        <v>74</v>
      </c>
      <c r="AZ955" t="s">
        <v>74</v>
      </c>
      <c r="BA955" t="s">
        <v>74</v>
      </c>
      <c r="BB955" t="s">
        <v>74</v>
      </c>
      <c r="BC955" t="s">
        <v>74</v>
      </c>
      <c r="BD955">
        <v>126457</v>
      </c>
      <c r="BE955" t="s">
        <v>17765</v>
      </c>
      <c r="BF955" t="str">
        <f>HYPERLINK("http://dx.doi.org/10.1016/j.jhydrol.2021.126457","http://dx.doi.org/10.1016/j.jhydrol.2021.126457")</f>
        <v>http://dx.doi.org/10.1016/j.jhydrol.2021.126457</v>
      </c>
      <c r="BG955" t="s">
        <v>74</v>
      </c>
      <c r="BH955" t="s">
        <v>4013</v>
      </c>
      <c r="BI955">
        <v>18</v>
      </c>
      <c r="BJ955" t="s">
        <v>17766</v>
      </c>
      <c r="BK955" t="s">
        <v>147</v>
      </c>
      <c r="BL955" t="s">
        <v>17767</v>
      </c>
      <c r="BM955" t="s">
        <v>17768</v>
      </c>
      <c r="BN955" t="s">
        <v>74</v>
      </c>
      <c r="BO955" t="s">
        <v>74</v>
      </c>
      <c r="BP955" t="s">
        <v>74</v>
      </c>
      <c r="BQ955" t="s">
        <v>74</v>
      </c>
      <c r="BR955" t="s">
        <v>102</v>
      </c>
      <c r="BS955" t="s">
        <v>17769</v>
      </c>
      <c r="BT955" t="str">
        <f>HYPERLINK("https%3A%2F%2Fwww.webofscience.com%2Fwos%2Fwoscc%2Ffull-record%2FWOS:000673486000015","View Full Record in Web of Science")</f>
        <v>View Full Record in Web of Science</v>
      </c>
    </row>
    <row r="956" spans="1:72" x14ac:dyDescent="0.2">
      <c r="A956" t="s">
        <v>72</v>
      </c>
      <c r="B956" t="s">
        <v>17770</v>
      </c>
      <c r="C956" t="s">
        <v>74</v>
      </c>
      <c r="D956" t="s">
        <v>74</v>
      </c>
      <c r="E956" t="s">
        <v>74</v>
      </c>
      <c r="F956" t="s">
        <v>17771</v>
      </c>
      <c r="G956" t="s">
        <v>74</v>
      </c>
      <c r="H956" t="s">
        <v>74</v>
      </c>
      <c r="I956" t="s">
        <v>17772</v>
      </c>
      <c r="J956" t="s">
        <v>17773</v>
      </c>
      <c r="K956" t="s">
        <v>74</v>
      </c>
      <c r="L956" t="s">
        <v>74</v>
      </c>
      <c r="M956" t="s">
        <v>78</v>
      </c>
      <c r="N956" t="s">
        <v>108</v>
      </c>
      <c r="O956" t="s">
        <v>74</v>
      </c>
      <c r="P956" t="s">
        <v>74</v>
      </c>
      <c r="Q956" t="s">
        <v>74</v>
      </c>
      <c r="R956" t="s">
        <v>74</v>
      </c>
      <c r="S956" t="s">
        <v>74</v>
      </c>
      <c r="T956" t="s">
        <v>17774</v>
      </c>
      <c r="U956" t="s">
        <v>17775</v>
      </c>
      <c r="V956" t="s">
        <v>17776</v>
      </c>
      <c r="W956" t="s">
        <v>17777</v>
      </c>
      <c r="X956" t="s">
        <v>17778</v>
      </c>
      <c r="Y956" t="s">
        <v>17779</v>
      </c>
      <c r="Z956" t="s">
        <v>17780</v>
      </c>
      <c r="AA956" t="s">
        <v>17781</v>
      </c>
      <c r="AB956" t="s">
        <v>17782</v>
      </c>
      <c r="AC956" t="s">
        <v>17783</v>
      </c>
      <c r="AD956" t="s">
        <v>17784</v>
      </c>
      <c r="AE956" t="s">
        <v>17785</v>
      </c>
      <c r="AF956" t="s">
        <v>74</v>
      </c>
      <c r="AG956">
        <v>70</v>
      </c>
      <c r="AH956">
        <v>26</v>
      </c>
      <c r="AI956">
        <v>26</v>
      </c>
      <c r="AJ956">
        <v>12</v>
      </c>
      <c r="AK956">
        <v>80</v>
      </c>
      <c r="AL956" t="s">
        <v>17786</v>
      </c>
      <c r="AM956" t="s">
        <v>1631</v>
      </c>
      <c r="AN956" t="s">
        <v>17787</v>
      </c>
      <c r="AO956" t="s">
        <v>74</v>
      </c>
      <c r="AP956" t="s">
        <v>17788</v>
      </c>
      <c r="AQ956" t="s">
        <v>74</v>
      </c>
      <c r="AR956" t="s">
        <v>17773</v>
      </c>
      <c r="AS956" t="s">
        <v>17789</v>
      </c>
      <c r="AT956" t="s">
        <v>616</v>
      </c>
      <c r="AU956">
        <v>2020</v>
      </c>
      <c r="AV956">
        <v>8</v>
      </c>
      <c r="AW956">
        <v>3</v>
      </c>
      <c r="AX956" t="s">
        <v>74</v>
      </c>
      <c r="AY956" t="s">
        <v>74</v>
      </c>
      <c r="AZ956" t="s">
        <v>74</v>
      </c>
      <c r="BA956" t="s">
        <v>74</v>
      </c>
      <c r="BB956" t="s">
        <v>74</v>
      </c>
      <c r="BC956" t="s">
        <v>74</v>
      </c>
      <c r="BD956" t="s">
        <v>17790</v>
      </c>
      <c r="BE956" t="s">
        <v>17791</v>
      </c>
      <c r="BF956" t="str">
        <f>HYPERLINK("http://dx.doi.org/10.1029/2019EF001361","http://dx.doi.org/10.1029/2019EF001361")</f>
        <v>http://dx.doi.org/10.1029/2019EF001361</v>
      </c>
      <c r="BG956" t="s">
        <v>74</v>
      </c>
      <c r="BH956" t="s">
        <v>74</v>
      </c>
      <c r="BI956">
        <v>15</v>
      </c>
      <c r="BJ956" t="s">
        <v>17792</v>
      </c>
      <c r="BK956" t="s">
        <v>147</v>
      </c>
      <c r="BL956" t="s">
        <v>17793</v>
      </c>
      <c r="BM956" t="s">
        <v>17794</v>
      </c>
      <c r="BN956" t="s">
        <v>74</v>
      </c>
      <c r="BO956" t="s">
        <v>126</v>
      </c>
      <c r="BP956" t="s">
        <v>74</v>
      </c>
      <c r="BQ956" t="s">
        <v>74</v>
      </c>
      <c r="BR956" t="s">
        <v>102</v>
      </c>
      <c r="BS956" t="s">
        <v>17795</v>
      </c>
      <c r="BT956" t="str">
        <f>HYPERLINK("https%3A%2F%2Fwww.webofscience.com%2Fwos%2Fwoscc%2Ffull-record%2FWOS:000522205300004","View Full Record in Web of Science")</f>
        <v>View Full Record in Web of Science</v>
      </c>
    </row>
    <row r="957" spans="1:72" x14ac:dyDescent="0.2">
      <c r="A957" t="s">
        <v>72</v>
      </c>
      <c r="B957" t="s">
        <v>17796</v>
      </c>
      <c r="C957" t="s">
        <v>74</v>
      </c>
      <c r="D957" t="s">
        <v>74</v>
      </c>
      <c r="E957" t="s">
        <v>74</v>
      </c>
      <c r="F957" t="s">
        <v>17797</v>
      </c>
      <c r="G957" t="s">
        <v>74</v>
      </c>
      <c r="H957" t="s">
        <v>74</v>
      </c>
      <c r="I957" t="s">
        <v>17798</v>
      </c>
      <c r="J957" t="s">
        <v>976</v>
      </c>
      <c r="K957" t="s">
        <v>74</v>
      </c>
      <c r="L957" t="s">
        <v>74</v>
      </c>
      <c r="M957" t="s">
        <v>78</v>
      </c>
      <c r="N957" t="s">
        <v>79</v>
      </c>
      <c r="O957" t="s">
        <v>74</v>
      </c>
      <c r="P957" t="s">
        <v>74</v>
      </c>
      <c r="Q957" t="s">
        <v>74</v>
      </c>
      <c r="R957" t="s">
        <v>74</v>
      </c>
      <c r="S957" t="s">
        <v>74</v>
      </c>
      <c r="T957" t="s">
        <v>17799</v>
      </c>
      <c r="U957" t="s">
        <v>17800</v>
      </c>
      <c r="V957" t="s">
        <v>17801</v>
      </c>
      <c r="W957" t="s">
        <v>17802</v>
      </c>
      <c r="X957" t="s">
        <v>17803</v>
      </c>
      <c r="Y957" t="s">
        <v>17804</v>
      </c>
      <c r="Z957" t="s">
        <v>17805</v>
      </c>
      <c r="AA957" t="s">
        <v>17806</v>
      </c>
      <c r="AB957" t="s">
        <v>17807</v>
      </c>
      <c r="AC957" t="s">
        <v>17808</v>
      </c>
      <c r="AD957" t="s">
        <v>17808</v>
      </c>
      <c r="AE957" t="s">
        <v>17809</v>
      </c>
      <c r="AF957" t="s">
        <v>74</v>
      </c>
      <c r="AG957">
        <v>150</v>
      </c>
      <c r="AH957">
        <v>153</v>
      </c>
      <c r="AI957">
        <v>154</v>
      </c>
      <c r="AJ957">
        <v>66</v>
      </c>
      <c r="AK957">
        <v>337</v>
      </c>
      <c r="AL957" t="s">
        <v>259</v>
      </c>
      <c r="AM957" t="s">
        <v>260</v>
      </c>
      <c r="AN957" t="s">
        <v>261</v>
      </c>
      <c r="AO957" t="s">
        <v>989</v>
      </c>
      <c r="AP957" t="s">
        <v>990</v>
      </c>
      <c r="AQ957" t="s">
        <v>74</v>
      </c>
      <c r="AR957" t="s">
        <v>991</v>
      </c>
      <c r="AS957" t="s">
        <v>992</v>
      </c>
      <c r="AT957" t="s">
        <v>12862</v>
      </c>
      <c r="AU957">
        <v>2020</v>
      </c>
      <c r="AV957">
        <v>247</v>
      </c>
      <c r="AW957" t="s">
        <v>74</v>
      </c>
      <c r="AX957" t="s">
        <v>74</v>
      </c>
      <c r="AY957" t="s">
        <v>74</v>
      </c>
      <c r="AZ957" t="s">
        <v>74</v>
      </c>
      <c r="BA957" t="s">
        <v>74</v>
      </c>
      <c r="BB957" t="s">
        <v>74</v>
      </c>
      <c r="BC957" t="s">
        <v>74</v>
      </c>
      <c r="BD957">
        <v>119131</v>
      </c>
      <c r="BE957" t="s">
        <v>17810</v>
      </c>
      <c r="BF957" t="str">
        <f>HYPERLINK("http://dx.doi.org/10.1016/j.jclepro.2019.119131","http://dx.doi.org/10.1016/j.jclepro.2019.119131")</f>
        <v>http://dx.doi.org/10.1016/j.jclepro.2019.119131</v>
      </c>
      <c r="BG957" t="s">
        <v>74</v>
      </c>
      <c r="BH957" t="s">
        <v>74</v>
      </c>
      <c r="BI957">
        <v>15</v>
      </c>
      <c r="BJ957" t="s">
        <v>995</v>
      </c>
      <c r="BK957" t="s">
        <v>147</v>
      </c>
      <c r="BL957" t="s">
        <v>996</v>
      </c>
      <c r="BM957" t="s">
        <v>17811</v>
      </c>
      <c r="BN957" t="s">
        <v>74</v>
      </c>
      <c r="BO957" t="s">
        <v>74</v>
      </c>
      <c r="BP957" t="s">
        <v>2105</v>
      </c>
      <c r="BQ957" t="s">
        <v>2106</v>
      </c>
      <c r="BR957" t="s">
        <v>102</v>
      </c>
      <c r="BS957" t="s">
        <v>17812</v>
      </c>
      <c r="BT957" t="str">
        <f>HYPERLINK("https%3A%2F%2Fwww.webofscience.com%2Fwos%2Fwoscc%2Ffull-record%2FWOS:000505696700049","View Full Record in Web of Science")</f>
        <v>View Full Record in Web of Science</v>
      </c>
    </row>
    <row r="958" spans="1:72" x14ac:dyDescent="0.2">
      <c r="A958" t="s">
        <v>72</v>
      </c>
      <c r="B958" t="s">
        <v>17813</v>
      </c>
      <c r="C958" t="s">
        <v>74</v>
      </c>
      <c r="D958" t="s">
        <v>74</v>
      </c>
      <c r="E958" t="s">
        <v>74</v>
      </c>
      <c r="F958" t="s">
        <v>17814</v>
      </c>
      <c r="G958" t="s">
        <v>74</v>
      </c>
      <c r="H958" t="s">
        <v>74</v>
      </c>
      <c r="I958" t="s">
        <v>17815</v>
      </c>
      <c r="J958" t="s">
        <v>10998</v>
      </c>
      <c r="K958" t="s">
        <v>74</v>
      </c>
      <c r="L958" t="s">
        <v>74</v>
      </c>
      <c r="M958" t="s">
        <v>78</v>
      </c>
      <c r="N958" t="s">
        <v>108</v>
      </c>
      <c r="O958" t="s">
        <v>74</v>
      </c>
      <c r="P958" t="s">
        <v>74</v>
      </c>
      <c r="Q958" t="s">
        <v>74</v>
      </c>
      <c r="R958" t="s">
        <v>74</v>
      </c>
      <c r="S958" t="s">
        <v>74</v>
      </c>
      <c r="T958" t="s">
        <v>17816</v>
      </c>
      <c r="U958" t="s">
        <v>17817</v>
      </c>
      <c r="V958" t="s">
        <v>17818</v>
      </c>
      <c r="W958" t="s">
        <v>17819</v>
      </c>
      <c r="X958" t="s">
        <v>17820</v>
      </c>
      <c r="Y958" t="s">
        <v>17821</v>
      </c>
      <c r="Z958" t="s">
        <v>17822</v>
      </c>
      <c r="AA958" t="s">
        <v>17823</v>
      </c>
      <c r="AB958" t="s">
        <v>17824</v>
      </c>
      <c r="AC958" t="s">
        <v>17825</v>
      </c>
      <c r="AD958" t="s">
        <v>17820</v>
      </c>
      <c r="AE958" t="s">
        <v>17826</v>
      </c>
      <c r="AF958" t="s">
        <v>74</v>
      </c>
      <c r="AG958">
        <v>52</v>
      </c>
      <c r="AH958">
        <v>0</v>
      </c>
      <c r="AI958">
        <v>1</v>
      </c>
      <c r="AJ958">
        <v>4</v>
      </c>
      <c r="AK958">
        <v>21</v>
      </c>
      <c r="AL958" t="s">
        <v>437</v>
      </c>
      <c r="AM958" t="s">
        <v>438</v>
      </c>
      <c r="AN958" t="s">
        <v>439</v>
      </c>
      <c r="AO958" t="s">
        <v>11011</v>
      </c>
      <c r="AP958" t="s">
        <v>11012</v>
      </c>
      <c r="AQ958" t="s">
        <v>74</v>
      </c>
      <c r="AR958" t="s">
        <v>11013</v>
      </c>
      <c r="AS958" t="s">
        <v>11014</v>
      </c>
      <c r="AT958" t="s">
        <v>1371</v>
      </c>
      <c r="AU958">
        <v>2021</v>
      </c>
      <c r="AV958">
        <v>123</v>
      </c>
      <c r="AW958">
        <v>13</v>
      </c>
      <c r="AX958" t="s">
        <v>74</v>
      </c>
      <c r="AY958" t="s">
        <v>74</v>
      </c>
      <c r="AZ958" t="s">
        <v>74</v>
      </c>
      <c r="BA958" t="s">
        <v>74</v>
      </c>
      <c r="BB958">
        <v>428</v>
      </c>
      <c r="BC958">
        <v>453</v>
      </c>
      <c r="BD958" t="s">
        <v>74</v>
      </c>
      <c r="BE958" t="s">
        <v>17827</v>
      </c>
      <c r="BF958" t="str">
        <f>HYPERLINK("http://dx.doi.org/10.1108/BFJ-04-2021-0358","http://dx.doi.org/10.1108/BFJ-04-2021-0358")</f>
        <v>http://dx.doi.org/10.1108/BFJ-04-2021-0358</v>
      </c>
      <c r="BG958" t="s">
        <v>74</v>
      </c>
      <c r="BH958" t="s">
        <v>74</v>
      </c>
      <c r="BI958">
        <v>26</v>
      </c>
      <c r="BJ958" t="s">
        <v>11016</v>
      </c>
      <c r="BK958" t="s">
        <v>98</v>
      </c>
      <c r="BL958" t="s">
        <v>11017</v>
      </c>
      <c r="BM958" t="s">
        <v>17828</v>
      </c>
      <c r="BN958" t="s">
        <v>74</v>
      </c>
      <c r="BO958" t="s">
        <v>702</v>
      </c>
      <c r="BP958" t="s">
        <v>74</v>
      </c>
      <c r="BQ958" t="s">
        <v>74</v>
      </c>
      <c r="BR958" t="s">
        <v>102</v>
      </c>
      <c r="BS958" t="s">
        <v>17829</v>
      </c>
      <c r="BT958" t="str">
        <f>HYPERLINK("https%3A%2F%2Fwww.webofscience.com%2Fwos%2Fwoscc%2Ffull-record%2FWOS:000710786900001","View Full Record in Web of Science")</f>
        <v>View Full Record in Web of Science</v>
      </c>
    </row>
    <row r="959" spans="1:72" x14ac:dyDescent="0.2">
      <c r="A959" t="s">
        <v>72</v>
      </c>
      <c r="B959" t="s">
        <v>17830</v>
      </c>
      <c r="C959" t="s">
        <v>74</v>
      </c>
      <c r="D959" t="s">
        <v>74</v>
      </c>
      <c r="E959" t="s">
        <v>74</v>
      </c>
      <c r="F959" t="s">
        <v>17831</v>
      </c>
      <c r="G959" t="s">
        <v>74</v>
      </c>
      <c r="H959" t="s">
        <v>74</v>
      </c>
      <c r="I959" t="s">
        <v>17832</v>
      </c>
      <c r="J959" t="s">
        <v>17833</v>
      </c>
      <c r="K959" t="s">
        <v>74</v>
      </c>
      <c r="L959" t="s">
        <v>74</v>
      </c>
      <c r="M959" t="s">
        <v>78</v>
      </c>
      <c r="N959" t="s">
        <v>108</v>
      </c>
      <c r="O959" t="s">
        <v>74</v>
      </c>
      <c r="P959" t="s">
        <v>74</v>
      </c>
      <c r="Q959" t="s">
        <v>74</v>
      </c>
      <c r="R959" t="s">
        <v>74</v>
      </c>
      <c r="S959" t="s">
        <v>74</v>
      </c>
      <c r="T959" t="s">
        <v>17834</v>
      </c>
      <c r="U959" t="s">
        <v>17835</v>
      </c>
      <c r="V959" t="s">
        <v>17836</v>
      </c>
      <c r="W959" t="s">
        <v>17837</v>
      </c>
      <c r="X959" t="s">
        <v>17838</v>
      </c>
      <c r="Y959" t="s">
        <v>17839</v>
      </c>
      <c r="Z959" t="s">
        <v>17840</v>
      </c>
      <c r="AA959" t="s">
        <v>17841</v>
      </c>
      <c r="AB959" t="s">
        <v>17842</v>
      </c>
      <c r="AC959" t="s">
        <v>17843</v>
      </c>
      <c r="AD959" t="s">
        <v>17844</v>
      </c>
      <c r="AE959" t="s">
        <v>17845</v>
      </c>
      <c r="AF959" t="s">
        <v>74</v>
      </c>
      <c r="AG959">
        <v>36</v>
      </c>
      <c r="AH959">
        <v>10</v>
      </c>
      <c r="AI959">
        <v>10</v>
      </c>
      <c r="AJ959">
        <v>2</v>
      </c>
      <c r="AK959">
        <v>11</v>
      </c>
      <c r="AL959" t="s">
        <v>6915</v>
      </c>
      <c r="AM959" t="s">
        <v>260</v>
      </c>
      <c r="AN959" t="s">
        <v>6916</v>
      </c>
      <c r="AO959" t="s">
        <v>17846</v>
      </c>
      <c r="AP959" t="s">
        <v>17847</v>
      </c>
      <c r="AQ959" t="s">
        <v>74</v>
      </c>
      <c r="AR959" t="s">
        <v>17848</v>
      </c>
      <c r="AS959" t="s">
        <v>17849</v>
      </c>
      <c r="AT959" t="s">
        <v>216</v>
      </c>
      <c r="AU959">
        <v>2019</v>
      </c>
      <c r="AV959">
        <v>172</v>
      </c>
      <c r="AW959">
        <v>2</v>
      </c>
      <c r="AX959" t="s">
        <v>74</v>
      </c>
      <c r="AY959" t="s">
        <v>74</v>
      </c>
      <c r="AZ959" t="s">
        <v>74</v>
      </c>
      <c r="BA959" t="s">
        <v>74</v>
      </c>
      <c r="BB959">
        <v>316</v>
      </c>
      <c r="BC959">
        <v>329</v>
      </c>
      <c r="BD959" t="s">
        <v>74</v>
      </c>
      <c r="BE959" t="s">
        <v>17850</v>
      </c>
      <c r="BF959" t="str">
        <f>HYPERLINK("http://dx.doi.org/10.1093/toxsci/kfz189","http://dx.doi.org/10.1093/toxsci/kfz189")</f>
        <v>http://dx.doi.org/10.1093/toxsci/kfz189</v>
      </c>
      <c r="BG959" t="s">
        <v>74</v>
      </c>
      <c r="BH959" t="s">
        <v>74</v>
      </c>
      <c r="BI959">
        <v>14</v>
      </c>
      <c r="BJ959" t="s">
        <v>17851</v>
      </c>
      <c r="BK959" t="s">
        <v>98</v>
      </c>
      <c r="BL959" t="s">
        <v>17851</v>
      </c>
      <c r="BM959" t="s">
        <v>17852</v>
      </c>
      <c r="BN959">
        <v>31504990</v>
      </c>
      <c r="BO959" t="s">
        <v>726</v>
      </c>
      <c r="BP959" t="s">
        <v>74</v>
      </c>
      <c r="BQ959" t="s">
        <v>74</v>
      </c>
      <c r="BR959" t="s">
        <v>102</v>
      </c>
      <c r="BS959" t="s">
        <v>17853</v>
      </c>
      <c r="BT959" t="str">
        <f>HYPERLINK("https%3A%2F%2Fwww.webofscience.com%2Fwos%2Fwoscc%2Ffull-record%2FWOS:000501738100008","View Full Record in Web of Science")</f>
        <v>View Full Record in Web of Science</v>
      </c>
    </row>
    <row r="960" spans="1:72" x14ac:dyDescent="0.2">
      <c r="A960" t="s">
        <v>72</v>
      </c>
      <c r="B960" t="s">
        <v>17854</v>
      </c>
      <c r="C960" t="s">
        <v>74</v>
      </c>
      <c r="D960" t="s">
        <v>74</v>
      </c>
      <c r="E960" t="s">
        <v>74</v>
      </c>
      <c r="F960" t="s">
        <v>17855</v>
      </c>
      <c r="G960" t="s">
        <v>74</v>
      </c>
      <c r="H960" t="s">
        <v>74</v>
      </c>
      <c r="I960" t="s">
        <v>17856</v>
      </c>
      <c r="J960" t="s">
        <v>5545</v>
      </c>
      <c r="K960" t="s">
        <v>74</v>
      </c>
      <c r="L960" t="s">
        <v>74</v>
      </c>
      <c r="M960" t="s">
        <v>78</v>
      </c>
      <c r="N960" t="s">
        <v>108</v>
      </c>
      <c r="O960" t="s">
        <v>74</v>
      </c>
      <c r="P960" t="s">
        <v>74</v>
      </c>
      <c r="Q960" t="s">
        <v>74</v>
      </c>
      <c r="R960" t="s">
        <v>74</v>
      </c>
      <c r="S960" t="s">
        <v>74</v>
      </c>
      <c r="T960" t="s">
        <v>17857</v>
      </c>
      <c r="U960" t="s">
        <v>17858</v>
      </c>
      <c r="V960" t="s">
        <v>17859</v>
      </c>
      <c r="W960" t="s">
        <v>17860</v>
      </c>
      <c r="X960" t="s">
        <v>17861</v>
      </c>
      <c r="Y960" t="s">
        <v>17862</v>
      </c>
      <c r="Z960" t="s">
        <v>74</v>
      </c>
      <c r="AA960" t="s">
        <v>17863</v>
      </c>
      <c r="AB960" t="s">
        <v>17864</v>
      </c>
      <c r="AC960" t="s">
        <v>74</v>
      </c>
      <c r="AD960" t="s">
        <v>74</v>
      </c>
      <c r="AE960" t="s">
        <v>74</v>
      </c>
      <c r="AF960" t="s">
        <v>74</v>
      </c>
      <c r="AG960">
        <v>99</v>
      </c>
      <c r="AH960">
        <v>74</v>
      </c>
      <c r="AI960">
        <v>74</v>
      </c>
      <c r="AJ960">
        <v>2</v>
      </c>
      <c r="AK960">
        <v>66</v>
      </c>
      <c r="AL960" t="s">
        <v>437</v>
      </c>
      <c r="AM960" t="s">
        <v>438</v>
      </c>
      <c r="AN960" t="s">
        <v>439</v>
      </c>
      <c r="AO960" t="s">
        <v>5556</v>
      </c>
      <c r="AP960" t="s">
        <v>5557</v>
      </c>
      <c r="AQ960" t="s">
        <v>74</v>
      </c>
      <c r="AR960" t="s">
        <v>5558</v>
      </c>
      <c r="AS960" t="s">
        <v>5559</v>
      </c>
      <c r="AT960" t="s">
        <v>74</v>
      </c>
      <c r="AU960">
        <v>2016</v>
      </c>
      <c r="AV960">
        <v>36</v>
      </c>
      <c r="AW960">
        <v>10</v>
      </c>
      <c r="AX960" t="s">
        <v>74</v>
      </c>
      <c r="AY960" t="s">
        <v>74</v>
      </c>
      <c r="AZ960" t="s">
        <v>74</v>
      </c>
      <c r="BA960" t="s">
        <v>74</v>
      </c>
      <c r="BB960">
        <v>1115</v>
      </c>
      <c r="BC960">
        <v>1160</v>
      </c>
      <c r="BD960" t="s">
        <v>74</v>
      </c>
      <c r="BE960" t="s">
        <v>17865</v>
      </c>
      <c r="BF960" t="str">
        <f>HYPERLINK("http://dx.doi.org/10.1108/IJOPM-01-2015-0003","http://dx.doi.org/10.1108/IJOPM-01-2015-0003")</f>
        <v>http://dx.doi.org/10.1108/IJOPM-01-2015-0003</v>
      </c>
      <c r="BG960" t="s">
        <v>74</v>
      </c>
      <c r="BH960" t="s">
        <v>74</v>
      </c>
      <c r="BI960">
        <v>46</v>
      </c>
      <c r="BJ960" t="s">
        <v>418</v>
      </c>
      <c r="BK960" t="s">
        <v>242</v>
      </c>
      <c r="BL960" t="s">
        <v>419</v>
      </c>
      <c r="BM960" t="s">
        <v>17866</v>
      </c>
      <c r="BN960" t="s">
        <v>74</v>
      </c>
      <c r="BO960" t="s">
        <v>74</v>
      </c>
      <c r="BP960" t="s">
        <v>74</v>
      </c>
      <c r="BQ960" t="s">
        <v>74</v>
      </c>
      <c r="BR960" t="s">
        <v>102</v>
      </c>
      <c r="BS960" t="s">
        <v>17867</v>
      </c>
      <c r="BT960" t="str">
        <f>HYPERLINK("https%3A%2F%2Fwww.webofscience.com%2Fwos%2Fwoscc%2Ffull-record%2FWOS:000387084100002","View Full Record in Web of Science")</f>
        <v>View Full Record in Web of Science</v>
      </c>
    </row>
    <row r="961" spans="1:72" x14ac:dyDescent="0.2">
      <c r="A961" t="s">
        <v>72</v>
      </c>
      <c r="B961" t="s">
        <v>17868</v>
      </c>
      <c r="C961" t="s">
        <v>74</v>
      </c>
      <c r="D961" t="s">
        <v>74</v>
      </c>
      <c r="E961" t="s">
        <v>74</v>
      </c>
      <c r="F961" t="s">
        <v>17869</v>
      </c>
      <c r="G961" t="s">
        <v>74</v>
      </c>
      <c r="H961" t="s">
        <v>74</v>
      </c>
      <c r="I961" t="s">
        <v>17870</v>
      </c>
      <c r="J961" t="s">
        <v>5483</v>
      </c>
      <c r="K961" t="s">
        <v>74</v>
      </c>
      <c r="L961" t="s">
        <v>74</v>
      </c>
      <c r="M961" t="s">
        <v>78</v>
      </c>
      <c r="N961" t="s">
        <v>79</v>
      </c>
      <c r="O961" t="s">
        <v>74</v>
      </c>
      <c r="P961" t="s">
        <v>74</v>
      </c>
      <c r="Q961" t="s">
        <v>74</v>
      </c>
      <c r="R961" t="s">
        <v>74</v>
      </c>
      <c r="S961" t="s">
        <v>74</v>
      </c>
      <c r="T961" t="s">
        <v>17871</v>
      </c>
      <c r="U961" t="s">
        <v>17872</v>
      </c>
      <c r="V961" t="s">
        <v>17873</v>
      </c>
      <c r="W961" t="s">
        <v>17874</v>
      </c>
      <c r="X961" t="s">
        <v>17875</v>
      </c>
      <c r="Y961" t="s">
        <v>17876</v>
      </c>
      <c r="Z961" t="s">
        <v>17877</v>
      </c>
      <c r="AA961" t="s">
        <v>17878</v>
      </c>
      <c r="AB961" t="s">
        <v>17879</v>
      </c>
      <c r="AC961" t="s">
        <v>74</v>
      </c>
      <c r="AD961" t="s">
        <v>74</v>
      </c>
      <c r="AE961" t="s">
        <v>74</v>
      </c>
      <c r="AF961" t="s">
        <v>74</v>
      </c>
      <c r="AG961">
        <v>98</v>
      </c>
      <c r="AH961">
        <v>111</v>
      </c>
      <c r="AI961">
        <v>113</v>
      </c>
      <c r="AJ961">
        <v>15</v>
      </c>
      <c r="AK961">
        <v>248</v>
      </c>
      <c r="AL961" t="s">
        <v>437</v>
      </c>
      <c r="AM961" t="s">
        <v>438</v>
      </c>
      <c r="AN961" t="s">
        <v>439</v>
      </c>
      <c r="AO961" t="s">
        <v>5493</v>
      </c>
      <c r="AP961" t="s">
        <v>5494</v>
      </c>
      <c r="AQ961" t="s">
        <v>74</v>
      </c>
      <c r="AR961" t="s">
        <v>5495</v>
      </c>
      <c r="AS961" t="s">
        <v>5496</v>
      </c>
      <c r="AT961" t="s">
        <v>11808</v>
      </c>
      <c r="AU961">
        <v>2019</v>
      </c>
      <c r="AV961">
        <v>24</v>
      </c>
      <c r="AW961">
        <v>1</v>
      </c>
      <c r="AX961" t="s">
        <v>74</v>
      </c>
      <c r="AY961" t="s">
        <v>74</v>
      </c>
      <c r="AZ961" t="s">
        <v>570</v>
      </c>
      <c r="BA961" t="s">
        <v>74</v>
      </c>
      <c r="BB961">
        <v>124</v>
      </c>
      <c r="BC961">
        <v>146</v>
      </c>
      <c r="BD961" t="s">
        <v>74</v>
      </c>
      <c r="BE961" t="s">
        <v>17880</v>
      </c>
      <c r="BF961" t="str">
        <f>HYPERLINK("http://dx.doi.org/10.1108/SCM-03-2018-0150","http://dx.doi.org/10.1108/SCM-03-2018-0150")</f>
        <v>http://dx.doi.org/10.1108/SCM-03-2018-0150</v>
      </c>
      <c r="BG961" t="s">
        <v>74</v>
      </c>
      <c r="BH961" t="s">
        <v>74</v>
      </c>
      <c r="BI961">
        <v>23</v>
      </c>
      <c r="BJ961" t="s">
        <v>849</v>
      </c>
      <c r="BK961" t="s">
        <v>242</v>
      </c>
      <c r="BL961" t="s">
        <v>419</v>
      </c>
      <c r="BM961" t="s">
        <v>17881</v>
      </c>
      <c r="BN961" t="s">
        <v>74</v>
      </c>
      <c r="BO961" t="s">
        <v>74</v>
      </c>
      <c r="BP961" t="s">
        <v>74</v>
      </c>
      <c r="BQ961" t="s">
        <v>74</v>
      </c>
      <c r="BR961" t="s">
        <v>102</v>
      </c>
      <c r="BS961" t="s">
        <v>17882</v>
      </c>
      <c r="BT961" t="str">
        <f>HYPERLINK("https%3A%2F%2Fwww.webofscience.com%2Fwos%2Fwoscc%2Ffull-record%2FWOS:000460167200008","View Full Record in Web of Science")</f>
        <v>View Full Record in Web of Science</v>
      </c>
    </row>
    <row r="962" spans="1:72" x14ac:dyDescent="0.2">
      <c r="A962" t="s">
        <v>72</v>
      </c>
      <c r="B962" t="s">
        <v>17883</v>
      </c>
      <c r="C962" t="s">
        <v>74</v>
      </c>
      <c r="D962" t="s">
        <v>74</v>
      </c>
      <c r="E962" t="s">
        <v>74</v>
      </c>
      <c r="F962" t="s">
        <v>17884</v>
      </c>
      <c r="G962" t="s">
        <v>74</v>
      </c>
      <c r="H962" t="s">
        <v>74</v>
      </c>
      <c r="I962" t="s">
        <v>17885</v>
      </c>
      <c r="J962" t="s">
        <v>4384</v>
      </c>
      <c r="K962" t="s">
        <v>74</v>
      </c>
      <c r="L962" t="s">
        <v>74</v>
      </c>
      <c r="M962" t="s">
        <v>78</v>
      </c>
      <c r="N962" t="s">
        <v>108</v>
      </c>
      <c r="O962" t="s">
        <v>74</v>
      </c>
      <c r="P962" t="s">
        <v>74</v>
      </c>
      <c r="Q962" t="s">
        <v>74</v>
      </c>
      <c r="R962" t="s">
        <v>74</v>
      </c>
      <c r="S962" t="s">
        <v>74</v>
      </c>
      <c r="T962" t="s">
        <v>17886</v>
      </c>
      <c r="U962" t="s">
        <v>17887</v>
      </c>
      <c r="V962" t="s">
        <v>17888</v>
      </c>
      <c r="W962" t="s">
        <v>17889</v>
      </c>
      <c r="X962" t="s">
        <v>17890</v>
      </c>
      <c r="Y962" t="s">
        <v>17891</v>
      </c>
      <c r="Z962" t="s">
        <v>17892</v>
      </c>
      <c r="AA962" t="s">
        <v>74</v>
      </c>
      <c r="AB962" t="s">
        <v>74</v>
      </c>
      <c r="AC962" t="s">
        <v>17893</v>
      </c>
      <c r="AD962" t="s">
        <v>987</v>
      </c>
      <c r="AE962" t="s">
        <v>17894</v>
      </c>
      <c r="AF962" t="s">
        <v>74</v>
      </c>
      <c r="AG962">
        <v>35</v>
      </c>
      <c r="AH962">
        <v>4</v>
      </c>
      <c r="AI962">
        <v>4</v>
      </c>
      <c r="AJ962">
        <v>12</v>
      </c>
      <c r="AK962">
        <v>102</v>
      </c>
      <c r="AL962" t="s">
        <v>167</v>
      </c>
      <c r="AM962" t="s">
        <v>168</v>
      </c>
      <c r="AN962" t="s">
        <v>169</v>
      </c>
      <c r="AO962" t="s">
        <v>4393</v>
      </c>
      <c r="AP962" t="s">
        <v>74</v>
      </c>
      <c r="AQ962" t="s">
        <v>74</v>
      </c>
      <c r="AR962" t="s">
        <v>4384</v>
      </c>
      <c r="AS962" t="s">
        <v>4394</v>
      </c>
      <c r="AT962" t="s">
        <v>74</v>
      </c>
      <c r="AU962">
        <v>2020</v>
      </c>
      <c r="AV962">
        <v>8</v>
      </c>
      <c r="AW962" t="s">
        <v>74</v>
      </c>
      <c r="AX962" t="s">
        <v>74</v>
      </c>
      <c r="AY962" t="s">
        <v>74</v>
      </c>
      <c r="AZ962" t="s">
        <v>74</v>
      </c>
      <c r="BA962" t="s">
        <v>74</v>
      </c>
      <c r="BB962">
        <v>174080</v>
      </c>
      <c r="BC962">
        <v>174093</v>
      </c>
      <c r="BD962" t="s">
        <v>74</v>
      </c>
      <c r="BE962" t="s">
        <v>17895</v>
      </c>
      <c r="BF962" t="str">
        <f>HYPERLINK("http://dx.doi.org/10.1109/ACCESS.2020.3026062","http://dx.doi.org/10.1109/ACCESS.2020.3026062")</f>
        <v>http://dx.doi.org/10.1109/ACCESS.2020.3026062</v>
      </c>
      <c r="BG962" t="s">
        <v>74</v>
      </c>
      <c r="BH962" t="s">
        <v>74</v>
      </c>
      <c r="BI962">
        <v>14</v>
      </c>
      <c r="BJ962" t="s">
        <v>2959</v>
      </c>
      <c r="BK962" t="s">
        <v>147</v>
      </c>
      <c r="BL962" t="s">
        <v>2960</v>
      </c>
      <c r="BM962" t="s">
        <v>17896</v>
      </c>
      <c r="BN962" t="s">
        <v>74</v>
      </c>
      <c r="BO962" t="s">
        <v>126</v>
      </c>
      <c r="BP962" t="s">
        <v>74</v>
      </c>
      <c r="BQ962" t="s">
        <v>74</v>
      </c>
      <c r="BR962" t="s">
        <v>102</v>
      </c>
      <c r="BS962" t="s">
        <v>17897</v>
      </c>
      <c r="BT962" t="str">
        <f>HYPERLINK("https%3A%2F%2Fwww.webofscience.com%2Fwos%2Fwoscc%2Ffull-record%2FWOS:000575873900001","View Full Record in Web of Science")</f>
        <v>View Full Record in Web of Science</v>
      </c>
    </row>
    <row r="963" spans="1:72" x14ac:dyDescent="0.2">
      <c r="A963" t="s">
        <v>72</v>
      </c>
      <c r="B963" t="s">
        <v>17898</v>
      </c>
      <c r="C963" t="s">
        <v>74</v>
      </c>
      <c r="D963" t="s">
        <v>74</v>
      </c>
      <c r="E963" t="s">
        <v>74</v>
      </c>
      <c r="F963" t="s">
        <v>17899</v>
      </c>
      <c r="G963" t="s">
        <v>74</v>
      </c>
      <c r="H963" t="s">
        <v>74</v>
      </c>
      <c r="I963" t="s">
        <v>17900</v>
      </c>
      <c r="J963" t="s">
        <v>17901</v>
      </c>
      <c r="K963" t="s">
        <v>74</v>
      </c>
      <c r="L963" t="s">
        <v>74</v>
      </c>
      <c r="M963" t="s">
        <v>78</v>
      </c>
      <c r="N963" t="s">
        <v>108</v>
      </c>
      <c r="O963" t="s">
        <v>74</v>
      </c>
      <c r="P963" t="s">
        <v>74</v>
      </c>
      <c r="Q963" t="s">
        <v>74</v>
      </c>
      <c r="R963" t="s">
        <v>74</v>
      </c>
      <c r="S963" t="s">
        <v>74</v>
      </c>
      <c r="T963" t="s">
        <v>17902</v>
      </c>
      <c r="U963" t="s">
        <v>17903</v>
      </c>
      <c r="V963" t="s">
        <v>17904</v>
      </c>
      <c r="W963" t="s">
        <v>17905</v>
      </c>
      <c r="X963" t="s">
        <v>17906</v>
      </c>
      <c r="Y963" t="s">
        <v>17907</v>
      </c>
      <c r="Z963" t="s">
        <v>17908</v>
      </c>
      <c r="AA963" t="s">
        <v>74</v>
      </c>
      <c r="AB963" t="s">
        <v>17909</v>
      </c>
      <c r="AC963" t="s">
        <v>17910</v>
      </c>
      <c r="AD963" t="s">
        <v>17910</v>
      </c>
      <c r="AE963" t="s">
        <v>17911</v>
      </c>
      <c r="AF963" t="s">
        <v>74</v>
      </c>
      <c r="AG963">
        <v>73</v>
      </c>
      <c r="AH963">
        <v>29</v>
      </c>
      <c r="AI963">
        <v>30</v>
      </c>
      <c r="AJ963">
        <v>1</v>
      </c>
      <c r="AK963">
        <v>41</v>
      </c>
      <c r="AL963" t="s">
        <v>10797</v>
      </c>
      <c r="AM963" t="s">
        <v>667</v>
      </c>
      <c r="AN963" t="s">
        <v>10798</v>
      </c>
      <c r="AO963" t="s">
        <v>17912</v>
      </c>
      <c r="AP963" t="s">
        <v>17913</v>
      </c>
      <c r="AQ963" t="s">
        <v>74</v>
      </c>
      <c r="AR963" t="s">
        <v>17914</v>
      </c>
      <c r="AS963" t="s">
        <v>17915</v>
      </c>
      <c r="AT963" t="s">
        <v>174</v>
      </c>
      <c r="AU963">
        <v>2013</v>
      </c>
      <c r="AV963">
        <v>65</v>
      </c>
      <c r="AW963" t="s">
        <v>74</v>
      </c>
      <c r="AX963" t="s">
        <v>74</v>
      </c>
      <c r="AY963" t="s">
        <v>74</v>
      </c>
      <c r="AZ963" t="s">
        <v>74</v>
      </c>
      <c r="BA963" t="s">
        <v>74</v>
      </c>
      <c r="BB963">
        <v>55</v>
      </c>
      <c r="BC963">
        <v>65</v>
      </c>
      <c r="BD963" t="s">
        <v>74</v>
      </c>
      <c r="BE963" t="s">
        <v>17916</v>
      </c>
      <c r="BF963" t="str">
        <f>HYPERLINK("http://dx.doi.org/10.1016/j.enbuild.2013.05.047","http://dx.doi.org/10.1016/j.enbuild.2013.05.047")</f>
        <v>http://dx.doi.org/10.1016/j.enbuild.2013.05.047</v>
      </c>
      <c r="BG963" t="s">
        <v>74</v>
      </c>
      <c r="BH963" t="s">
        <v>74</v>
      </c>
      <c r="BI963">
        <v>11</v>
      </c>
      <c r="BJ963" t="s">
        <v>17917</v>
      </c>
      <c r="BK963" t="s">
        <v>147</v>
      </c>
      <c r="BL963" t="s">
        <v>17918</v>
      </c>
      <c r="BM963" t="s">
        <v>17919</v>
      </c>
      <c r="BN963" t="s">
        <v>74</v>
      </c>
      <c r="BO963" t="s">
        <v>74</v>
      </c>
      <c r="BP963" t="s">
        <v>74</v>
      </c>
      <c r="BQ963" t="s">
        <v>74</v>
      </c>
      <c r="BR963" t="s">
        <v>102</v>
      </c>
      <c r="BS963" t="s">
        <v>17920</v>
      </c>
      <c r="BT963" t="str">
        <f>HYPERLINK("https%3A%2F%2Fwww.webofscience.com%2Fwos%2Fwoscc%2Ffull-record%2FWOS:000324449800007","View Full Record in Web of Science")</f>
        <v>View Full Record in Web of Science</v>
      </c>
    </row>
    <row r="964" spans="1:72" x14ac:dyDescent="0.2">
      <c r="A964" t="s">
        <v>72</v>
      </c>
      <c r="B964" t="s">
        <v>17921</v>
      </c>
      <c r="C964" t="s">
        <v>74</v>
      </c>
      <c r="D964" t="s">
        <v>74</v>
      </c>
      <c r="E964" t="s">
        <v>74</v>
      </c>
      <c r="F964" t="s">
        <v>17922</v>
      </c>
      <c r="G964" t="s">
        <v>74</v>
      </c>
      <c r="H964" t="s">
        <v>74</v>
      </c>
      <c r="I964" t="s">
        <v>17923</v>
      </c>
      <c r="J964" t="s">
        <v>4384</v>
      </c>
      <c r="K964" t="s">
        <v>74</v>
      </c>
      <c r="L964" t="s">
        <v>74</v>
      </c>
      <c r="M964" t="s">
        <v>78</v>
      </c>
      <c r="N964" t="s">
        <v>108</v>
      </c>
      <c r="O964" t="s">
        <v>74</v>
      </c>
      <c r="P964" t="s">
        <v>74</v>
      </c>
      <c r="Q964" t="s">
        <v>74</v>
      </c>
      <c r="R964" t="s">
        <v>74</v>
      </c>
      <c r="S964" t="s">
        <v>74</v>
      </c>
      <c r="T964" t="s">
        <v>17924</v>
      </c>
      <c r="U964" t="s">
        <v>17925</v>
      </c>
      <c r="V964" t="s">
        <v>17926</v>
      </c>
      <c r="W964" t="s">
        <v>17927</v>
      </c>
      <c r="X964" t="s">
        <v>17928</v>
      </c>
      <c r="Y964" t="s">
        <v>17929</v>
      </c>
      <c r="Z964" t="s">
        <v>17930</v>
      </c>
      <c r="AA964" t="s">
        <v>17931</v>
      </c>
      <c r="AB964" t="s">
        <v>17932</v>
      </c>
      <c r="AC964" t="s">
        <v>17933</v>
      </c>
      <c r="AD964" t="s">
        <v>17934</v>
      </c>
      <c r="AE964" t="s">
        <v>17935</v>
      </c>
      <c r="AF964" t="s">
        <v>74</v>
      </c>
      <c r="AG964">
        <v>77</v>
      </c>
      <c r="AH964">
        <v>37</v>
      </c>
      <c r="AI964">
        <v>37</v>
      </c>
      <c r="AJ964">
        <v>6</v>
      </c>
      <c r="AK964">
        <v>77</v>
      </c>
      <c r="AL964" t="s">
        <v>167</v>
      </c>
      <c r="AM964" t="s">
        <v>168</v>
      </c>
      <c r="AN964" t="s">
        <v>169</v>
      </c>
      <c r="AO964" t="s">
        <v>4393</v>
      </c>
      <c r="AP964" t="s">
        <v>74</v>
      </c>
      <c r="AQ964" t="s">
        <v>74</v>
      </c>
      <c r="AR964" t="s">
        <v>4384</v>
      </c>
      <c r="AS964" t="s">
        <v>4394</v>
      </c>
      <c r="AT964" t="s">
        <v>74</v>
      </c>
      <c r="AU964">
        <v>2021</v>
      </c>
      <c r="AV964">
        <v>9</v>
      </c>
      <c r="AW964" t="s">
        <v>74</v>
      </c>
      <c r="AX964" t="s">
        <v>74</v>
      </c>
      <c r="AY964" t="s">
        <v>74</v>
      </c>
      <c r="AZ964" t="s">
        <v>74</v>
      </c>
      <c r="BA964" t="s">
        <v>74</v>
      </c>
      <c r="BB964">
        <v>8069</v>
      </c>
      <c r="BC964">
        <v>8098</v>
      </c>
      <c r="BD964" t="s">
        <v>74</v>
      </c>
      <c r="BE964" t="s">
        <v>17936</v>
      </c>
      <c r="BF964" t="str">
        <f>HYPERLINK("http://dx.doi.org/10.1109/ACCESS.2021.3049325","http://dx.doi.org/10.1109/ACCESS.2021.3049325")</f>
        <v>http://dx.doi.org/10.1109/ACCESS.2021.3049325</v>
      </c>
      <c r="BG964" t="s">
        <v>74</v>
      </c>
      <c r="BH964" t="s">
        <v>74</v>
      </c>
      <c r="BI964">
        <v>30</v>
      </c>
      <c r="BJ964" t="s">
        <v>2959</v>
      </c>
      <c r="BK964" t="s">
        <v>98</v>
      </c>
      <c r="BL964" t="s">
        <v>2960</v>
      </c>
      <c r="BM964" t="s">
        <v>17937</v>
      </c>
      <c r="BN964" t="s">
        <v>74</v>
      </c>
      <c r="BO964" t="s">
        <v>126</v>
      </c>
      <c r="BP964" t="s">
        <v>74</v>
      </c>
      <c r="BQ964" t="s">
        <v>74</v>
      </c>
      <c r="BR964" t="s">
        <v>102</v>
      </c>
      <c r="BS964" t="s">
        <v>17938</v>
      </c>
      <c r="BT964" t="str">
        <f>HYPERLINK("https%3A%2F%2Fwww.webofscience.com%2Fwos%2Fwoscc%2Ffull-record%2FWOS:000608568100001","View Full Record in Web of Science")</f>
        <v>View Full Record in Web of Science</v>
      </c>
    </row>
    <row r="965" spans="1:72" x14ac:dyDescent="0.2">
      <c r="A965" t="s">
        <v>72</v>
      </c>
      <c r="B965" t="s">
        <v>17939</v>
      </c>
      <c r="C965" t="s">
        <v>74</v>
      </c>
      <c r="D965" t="s">
        <v>74</v>
      </c>
      <c r="E965" t="s">
        <v>74</v>
      </c>
      <c r="F965" t="s">
        <v>17940</v>
      </c>
      <c r="G965" t="s">
        <v>74</v>
      </c>
      <c r="H965" t="s">
        <v>74</v>
      </c>
      <c r="I965" t="s">
        <v>17941</v>
      </c>
      <c r="J965" t="s">
        <v>976</v>
      </c>
      <c r="K965" t="s">
        <v>74</v>
      </c>
      <c r="L965" t="s">
        <v>74</v>
      </c>
      <c r="M965" t="s">
        <v>78</v>
      </c>
      <c r="N965" t="s">
        <v>108</v>
      </c>
      <c r="O965" t="s">
        <v>74</v>
      </c>
      <c r="P965" t="s">
        <v>74</v>
      </c>
      <c r="Q965" t="s">
        <v>74</v>
      </c>
      <c r="R965" t="s">
        <v>74</v>
      </c>
      <c r="S965" t="s">
        <v>74</v>
      </c>
      <c r="T965" t="s">
        <v>17942</v>
      </c>
      <c r="U965" t="s">
        <v>17943</v>
      </c>
      <c r="V965" t="s">
        <v>17944</v>
      </c>
      <c r="W965" t="s">
        <v>17945</v>
      </c>
      <c r="X965" t="s">
        <v>17017</v>
      </c>
      <c r="Y965" t="s">
        <v>17946</v>
      </c>
      <c r="Z965" t="s">
        <v>17947</v>
      </c>
      <c r="AA965" t="s">
        <v>17948</v>
      </c>
      <c r="AB965" t="s">
        <v>74</v>
      </c>
      <c r="AC965" t="s">
        <v>74</v>
      </c>
      <c r="AD965" t="s">
        <v>74</v>
      </c>
      <c r="AE965" t="s">
        <v>74</v>
      </c>
      <c r="AF965" t="s">
        <v>74</v>
      </c>
      <c r="AG965">
        <v>71</v>
      </c>
      <c r="AH965">
        <v>31</v>
      </c>
      <c r="AI965">
        <v>31</v>
      </c>
      <c r="AJ965">
        <v>9</v>
      </c>
      <c r="AK965">
        <v>107</v>
      </c>
      <c r="AL965" t="s">
        <v>259</v>
      </c>
      <c r="AM965" t="s">
        <v>260</v>
      </c>
      <c r="AN965" t="s">
        <v>261</v>
      </c>
      <c r="AO965" t="s">
        <v>989</v>
      </c>
      <c r="AP965" t="s">
        <v>990</v>
      </c>
      <c r="AQ965" t="s">
        <v>74</v>
      </c>
      <c r="AR965" t="s">
        <v>991</v>
      </c>
      <c r="AS965" t="s">
        <v>992</v>
      </c>
      <c r="AT965" t="s">
        <v>2778</v>
      </c>
      <c r="AU965">
        <v>2019</v>
      </c>
      <c r="AV965">
        <v>215</v>
      </c>
      <c r="AW965" t="s">
        <v>74</v>
      </c>
      <c r="AX965" t="s">
        <v>74</v>
      </c>
      <c r="AY965" t="s">
        <v>74</v>
      </c>
      <c r="AZ965" t="s">
        <v>74</v>
      </c>
      <c r="BA965" t="s">
        <v>74</v>
      </c>
      <c r="BB965">
        <v>1490</v>
      </c>
      <c r="BC965">
        <v>1502</v>
      </c>
      <c r="BD965" t="s">
        <v>74</v>
      </c>
      <c r="BE965" t="s">
        <v>17949</v>
      </c>
      <c r="BF965" t="str">
        <f>HYPERLINK("http://dx.doi.org/10.1016/j.jclepro.2019.01.069","http://dx.doi.org/10.1016/j.jclepro.2019.01.069")</f>
        <v>http://dx.doi.org/10.1016/j.jclepro.2019.01.069</v>
      </c>
      <c r="BG965" t="s">
        <v>74</v>
      </c>
      <c r="BH965" t="s">
        <v>74</v>
      </c>
      <c r="BI965">
        <v>13</v>
      </c>
      <c r="BJ965" t="s">
        <v>995</v>
      </c>
      <c r="BK965" t="s">
        <v>147</v>
      </c>
      <c r="BL965" t="s">
        <v>996</v>
      </c>
      <c r="BM965" t="s">
        <v>17950</v>
      </c>
      <c r="BN965" t="s">
        <v>74</v>
      </c>
      <c r="BO965" t="s">
        <v>74</v>
      </c>
      <c r="BP965" t="s">
        <v>74</v>
      </c>
      <c r="BQ965" t="s">
        <v>74</v>
      </c>
      <c r="BR965" t="s">
        <v>102</v>
      </c>
      <c r="BS965" t="s">
        <v>17951</v>
      </c>
      <c r="BT965" t="str">
        <f>HYPERLINK("https%3A%2F%2Fwww.webofscience.com%2Fwos%2Fwoscc%2Ffull-record%2FWOS:000459358300124","View Full Record in Web of Science")</f>
        <v>View Full Record in Web of Science</v>
      </c>
    </row>
    <row r="966" spans="1:72" x14ac:dyDescent="0.2">
      <c r="A966" t="s">
        <v>72</v>
      </c>
      <c r="B966" t="s">
        <v>17952</v>
      </c>
      <c r="C966" t="s">
        <v>74</v>
      </c>
      <c r="D966" t="s">
        <v>74</v>
      </c>
      <c r="E966" t="s">
        <v>74</v>
      </c>
      <c r="F966" t="s">
        <v>17953</v>
      </c>
      <c r="G966" t="s">
        <v>74</v>
      </c>
      <c r="H966" t="s">
        <v>74</v>
      </c>
      <c r="I966" t="s">
        <v>17954</v>
      </c>
      <c r="J966" t="s">
        <v>2945</v>
      </c>
      <c r="K966" t="s">
        <v>74</v>
      </c>
      <c r="L966" t="s">
        <v>74</v>
      </c>
      <c r="M966" t="s">
        <v>78</v>
      </c>
      <c r="N966" t="s">
        <v>108</v>
      </c>
      <c r="O966" t="s">
        <v>74</v>
      </c>
      <c r="P966" t="s">
        <v>74</v>
      </c>
      <c r="Q966" t="s">
        <v>74</v>
      </c>
      <c r="R966" t="s">
        <v>74</v>
      </c>
      <c r="S966" t="s">
        <v>74</v>
      </c>
      <c r="T966" t="s">
        <v>74</v>
      </c>
      <c r="U966" t="s">
        <v>74</v>
      </c>
      <c r="V966" t="s">
        <v>17955</v>
      </c>
      <c r="W966" t="s">
        <v>17956</v>
      </c>
      <c r="X966" t="s">
        <v>17957</v>
      </c>
      <c r="Y966" t="s">
        <v>17958</v>
      </c>
      <c r="Z966" t="s">
        <v>17959</v>
      </c>
      <c r="AA966" t="s">
        <v>17960</v>
      </c>
      <c r="AB966" t="s">
        <v>17961</v>
      </c>
      <c r="AC966" t="s">
        <v>74</v>
      </c>
      <c r="AD966" t="s">
        <v>74</v>
      </c>
      <c r="AE966" t="s">
        <v>74</v>
      </c>
      <c r="AF966" t="s">
        <v>74</v>
      </c>
      <c r="AG966">
        <v>18</v>
      </c>
      <c r="AH966">
        <v>13</v>
      </c>
      <c r="AI966">
        <v>13</v>
      </c>
      <c r="AJ966">
        <v>12</v>
      </c>
      <c r="AK966">
        <v>34</v>
      </c>
      <c r="AL966" t="s">
        <v>2952</v>
      </c>
      <c r="AM966" t="s">
        <v>90</v>
      </c>
      <c r="AN966" t="s">
        <v>2953</v>
      </c>
      <c r="AO966" t="s">
        <v>2954</v>
      </c>
      <c r="AP966" t="s">
        <v>2955</v>
      </c>
      <c r="AQ966" t="s">
        <v>74</v>
      </c>
      <c r="AR966" t="s">
        <v>2956</v>
      </c>
      <c r="AS966" t="s">
        <v>2957</v>
      </c>
      <c r="AT966" t="s">
        <v>17962</v>
      </c>
      <c r="AU966">
        <v>2022</v>
      </c>
      <c r="AV966">
        <v>2022</v>
      </c>
      <c r="AW966" t="s">
        <v>74</v>
      </c>
      <c r="AX966" t="s">
        <v>74</v>
      </c>
      <c r="AY966" t="s">
        <v>74</v>
      </c>
      <c r="AZ966" t="s">
        <v>74</v>
      </c>
      <c r="BA966" t="s">
        <v>74</v>
      </c>
      <c r="BB966" t="s">
        <v>74</v>
      </c>
      <c r="BC966" t="s">
        <v>74</v>
      </c>
      <c r="BD966">
        <v>9023719</v>
      </c>
      <c r="BE966" t="s">
        <v>17963</v>
      </c>
      <c r="BF966" t="str">
        <f>HYPERLINK("http://dx.doi.org/10.1155/2022/9023719","http://dx.doi.org/10.1155/2022/9023719")</f>
        <v>http://dx.doi.org/10.1155/2022/9023719</v>
      </c>
      <c r="BG966" t="s">
        <v>74</v>
      </c>
      <c r="BH966" t="s">
        <v>74</v>
      </c>
      <c r="BI966">
        <v>8</v>
      </c>
      <c r="BJ966" t="s">
        <v>2959</v>
      </c>
      <c r="BK966" t="s">
        <v>98</v>
      </c>
      <c r="BL966" t="s">
        <v>2960</v>
      </c>
      <c r="BM966" t="s">
        <v>17964</v>
      </c>
      <c r="BN966" t="s">
        <v>74</v>
      </c>
      <c r="BO966" t="s">
        <v>126</v>
      </c>
      <c r="BP966" t="s">
        <v>74</v>
      </c>
      <c r="BQ966" t="s">
        <v>74</v>
      </c>
      <c r="BR966" t="s">
        <v>102</v>
      </c>
      <c r="BS966" t="s">
        <v>17965</v>
      </c>
      <c r="BT966" t="str">
        <f>HYPERLINK("https%3A%2F%2Fwww.webofscience.com%2Fwos%2Fwoscc%2Ffull-record%2FWOS:000779488000012","View Full Record in Web of Science")</f>
        <v>View Full Record in Web of Science</v>
      </c>
    </row>
    <row r="967" spans="1:72" x14ac:dyDescent="0.2">
      <c r="A967" t="s">
        <v>72</v>
      </c>
      <c r="B967" t="s">
        <v>17966</v>
      </c>
      <c r="C967" t="s">
        <v>74</v>
      </c>
      <c r="D967" t="s">
        <v>74</v>
      </c>
      <c r="E967" t="s">
        <v>74</v>
      </c>
      <c r="F967" t="s">
        <v>17967</v>
      </c>
      <c r="G967" t="s">
        <v>74</v>
      </c>
      <c r="H967" t="s">
        <v>74</v>
      </c>
      <c r="I967" t="s">
        <v>17968</v>
      </c>
      <c r="J967" t="s">
        <v>17969</v>
      </c>
      <c r="K967" t="s">
        <v>74</v>
      </c>
      <c r="L967" t="s">
        <v>74</v>
      </c>
      <c r="M967" t="s">
        <v>78</v>
      </c>
      <c r="N967" t="s">
        <v>108</v>
      </c>
      <c r="O967" t="s">
        <v>74</v>
      </c>
      <c r="P967" t="s">
        <v>74</v>
      </c>
      <c r="Q967" t="s">
        <v>74</v>
      </c>
      <c r="R967" t="s">
        <v>74</v>
      </c>
      <c r="S967" t="s">
        <v>74</v>
      </c>
      <c r="T967" t="s">
        <v>17970</v>
      </c>
      <c r="U967" t="s">
        <v>17971</v>
      </c>
      <c r="V967" t="s">
        <v>17972</v>
      </c>
      <c r="W967" t="s">
        <v>17973</v>
      </c>
      <c r="X967" t="s">
        <v>17974</v>
      </c>
      <c r="Y967" t="s">
        <v>17975</v>
      </c>
      <c r="Z967" t="s">
        <v>74</v>
      </c>
      <c r="AA967" t="s">
        <v>17976</v>
      </c>
      <c r="AB967" t="s">
        <v>17977</v>
      </c>
      <c r="AC967" t="s">
        <v>74</v>
      </c>
      <c r="AD967" t="s">
        <v>74</v>
      </c>
      <c r="AE967" t="s">
        <v>74</v>
      </c>
      <c r="AF967" t="s">
        <v>74</v>
      </c>
      <c r="AG967">
        <v>28</v>
      </c>
      <c r="AH967">
        <v>0</v>
      </c>
      <c r="AI967">
        <v>0</v>
      </c>
      <c r="AJ967">
        <v>1</v>
      </c>
      <c r="AK967">
        <v>1</v>
      </c>
      <c r="AL967" t="s">
        <v>17978</v>
      </c>
      <c r="AM967" t="s">
        <v>17979</v>
      </c>
      <c r="AN967" t="s">
        <v>17980</v>
      </c>
      <c r="AO967" t="s">
        <v>74</v>
      </c>
      <c r="AP967" t="s">
        <v>17981</v>
      </c>
      <c r="AQ967" t="s">
        <v>74</v>
      </c>
      <c r="AR967" t="s">
        <v>17982</v>
      </c>
      <c r="AS967" t="s">
        <v>17983</v>
      </c>
      <c r="AT967" t="s">
        <v>74</v>
      </c>
      <c r="AU967">
        <v>2023</v>
      </c>
      <c r="AV967">
        <v>9</v>
      </c>
      <c r="AW967">
        <v>1</v>
      </c>
      <c r="AX967" t="s">
        <v>74</v>
      </c>
      <c r="AY967" t="s">
        <v>74</v>
      </c>
      <c r="AZ967" t="s">
        <v>74</v>
      </c>
      <c r="BA967" t="s">
        <v>74</v>
      </c>
      <c r="BB967">
        <v>116</v>
      </c>
      <c r="BC967">
        <v>138</v>
      </c>
      <c r="BD967" t="s">
        <v>74</v>
      </c>
      <c r="BE967" t="s">
        <v>74</v>
      </c>
      <c r="BF967" t="s">
        <v>74</v>
      </c>
      <c r="BG967" t="s">
        <v>74</v>
      </c>
      <c r="BH967" t="s">
        <v>74</v>
      </c>
      <c r="BI967">
        <v>23</v>
      </c>
      <c r="BJ967" t="s">
        <v>9356</v>
      </c>
      <c r="BK967" t="s">
        <v>124</v>
      </c>
      <c r="BL967" t="s">
        <v>9357</v>
      </c>
      <c r="BM967" t="s">
        <v>17984</v>
      </c>
      <c r="BN967" t="s">
        <v>74</v>
      </c>
      <c r="BO967" t="s">
        <v>126</v>
      </c>
      <c r="BP967" t="s">
        <v>74</v>
      </c>
      <c r="BQ967" t="s">
        <v>74</v>
      </c>
      <c r="BR967" t="s">
        <v>102</v>
      </c>
      <c r="BS967" t="s">
        <v>17985</v>
      </c>
      <c r="BT967" t="str">
        <f>HYPERLINK("https%3A%2F%2Fwww.webofscience.com%2Fwos%2Fwoscc%2Ffull-record%2FWOS:000980762100006","View Full Record in Web of Science")</f>
        <v>View Full Record in Web of Science</v>
      </c>
    </row>
    <row r="968" spans="1:72" x14ac:dyDescent="0.2">
      <c r="A968" t="s">
        <v>72</v>
      </c>
      <c r="B968" t="s">
        <v>17986</v>
      </c>
      <c r="C968" t="s">
        <v>74</v>
      </c>
      <c r="D968" t="s">
        <v>74</v>
      </c>
      <c r="E968" t="s">
        <v>74</v>
      </c>
      <c r="F968" t="s">
        <v>17987</v>
      </c>
      <c r="G968" t="s">
        <v>74</v>
      </c>
      <c r="H968" t="s">
        <v>74</v>
      </c>
      <c r="I968" t="s">
        <v>17988</v>
      </c>
      <c r="J968" t="s">
        <v>5483</v>
      </c>
      <c r="K968" t="s">
        <v>74</v>
      </c>
      <c r="L968" t="s">
        <v>74</v>
      </c>
      <c r="M968" t="s">
        <v>78</v>
      </c>
      <c r="N968" t="s">
        <v>108</v>
      </c>
      <c r="O968" t="s">
        <v>74</v>
      </c>
      <c r="P968" t="s">
        <v>74</v>
      </c>
      <c r="Q968" t="s">
        <v>74</v>
      </c>
      <c r="R968" t="s">
        <v>74</v>
      </c>
      <c r="S968" t="s">
        <v>74</v>
      </c>
      <c r="T968" t="s">
        <v>17989</v>
      </c>
      <c r="U968" t="s">
        <v>17990</v>
      </c>
      <c r="V968" t="s">
        <v>17991</v>
      </c>
      <c r="W968" t="s">
        <v>17992</v>
      </c>
      <c r="X968" t="s">
        <v>17993</v>
      </c>
      <c r="Y968" t="s">
        <v>17994</v>
      </c>
      <c r="Z968" t="s">
        <v>17995</v>
      </c>
      <c r="AA968" t="s">
        <v>74</v>
      </c>
      <c r="AB968" t="s">
        <v>74</v>
      </c>
      <c r="AC968" t="s">
        <v>74</v>
      </c>
      <c r="AD968" t="s">
        <v>74</v>
      </c>
      <c r="AE968" t="s">
        <v>74</v>
      </c>
      <c r="AF968" t="s">
        <v>74</v>
      </c>
      <c r="AG968">
        <v>61</v>
      </c>
      <c r="AH968">
        <v>52</v>
      </c>
      <c r="AI968">
        <v>54</v>
      </c>
      <c r="AJ968">
        <v>0</v>
      </c>
      <c r="AK968">
        <v>53</v>
      </c>
      <c r="AL968" t="s">
        <v>437</v>
      </c>
      <c r="AM968" t="s">
        <v>438</v>
      </c>
      <c r="AN968" t="s">
        <v>439</v>
      </c>
      <c r="AO968" t="s">
        <v>5493</v>
      </c>
      <c r="AP968" t="s">
        <v>5494</v>
      </c>
      <c r="AQ968" t="s">
        <v>74</v>
      </c>
      <c r="AR968" t="s">
        <v>5495</v>
      </c>
      <c r="AS968" t="s">
        <v>5496</v>
      </c>
      <c r="AT968" t="s">
        <v>74</v>
      </c>
      <c r="AU968">
        <v>2008</v>
      </c>
      <c r="AV968">
        <v>13</v>
      </c>
      <c r="AW968">
        <v>6</v>
      </c>
      <c r="AX968" t="s">
        <v>74</v>
      </c>
      <c r="AY968" t="s">
        <v>74</v>
      </c>
      <c r="AZ968" t="s">
        <v>74</v>
      </c>
      <c r="BA968" t="s">
        <v>74</v>
      </c>
      <c r="BB968">
        <v>415</v>
      </c>
      <c r="BC968">
        <v>424</v>
      </c>
      <c r="BD968" t="s">
        <v>74</v>
      </c>
      <c r="BE968" t="s">
        <v>17996</v>
      </c>
      <c r="BF968" t="str">
        <f>HYPERLINK("http://dx.doi.org/10.1108/13598540810905679","http://dx.doi.org/10.1108/13598540810905679")</f>
        <v>http://dx.doi.org/10.1108/13598540810905679</v>
      </c>
      <c r="BG968" t="s">
        <v>74</v>
      </c>
      <c r="BH968" t="s">
        <v>74</v>
      </c>
      <c r="BI968">
        <v>10</v>
      </c>
      <c r="BJ968" t="s">
        <v>849</v>
      </c>
      <c r="BK968" t="s">
        <v>242</v>
      </c>
      <c r="BL968" t="s">
        <v>419</v>
      </c>
      <c r="BM968" t="s">
        <v>17997</v>
      </c>
      <c r="BN968" t="s">
        <v>74</v>
      </c>
      <c r="BO968" t="s">
        <v>74</v>
      </c>
      <c r="BP968" t="s">
        <v>74</v>
      </c>
      <c r="BQ968" t="s">
        <v>74</v>
      </c>
      <c r="BR968" t="s">
        <v>102</v>
      </c>
      <c r="BS968" t="s">
        <v>17998</v>
      </c>
      <c r="BT968" t="str">
        <f>HYPERLINK("https%3A%2F%2Fwww.webofscience.com%2Fwos%2Fwoscc%2Ffull-record%2FWOS:000260772400004","View Full Record in Web of Science")</f>
        <v>View Full Record in Web of Science</v>
      </c>
    </row>
    <row r="969" spans="1:72" x14ac:dyDescent="0.2">
      <c r="A969" t="s">
        <v>72</v>
      </c>
      <c r="B969" t="s">
        <v>17999</v>
      </c>
      <c r="C969" t="s">
        <v>74</v>
      </c>
      <c r="D969" t="s">
        <v>74</v>
      </c>
      <c r="E969" t="s">
        <v>74</v>
      </c>
      <c r="F969" t="s">
        <v>18000</v>
      </c>
      <c r="G969" t="s">
        <v>74</v>
      </c>
      <c r="H969" t="s">
        <v>74</v>
      </c>
      <c r="I969" t="s">
        <v>18001</v>
      </c>
      <c r="J969" t="s">
        <v>18002</v>
      </c>
      <c r="K969" t="s">
        <v>74</v>
      </c>
      <c r="L969" t="s">
        <v>74</v>
      </c>
      <c r="M969" t="s">
        <v>78</v>
      </c>
      <c r="N969" t="s">
        <v>108</v>
      </c>
      <c r="O969" t="s">
        <v>74</v>
      </c>
      <c r="P969" t="s">
        <v>74</v>
      </c>
      <c r="Q969" t="s">
        <v>74</v>
      </c>
      <c r="R969" t="s">
        <v>74</v>
      </c>
      <c r="S969" t="s">
        <v>74</v>
      </c>
      <c r="T969" t="s">
        <v>74</v>
      </c>
      <c r="U969" t="s">
        <v>18003</v>
      </c>
      <c r="V969" t="s">
        <v>18004</v>
      </c>
      <c r="W969" t="s">
        <v>18005</v>
      </c>
      <c r="X969" t="s">
        <v>18006</v>
      </c>
      <c r="Y969" t="s">
        <v>18007</v>
      </c>
      <c r="Z969" t="s">
        <v>18008</v>
      </c>
      <c r="AA969" t="s">
        <v>18009</v>
      </c>
      <c r="AB969" t="s">
        <v>18010</v>
      </c>
      <c r="AC969" t="s">
        <v>18011</v>
      </c>
      <c r="AD969" t="s">
        <v>18012</v>
      </c>
      <c r="AE969" t="s">
        <v>18013</v>
      </c>
      <c r="AF969" t="s">
        <v>74</v>
      </c>
      <c r="AG969">
        <v>37</v>
      </c>
      <c r="AH969">
        <v>26</v>
      </c>
      <c r="AI969">
        <v>27</v>
      </c>
      <c r="AJ969">
        <v>0</v>
      </c>
      <c r="AK969">
        <v>16</v>
      </c>
      <c r="AL969" t="s">
        <v>15774</v>
      </c>
      <c r="AM969" t="s">
        <v>15775</v>
      </c>
      <c r="AN969" t="s">
        <v>15776</v>
      </c>
      <c r="AO969" t="s">
        <v>18014</v>
      </c>
      <c r="AP969" t="s">
        <v>18015</v>
      </c>
      <c r="AQ969" t="s">
        <v>74</v>
      </c>
      <c r="AR969" t="s">
        <v>18016</v>
      </c>
      <c r="AS969" t="s">
        <v>18017</v>
      </c>
      <c r="AT969" t="s">
        <v>800</v>
      </c>
      <c r="AU969">
        <v>2013</v>
      </c>
      <c r="AV969">
        <v>10</v>
      </c>
      <c r="AW969">
        <v>4</v>
      </c>
      <c r="AX969" t="s">
        <v>74</v>
      </c>
      <c r="AY969" t="s">
        <v>74</v>
      </c>
      <c r="AZ969" t="s">
        <v>74</v>
      </c>
      <c r="BA969" t="s">
        <v>74</v>
      </c>
      <c r="BB969">
        <v>310</v>
      </c>
      <c r="BC969">
        <v>315</v>
      </c>
      <c r="BD969" t="s">
        <v>74</v>
      </c>
      <c r="BE969" t="s">
        <v>18018</v>
      </c>
      <c r="BF969" t="str">
        <f>HYPERLINK("http://dx.doi.org/10.1089/fpd.2012.1356","http://dx.doi.org/10.1089/fpd.2012.1356")</f>
        <v>http://dx.doi.org/10.1089/fpd.2012.1356</v>
      </c>
      <c r="BG969" t="s">
        <v>74</v>
      </c>
      <c r="BH969" t="s">
        <v>74</v>
      </c>
      <c r="BI969">
        <v>6</v>
      </c>
      <c r="BJ969" t="s">
        <v>1121</v>
      </c>
      <c r="BK969" t="s">
        <v>98</v>
      </c>
      <c r="BL969" t="s">
        <v>1121</v>
      </c>
      <c r="BM969" t="s">
        <v>18019</v>
      </c>
      <c r="BN969">
        <v>23458027</v>
      </c>
      <c r="BO969" t="s">
        <v>74</v>
      </c>
      <c r="BP969" t="s">
        <v>74</v>
      </c>
      <c r="BQ969" t="s">
        <v>74</v>
      </c>
      <c r="BR969" t="s">
        <v>102</v>
      </c>
      <c r="BS969" t="s">
        <v>18020</v>
      </c>
      <c r="BT969" t="str">
        <f>HYPERLINK("https%3A%2F%2Fwww.webofscience.com%2Fwos%2Fwoscc%2Ffull-record%2FWOS:000317353400003","View Full Record in Web of Science")</f>
        <v>View Full Record in Web of Science</v>
      </c>
    </row>
    <row r="970" spans="1:72" x14ac:dyDescent="0.2">
      <c r="A970" t="s">
        <v>72</v>
      </c>
      <c r="B970" t="s">
        <v>18021</v>
      </c>
      <c r="C970" t="s">
        <v>74</v>
      </c>
      <c r="D970" t="s">
        <v>74</v>
      </c>
      <c r="E970" t="s">
        <v>74</v>
      </c>
      <c r="F970" t="s">
        <v>18022</v>
      </c>
      <c r="G970" t="s">
        <v>74</v>
      </c>
      <c r="H970" t="s">
        <v>74</v>
      </c>
      <c r="I970" t="s">
        <v>18023</v>
      </c>
      <c r="J970" t="s">
        <v>18024</v>
      </c>
      <c r="K970" t="s">
        <v>74</v>
      </c>
      <c r="L970" t="s">
        <v>74</v>
      </c>
      <c r="M970" t="s">
        <v>78</v>
      </c>
      <c r="N970" t="s">
        <v>108</v>
      </c>
      <c r="O970" t="s">
        <v>74</v>
      </c>
      <c r="P970" t="s">
        <v>74</v>
      </c>
      <c r="Q970" t="s">
        <v>74</v>
      </c>
      <c r="R970" t="s">
        <v>74</v>
      </c>
      <c r="S970" t="s">
        <v>74</v>
      </c>
      <c r="T970" t="s">
        <v>18025</v>
      </c>
      <c r="U970" t="s">
        <v>18026</v>
      </c>
      <c r="V970" t="s">
        <v>18027</v>
      </c>
      <c r="W970" t="s">
        <v>18028</v>
      </c>
      <c r="X970" t="s">
        <v>18029</v>
      </c>
      <c r="Y970" t="s">
        <v>18030</v>
      </c>
      <c r="Z970" t="s">
        <v>18031</v>
      </c>
      <c r="AA970" t="s">
        <v>18032</v>
      </c>
      <c r="AB970" t="s">
        <v>18033</v>
      </c>
      <c r="AC970" t="s">
        <v>74</v>
      </c>
      <c r="AD970" t="s">
        <v>74</v>
      </c>
      <c r="AE970" t="s">
        <v>74</v>
      </c>
      <c r="AF970" t="s">
        <v>74</v>
      </c>
      <c r="AG970">
        <v>76</v>
      </c>
      <c r="AH970">
        <v>42</v>
      </c>
      <c r="AI970">
        <v>42</v>
      </c>
      <c r="AJ970">
        <v>2</v>
      </c>
      <c r="AK970">
        <v>39</v>
      </c>
      <c r="AL970" t="s">
        <v>437</v>
      </c>
      <c r="AM970" t="s">
        <v>438</v>
      </c>
      <c r="AN970" t="s">
        <v>439</v>
      </c>
      <c r="AO970" t="s">
        <v>18034</v>
      </c>
      <c r="AP970" t="s">
        <v>18035</v>
      </c>
      <c r="AQ970" t="s">
        <v>74</v>
      </c>
      <c r="AR970" t="s">
        <v>18036</v>
      </c>
      <c r="AS970" t="s">
        <v>18037</v>
      </c>
      <c r="AT970" t="s">
        <v>2179</v>
      </c>
      <c r="AU970">
        <v>2022</v>
      </c>
      <c r="AV970">
        <v>35</v>
      </c>
      <c r="AW970">
        <v>2</v>
      </c>
      <c r="AX970" t="s">
        <v>74</v>
      </c>
      <c r="AY970" t="s">
        <v>74</v>
      </c>
      <c r="AZ970" t="s">
        <v>570</v>
      </c>
      <c r="BA970" t="s">
        <v>74</v>
      </c>
      <c r="BB970">
        <v>293</v>
      </c>
      <c r="BC970">
        <v>307</v>
      </c>
      <c r="BD970" t="s">
        <v>74</v>
      </c>
      <c r="BE970" t="s">
        <v>18038</v>
      </c>
      <c r="BF970" t="str">
        <f>HYPERLINK("http://dx.doi.org/10.1108/JOCM-12-2020-0369","http://dx.doi.org/10.1108/JOCM-12-2020-0369")</f>
        <v>http://dx.doi.org/10.1108/JOCM-12-2020-0369</v>
      </c>
      <c r="BG970" t="s">
        <v>74</v>
      </c>
      <c r="BH970" t="s">
        <v>645</v>
      </c>
      <c r="BI970">
        <v>15</v>
      </c>
      <c r="BJ970" t="s">
        <v>418</v>
      </c>
      <c r="BK970" t="s">
        <v>242</v>
      </c>
      <c r="BL970" t="s">
        <v>419</v>
      </c>
      <c r="BM970" t="s">
        <v>18039</v>
      </c>
      <c r="BN970" t="s">
        <v>74</v>
      </c>
      <c r="BO970" t="s">
        <v>74</v>
      </c>
      <c r="BP970" t="s">
        <v>74</v>
      </c>
      <c r="BQ970" t="s">
        <v>74</v>
      </c>
      <c r="BR970" t="s">
        <v>102</v>
      </c>
      <c r="BS970" t="s">
        <v>18040</v>
      </c>
      <c r="BT970" t="str">
        <f>HYPERLINK("https%3A%2F%2Fwww.webofscience.com%2Fwos%2Fwoscc%2Ffull-record%2FWOS:000624093600001","View Full Record in Web of Science")</f>
        <v>View Full Record in Web of Science</v>
      </c>
    </row>
    <row r="971" spans="1:72" x14ac:dyDescent="0.2">
      <c r="A971" t="s">
        <v>72</v>
      </c>
      <c r="B971" t="s">
        <v>18041</v>
      </c>
      <c r="C971" t="s">
        <v>74</v>
      </c>
      <c r="D971" t="s">
        <v>74</v>
      </c>
      <c r="E971" t="s">
        <v>74</v>
      </c>
      <c r="F971" t="s">
        <v>18042</v>
      </c>
      <c r="G971" t="s">
        <v>74</v>
      </c>
      <c r="H971" t="s">
        <v>74</v>
      </c>
      <c r="I971" t="s">
        <v>18043</v>
      </c>
      <c r="J971" t="s">
        <v>18044</v>
      </c>
      <c r="K971" t="s">
        <v>74</v>
      </c>
      <c r="L971" t="s">
        <v>74</v>
      </c>
      <c r="M971" t="s">
        <v>78</v>
      </c>
      <c r="N971" t="s">
        <v>108</v>
      </c>
      <c r="O971" t="s">
        <v>74</v>
      </c>
      <c r="P971" t="s">
        <v>74</v>
      </c>
      <c r="Q971" t="s">
        <v>74</v>
      </c>
      <c r="R971" t="s">
        <v>74</v>
      </c>
      <c r="S971" t="s">
        <v>74</v>
      </c>
      <c r="T971" t="s">
        <v>18045</v>
      </c>
      <c r="U971" t="s">
        <v>18046</v>
      </c>
      <c r="V971" t="s">
        <v>18047</v>
      </c>
      <c r="W971" t="s">
        <v>18048</v>
      </c>
      <c r="X971" t="s">
        <v>18049</v>
      </c>
      <c r="Y971" t="s">
        <v>18050</v>
      </c>
      <c r="Z971" t="s">
        <v>18051</v>
      </c>
      <c r="AA971" t="s">
        <v>74</v>
      </c>
      <c r="AB971" t="s">
        <v>74</v>
      </c>
      <c r="AC971" t="s">
        <v>74</v>
      </c>
      <c r="AD971" t="s">
        <v>74</v>
      </c>
      <c r="AE971" t="s">
        <v>74</v>
      </c>
      <c r="AF971" t="s">
        <v>74</v>
      </c>
      <c r="AG971">
        <v>38</v>
      </c>
      <c r="AH971">
        <v>1</v>
      </c>
      <c r="AI971">
        <v>1</v>
      </c>
      <c r="AJ971">
        <v>0</v>
      </c>
      <c r="AK971">
        <v>5</v>
      </c>
      <c r="AL971" t="s">
        <v>321</v>
      </c>
      <c r="AM971" t="s">
        <v>348</v>
      </c>
      <c r="AN971" t="s">
        <v>1454</v>
      </c>
      <c r="AO971" t="s">
        <v>18052</v>
      </c>
      <c r="AP971" t="s">
        <v>18053</v>
      </c>
      <c r="AQ971" t="s">
        <v>74</v>
      </c>
      <c r="AR971" t="s">
        <v>18054</v>
      </c>
      <c r="AS971" t="s">
        <v>18055</v>
      </c>
      <c r="AT971" t="s">
        <v>194</v>
      </c>
      <c r="AU971">
        <v>2018</v>
      </c>
      <c r="AV971">
        <v>61</v>
      </c>
      <c r="AW971">
        <v>3</v>
      </c>
      <c r="AX971" t="s">
        <v>74</v>
      </c>
      <c r="AY971" t="s">
        <v>74</v>
      </c>
      <c r="AZ971" t="s">
        <v>570</v>
      </c>
      <c r="BA971" t="s">
        <v>74</v>
      </c>
      <c r="BB971">
        <v>517</v>
      </c>
      <c r="BC971">
        <v>552</v>
      </c>
      <c r="BD971" t="s">
        <v>74</v>
      </c>
      <c r="BE971" t="s">
        <v>18056</v>
      </c>
      <c r="BF971" t="str">
        <f>HYPERLINK("http://dx.doi.org/10.1007/s00168-018-0881-6","http://dx.doi.org/10.1007/s00168-018-0881-6")</f>
        <v>http://dx.doi.org/10.1007/s00168-018-0881-6</v>
      </c>
      <c r="BG971" t="s">
        <v>74</v>
      </c>
      <c r="BH971" t="s">
        <v>74</v>
      </c>
      <c r="BI971">
        <v>36</v>
      </c>
      <c r="BJ971" t="s">
        <v>7113</v>
      </c>
      <c r="BK971" t="s">
        <v>242</v>
      </c>
      <c r="BL971" t="s">
        <v>7114</v>
      </c>
      <c r="BM971" t="s">
        <v>18057</v>
      </c>
      <c r="BN971" t="s">
        <v>74</v>
      </c>
      <c r="BO971" t="s">
        <v>74</v>
      </c>
      <c r="BP971" t="s">
        <v>74</v>
      </c>
      <c r="BQ971" t="s">
        <v>74</v>
      </c>
      <c r="BR971" t="s">
        <v>102</v>
      </c>
      <c r="BS971" t="s">
        <v>18058</v>
      </c>
      <c r="BT971" t="str">
        <f>HYPERLINK("https%3A%2F%2Fwww.webofscience.com%2Fwos%2Fwoscc%2Ffull-record%2FWOS:000452762400006","View Full Record in Web of Science")</f>
        <v>View Full Record in Web of Science</v>
      </c>
    </row>
    <row r="972" spans="1:72" x14ac:dyDescent="0.2">
      <c r="A972" t="s">
        <v>72</v>
      </c>
      <c r="B972" t="s">
        <v>18059</v>
      </c>
      <c r="C972" t="s">
        <v>74</v>
      </c>
      <c r="D972" t="s">
        <v>74</v>
      </c>
      <c r="E972" t="s">
        <v>74</v>
      </c>
      <c r="F972" t="s">
        <v>18060</v>
      </c>
      <c r="G972" t="s">
        <v>74</v>
      </c>
      <c r="H972" t="s">
        <v>74</v>
      </c>
      <c r="I972" t="s">
        <v>18061</v>
      </c>
      <c r="J972" t="s">
        <v>976</v>
      </c>
      <c r="K972" t="s">
        <v>74</v>
      </c>
      <c r="L972" t="s">
        <v>74</v>
      </c>
      <c r="M972" t="s">
        <v>78</v>
      </c>
      <c r="N972" t="s">
        <v>108</v>
      </c>
      <c r="O972" t="s">
        <v>74</v>
      </c>
      <c r="P972" t="s">
        <v>74</v>
      </c>
      <c r="Q972" t="s">
        <v>74</v>
      </c>
      <c r="R972" t="s">
        <v>74</v>
      </c>
      <c r="S972" t="s">
        <v>74</v>
      </c>
      <c r="T972" t="s">
        <v>18062</v>
      </c>
      <c r="U972" t="s">
        <v>18063</v>
      </c>
      <c r="V972" t="s">
        <v>18064</v>
      </c>
      <c r="W972" t="s">
        <v>18065</v>
      </c>
      <c r="X972" t="s">
        <v>18066</v>
      </c>
      <c r="Y972" t="s">
        <v>18067</v>
      </c>
      <c r="Z972" t="s">
        <v>18068</v>
      </c>
      <c r="AA972" t="s">
        <v>74</v>
      </c>
      <c r="AB972" t="s">
        <v>18069</v>
      </c>
      <c r="AC972" t="s">
        <v>74</v>
      </c>
      <c r="AD972" t="s">
        <v>74</v>
      </c>
      <c r="AE972" t="s">
        <v>74</v>
      </c>
      <c r="AF972" t="s">
        <v>74</v>
      </c>
      <c r="AG972">
        <v>94</v>
      </c>
      <c r="AH972">
        <v>27</v>
      </c>
      <c r="AI972">
        <v>27</v>
      </c>
      <c r="AJ972">
        <v>3</v>
      </c>
      <c r="AK972">
        <v>28</v>
      </c>
      <c r="AL972" t="s">
        <v>259</v>
      </c>
      <c r="AM972" t="s">
        <v>260</v>
      </c>
      <c r="AN972" t="s">
        <v>261</v>
      </c>
      <c r="AO972" t="s">
        <v>989</v>
      </c>
      <c r="AP972" t="s">
        <v>990</v>
      </c>
      <c r="AQ972" t="s">
        <v>74</v>
      </c>
      <c r="AR972" t="s">
        <v>991</v>
      </c>
      <c r="AS972" t="s">
        <v>992</v>
      </c>
      <c r="AT972" t="s">
        <v>18070</v>
      </c>
      <c r="AU972">
        <v>2021</v>
      </c>
      <c r="AV972">
        <v>294</v>
      </c>
      <c r="AW972" t="s">
        <v>74</v>
      </c>
      <c r="AX972" t="s">
        <v>74</v>
      </c>
      <c r="AY972" t="s">
        <v>74</v>
      </c>
      <c r="AZ972" t="s">
        <v>74</v>
      </c>
      <c r="BA972" t="s">
        <v>74</v>
      </c>
      <c r="BB972" t="s">
        <v>74</v>
      </c>
      <c r="BC972" t="s">
        <v>74</v>
      </c>
      <c r="BD972">
        <v>126241</v>
      </c>
      <c r="BE972" t="s">
        <v>18071</v>
      </c>
      <c r="BF972" t="str">
        <f>HYPERLINK("http://dx.doi.org/10.1016/j.jclepro.2021.126241","http://dx.doi.org/10.1016/j.jclepro.2021.126241")</f>
        <v>http://dx.doi.org/10.1016/j.jclepro.2021.126241</v>
      </c>
      <c r="BG972" t="s">
        <v>74</v>
      </c>
      <c r="BH972" t="s">
        <v>2101</v>
      </c>
      <c r="BI972">
        <v>16</v>
      </c>
      <c r="BJ972" t="s">
        <v>995</v>
      </c>
      <c r="BK972" t="s">
        <v>147</v>
      </c>
      <c r="BL972" t="s">
        <v>996</v>
      </c>
      <c r="BM972" t="s">
        <v>18072</v>
      </c>
      <c r="BN972" t="s">
        <v>74</v>
      </c>
      <c r="BO972" t="s">
        <v>74</v>
      </c>
      <c r="BP972" t="s">
        <v>74</v>
      </c>
      <c r="BQ972" t="s">
        <v>74</v>
      </c>
      <c r="BR972" t="s">
        <v>102</v>
      </c>
      <c r="BS972" t="s">
        <v>18073</v>
      </c>
      <c r="BT972" t="str">
        <f>HYPERLINK("https%3A%2F%2Fwww.webofscience.com%2Fwos%2Fwoscc%2Ffull-record%2FWOS:000637999600008","View Full Record in Web of Science")</f>
        <v>View Full Record in Web of Science</v>
      </c>
    </row>
    <row r="973" spans="1:72" x14ac:dyDescent="0.2">
      <c r="A973" t="s">
        <v>72</v>
      </c>
      <c r="B973" t="s">
        <v>18074</v>
      </c>
      <c r="C973" t="s">
        <v>74</v>
      </c>
      <c r="D973" t="s">
        <v>74</v>
      </c>
      <c r="E973" t="s">
        <v>74</v>
      </c>
      <c r="F973" t="s">
        <v>18075</v>
      </c>
      <c r="G973" t="s">
        <v>74</v>
      </c>
      <c r="H973" t="s">
        <v>74</v>
      </c>
      <c r="I973" t="s">
        <v>18076</v>
      </c>
      <c r="J973" t="s">
        <v>155</v>
      </c>
      <c r="K973" t="s">
        <v>74</v>
      </c>
      <c r="L973" t="s">
        <v>74</v>
      </c>
      <c r="M973" t="s">
        <v>78</v>
      </c>
      <c r="N973" t="s">
        <v>108</v>
      </c>
      <c r="O973" t="s">
        <v>74</v>
      </c>
      <c r="P973" t="s">
        <v>74</v>
      </c>
      <c r="Q973" t="s">
        <v>74</v>
      </c>
      <c r="R973" t="s">
        <v>74</v>
      </c>
      <c r="S973" t="s">
        <v>74</v>
      </c>
      <c r="T973" t="s">
        <v>18077</v>
      </c>
      <c r="U973" t="s">
        <v>18078</v>
      </c>
      <c r="V973" t="s">
        <v>18079</v>
      </c>
      <c r="W973" t="s">
        <v>18080</v>
      </c>
      <c r="X973" t="s">
        <v>18081</v>
      </c>
      <c r="Y973" t="s">
        <v>18082</v>
      </c>
      <c r="Z973" t="s">
        <v>18083</v>
      </c>
      <c r="AA973" t="s">
        <v>18084</v>
      </c>
      <c r="AB973" t="s">
        <v>18085</v>
      </c>
      <c r="AC973" t="s">
        <v>74</v>
      </c>
      <c r="AD973" t="s">
        <v>74</v>
      </c>
      <c r="AE973" t="s">
        <v>74</v>
      </c>
      <c r="AF973" t="s">
        <v>74</v>
      </c>
      <c r="AG973">
        <v>76</v>
      </c>
      <c r="AH973">
        <v>11</v>
      </c>
      <c r="AI973">
        <v>11</v>
      </c>
      <c r="AJ973">
        <v>9</v>
      </c>
      <c r="AK973">
        <v>19</v>
      </c>
      <c r="AL973" t="s">
        <v>167</v>
      </c>
      <c r="AM973" t="s">
        <v>168</v>
      </c>
      <c r="AN973" t="s">
        <v>169</v>
      </c>
      <c r="AO973" t="s">
        <v>170</v>
      </c>
      <c r="AP973" t="s">
        <v>171</v>
      </c>
      <c r="AQ973" t="s">
        <v>74</v>
      </c>
      <c r="AR973" t="s">
        <v>172</v>
      </c>
      <c r="AS973" t="s">
        <v>173</v>
      </c>
      <c r="AT973" t="s">
        <v>216</v>
      </c>
      <c r="AU973">
        <v>2022</v>
      </c>
      <c r="AV973">
        <v>69</v>
      </c>
      <c r="AW973">
        <v>6</v>
      </c>
      <c r="AX973" t="s">
        <v>74</v>
      </c>
      <c r="AY973" t="s">
        <v>74</v>
      </c>
      <c r="AZ973" t="s">
        <v>74</v>
      </c>
      <c r="BA973" t="s">
        <v>74</v>
      </c>
      <c r="BB973">
        <v>2857</v>
      </c>
      <c r="BC973">
        <v>2870</v>
      </c>
      <c r="BD973" t="s">
        <v>74</v>
      </c>
      <c r="BE973" t="s">
        <v>18086</v>
      </c>
      <c r="BF973" t="str">
        <f>HYPERLINK("http://dx.doi.org/10.1109/TEM.2020.3018912","http://dx.doi.org/10.1109/TEM.2020.3018912")</f>
        <v>http://dx.doi.org/10.1109/TEM.2020.3018912</v>
      </c>
      <c r="BG973" t="s">
        <v>74</v>
      </c>
      <c r="BH973" t="s">
        <v>74</v>
      </c>
      <c r="BI973">
        <v>14</v>
      </c>
      <c r="BJ973" t="s">
        <v>176</v>
      </c>
      <c r="BK973" t="s">
        <v>147</v>
      </c>
      <c r="BL973" t="s">
        <v>177</v>
      </c>
      <c r="BM973" t="s">
        <v>2293</v>
      </c>
      <c r="BN973" t="s">
        <v>74</v>
      </c>
      <c r="BO973" t="s">
        <v>2821</v>
      </c>
      <c r="BP973" t="s">
        <v>74</v>
      </c>
      <c r="BQ973" t="s">
        <v>74</v>
      </c>
      <c r="BR973" t="s">
        <v>102</v>
      </c>
      <c r="BS973" t="s">
        <v>18087</v>
      </c>
      <c r="BT973" t="str">
        <f>HYPERLINK("https%3A%2F%2Fwww.webofscience.com%2Fwos%2Fwoscc%2Ffull-record%2FWOS:000879054100033","View Full Record in Web of Science")</f>
        <v>View Full Record in Web of Science</v>
      </c>
    </row>
    <row r="974" spans="1:72" x14ac:dyDescent="0.2">
      <c r="A974" t="s">
        <v>72</v>
      </c>
      <c r="B974" t="s">
        <v>18088</v>
      </c>
      <c r="C974" t="s">
        <v>74</v>
      </c>
      <c r="D974" t="s">
        <v>74</v>
      </c>
      <c r="E974" t="s">
        <v>74</v>
      </c>
      <c r="F974" t="s">
        <v>18089</v>
      </c>
      <c r="G974" t="s">
        <v>74</v>
      </c>
      <c r="H974" t="s">
        <v>74</v>
      </c>
      <c r="I974" t="s">
        <v>18090</v>
      </c>
      <c r="J974" t="s">
        <v>937</v>
      </c>
      <c r="K974" t="s">
        <v>74</v>
      </c>
      <c r="L974" t="s">
        <v>74</v>
      </c>
      <c r="M974" t="s">
        <v>78</v>
      </c>
      <c r="N974" t="s">
        <v>108</v>
      </c>
      <c r="O974" t="s">
        <v>74</v>
      </c>
      <c r="P974" t="s">
        <v>74</v>
      </c>
      <c r="Q974" t="s">
        <v>74</v>
      </c>
      <c r="R974" t="s">
        <v>74</v>
      </c>
      <c r="S974" t="s">
        <v>74</v>
      </c>
      <c r="T974" t="s">
        <v>74</v>
      </c>
      <c r="U974" t="s">
        <v>18091</v>
      </c>
      <c r="V974" t="s">
        <v>18092</v>
      </c>
      <c r="W974" t="s">
        <v>18093</v>
      </c>
      <c r="X974" t="s">
        <v>18094</v>
      </c>
      <c r="Y974" t="s">
        <v>18095</v>
      </c>
      <c r="Z974" t="s">
        <v>18096</v>
      </c>
      <c r="AA974" t="s">
        <v>18097</v>
      </c>
      <c r="AB974" t="s">
        <v>18098</v>
      </c>
      <c r="AC974" t="s">
        <v>74</v>
      </c>
      <c r="AD974" t="s">
        <v>74</v>
      </c>
      <c r="AE974" t="s">
        <v>74</v>
      </c>
      <c r="AF974" t="s">
        <v>74</v>
      </c>
      <c r="AG974">
        <v>40</v>
      </c>
      <c r="AH974">
        <v>1</v>
      </c>
      <c r="AI974">
        <v>1</v>
      </c>
      <c r="AJ974">
        <v>1</v>
      </c>
      <c r="AK974">
        <v>3</v>
      </c>
      <c r="AL974" t="s">
        <v>948</v>
      </c>
      <c r="AM974" t="s">
        <v>949</v>
      </c>
      <c r="AN974" t="s">
        <v>950</v>
      </c>
      <c r="AO974" t="s">
        <v>951</v>
      </c>
      <c r="AP974" t="s">
        <v>74</v>
      </c>
      <c r="AQ974" t="s">
        <v>74</v>
      </c>
      <c r="AR974" t="s">
        <v>937</v>
      </c>
      <c r="AS974" t="s">
        <v>952</v>
      </c>
      <c r="AT974" t="s">
        <v>696</v>
      </c>
      <c r="AU974">
        <v>2022</v>
      </c>
      <c r="AV974">
        <v>17</v>
      </c>
      <c r="AW974">
        <v>5</v>
      </c>
      <c r="AX974" t="s">
        <v>74</v>
      </c>
      <c r="AY974" t="s">
        <v>74</v>
      </c>
      <c r="AZ974" t="s">
        <v>74</v>
      </c>
      <c r="BA974" t="s">
        <v>74</v>
      </c>
      <c r="BB974" t="s">
        <v>74</v>
      </c>
      <c r="BC974" t="s">
        <v>74</v>
      </c>
      <c r="BD974" t="s">
        <v>18099</v>
      </c>
      <c r="BE974" t="s">
        <v>18100</v>
      </c>
      <c r="BF974" t="str">
        <f>HYPERLINK("http://dx.doi.org/10.1371/journal.pone.0267214","http://dx.doi.org/10.1371/journal.pone.0267214")</f>
        <v>http://dx.doi.org/10.1371/journal.pone.0267214</v>
      </c>
      <c r="BG974" t="s">
        <v>74</v>
      </c>
      <c r="BH974" t="s">
        <v>74</v>
      </c>
      <c r="BI974">
        <v>13</v>
      </c>
      <c r="BJ974" t="s">
        <v>620</v>
      </c>
      <c r="BK974" t="s">
        <v>98</v>
      </c>
      <c r="BL974" t="s">
        <v>621</v>
      </c>
      <c r="BM974" t="s">
        <v>18101</v>
      </c>
      <c r="BN974">
        <v>35507562</v>
      </c>
      <c r="BO974" t="s">
        <v>18102</v>
      </c>
      <c r="BP974" t="s">
        <v>74</v>
      </c>
      <c r="BQ974" t="s">
        <v>74</v>
      </c>
      <c r="BR974" t="s">
        <v>102</v>
      </c>
      <c r="BS974" t="s">
        <v>18103</v>
      </c>
      <c r="BT974" t="str">
        <f>HYPERLINK("https%3A%2F%2Fwww.webofscience.com%2Fwos%2Fwoscc%2Ffull-record%2FWOS:000818817800030","View Full Record in Web of Science")</f>
        <v>View Full Record in Web of Science</v>
      </c>
    </row>
    <row r="975" spans="1:72" x14ac:dyDescent="0.2">
      <c r="A975" t="s">
        <v>72</v>
      </c>
      <c r="B975" t="s">
        <v>18104</v>
      </c>
      <c r="C975" t="s">
        <v>74</v>
      </c>
      <c r="D975" t="s">
        <v>74</v>
      </c>
      <c r="E975" t="s">
        <v>74</v>
      </c>
      <c r="F975" t="s">
        <v>18105</v>
      </c>
      <c r="G975" t="s">
        <v>74</v>
      </c>
      <c r="H975" t="s">
        <v>74</v>
      </c>
      <c r="I975" t="s">
        <v>18106</v>
      </c>
      <c r="J975" t="s">
        <v>4827</v>
      </c>
      <c r="K975" t="s">
        <v>74</v>
      </c>
      <c r="L975" t="s">
        <v>74</v>
      </c>
      <c r="M975" t="s">
        <v>78</v>
      </c>
      <c r="N975" t="s">
        <v>79</v>
      </c>
      <c r="O975" t="s">
        <v>74</v>
      </c>
      <c r="P975" t="s">
        <v>74</v>
      </c>
      <c r="Q975" t="s">
        <v>74</v>
      </c>
      <c r="R975" t="s">
        <v>74</v>
      </c>
      <c r="S975" t="s">
        <v>74</v>
      </c>
      <c r="T975" t="s">
        <v>18107</v>
      </c>
      <c r="U975" t="s">
        <v>18108</v>
      </c>
      <c r="V975" t="s">
        <v>18109</v>
      </c>
      <c r="W975" t="s">
        <v>18110</v>
      </c>
      <c r="X975" t="s">
        <v>18111</v>
      </c>
      <c r="Y975" t="s">
        <v>18112</v>
      </c>
      <c r="Z975" t="s">
        <v>18113</v>
      </c>
      <c r="AA975" t="s">
        <v>18114</v>
      </c>
      <c r="AB975" t="s">
        <v>18115</v>
      </c>
      <c r="AC975" t="s">
        <v>18116</v>
      </c>
      <c r="AD975" t="s">
        <v>18117</v>
      </c>
      <c r="AE975" t="s">
        <v>18118</v>
      </c>
      <c r="AF975" t="s">
        <v>74</v>
      </c>
      <c r="AG975">
        <v>182</v>
      </c>
      <c r="AH975">
        <v>2</v>
      </c>
      <c r="AI975">
        <v>2</v>
      </c>
      <c r="AJ975">
        <v>5</v>
      </c>
      <c r="AK975">
        <v>15</v>
      </c>
      <c r="AL975" t="s">
        <v>116</v>
      </c>
      <c r="AM975" t="s">
        <v>117</v>
      </c>
      <c r="AN975" t="s">
        <v>118</v>
      </c>
      <c r="AO975" t="s">
        <v>74</v>
      </c>
      <c r="AP975" t="s">
        <v>4836</v>
      </c>
      <c r="AQ975" t="s">
        <v>74</v>
      </c>
      <c r="AR975" t="s">
        <v>4827</v>
      </c>
      <c r="AS975" t="s">
        <v>4837</v>
      </c>
      <c r="AT975" t="s">
        <v>416</v>
      </c>
      <c r="AU975">
        <v>2022</v>
      </c>
      <c r="AV975">
        <v>14</v>
      </c>
      <c r="AW975">
        <v>6</v>
      </c>
      <c r="AX975" t="s">
        <v>74</v>
      </c>
      <c r="AY975" t="s">
        <v>74</v>
      </c>
      <c r="AZ975" t="s">
        <v>74</v>
      </c>
      <c r="BA975" t="s">
        <v>74</v>
      </c>
      <c r="BB975" t="s">
        <v>74</v>
      </c>
      <c r="BC975" t="s">
        <v>74</v>
      </c>
      <c r="BD975">
        <v>161</v>
      </c>
      <c r="BE975" t="s">
        <v>18119</v>
      </c>
      <c r="BF975" t="str">
        <f>HYPERLINK("http://dx.doi.org/10.3390/fi14060161","http://dx.doi.org/10.3390/fi14060161")</f>
        <v>http://dx.doi.org/10.3390/fi14060161</v>
      </c>
      <c r="BG975" t="s">
        <v>74</v>
      </c>
      <c r="BH975" t="s">
        <v>74</v>
      </c>
      <c r="BI975">
        <v>32</v>
      </c>
      <c r="BJ975" t="s">
        <v>123</v>
      </c>
      <c r="BK975" t="s">
        <v>124</v>
      </c>
      <c r="BL975" t="s">
        <v>99</v>
      </c>
      <c r="BM975" t="s">
        <v>18120</v>
      </c>
      <c r="BN975" t="s">
        <v>74</v>
      </c>
      <c r="BO975" t="s">
        <v>5917</v>
      </c>
      <c r="BP975" t="s">
        <v>74</v>
      </c>
      <c r="BQ975" t="s">
        <v>74</v>
      </c>
      <c r="BR975" t="s">
        <v>102</v>
      </c>
      <c r="BS975" t="s">
        <v>18121</v>
      </c>
      <c r="BT975" t="str">
        <f>HYPERLINK("https%3A%2F%2Fwww.webofscience.com%2Fwos%2Fwoscc%2Ffull-record%2FWOS:000816032900001","View Full Record in Web of Science")</f>
        <v>View Full Record in Web of Science</v>
      </c>
    </row>
    <row r="976" spans="1:72" x14ac:dyDescent="0.2">
      <c r="A976" t="s">
        <v>72</v>
      </c>
      <c r="B976" t="s">
        <v>18122</v>
      </c>
      <c r="C976" t="s">
        <v>74</v>
      </c>
      <c r="D976" t="s">
        <v>74</v>
      </c>
      <c r="E976" t="s">
        <v>74</v>
      </c>
      <c r="F976" t="s">
        <v>18123</v>
      </c>
      <c r="G976" t="s">
        <v>74</v>
      </c>
      <c r="H976" t="s">
        <v>74</v>
      </c>
      <c r="I976" t="s">
        <v>18124</v>
      </c>
      <c r="J976" t="s">
        <v>9543</v>
      </c>
      <c r="K976" t="s">
        <v>74</v>
      </c>
      <c r="L976" t="s">
        <v>74</v>
      </c>
      <c r="M976" t="s">
        <v>78</v>
      </c>
      <c r="N976" t="s">
        <v>108</v>
      </c>
      <c r="O976" t="s">
        <v>74</v>
      </c>
      <c r="P976" t="s">
        <v>74</v>
      </c>
      <c r="Q976" t="s">
        <v>74</v>
      </c>
      <c r="R976" t="s">
        <v>74</v>
      </c>
      <c r="S976" t="s">
        <v>74</v>
      </c>
      <c r="T976" t="s">
        <v>18125</v>
      </c>
      <c r="U976" t="s">
        <v>18126</v>
      </c>
      <c r="V976" t="s">
        <v>18127</v>
      </c>
      <c r="W976" t="s">
        <v>18128</v>
      </c>
      <c r="X976" t="s">
        <v>18129</v>
      </c>
      <c r="Y976" t="s">
        <v>18130</v>
      </c>
      <c r="Z976" t="s">
        <v>18131</v>
      </c>
      <c r="AA976" t="s">
        <v>18132</v>
      </c>
      <c r="AB976" t="s">
        <v>18133</v>
      </c>
      <c r="AC976" t="s">
        <v>18134</v>
      </c>
      <c r="AD976" t="s">
        <v>18134</v>
      </c>
      <c r="AE976" t="s">
        <v>18135</v>
      </c>
      <c r="AF976" t="s">
        <v>74</v>
      </c>
      <c r="AG976">
        <v>80</v>
      </c>
      <c r="AH976">
        <v>50</v>
      </c>
      <c r="AI976">
        <v>51</v>
      </c>
      <c r="AJ976">
        <v>0</v>
      </c>
      <c r="AK976">
        <v>25</v>
      </c>
      <c r="AL976" t="s">
        <v>259</v>
      </c>
      <c r="AM976" t="s">
        <v>260</v>
      </c>
      <c r="AN976" t="s">
        <v>261</v>
      </c>
      <c r="AO976" t="s">
        <v>9556</v>
      </c>
      <c r="AP976" t="s">
        <v>9557</v>
      </c>
      <c r="AQ976" t="s">
        <v>74</v>
      </c>
      <c r="AR976" t="s">
        <v>9558</v>
      </c>
      <c r="AS976" t="s">
        <v>9559</v>
      </c>
      <c r="AT976" t="s">
        <v>121</v>
      </c>
      <c r="AU976">
        <v>2019</v>
      </c>
      <c r="AV976">
        <v>173</v>
      </c>
      <c r="AW976" t="s">
        <v>74</v>
      </c>
      <c r="AX976" t="s">
        <v>74</v>
      </c>
      <c r="AY976" t="s">
        <v>74</v>
      </c>
      <c r="AZ976" t="s">
        <v>74</v>
      </c>
      <c r="BA976" t="s">
        <v>74</v>
      </c>
      <c r="BB976">
        <v>151</v>
      </c>
      <c r="BC976">
        <v>160</v>
      </c>
      <c r="BD976" t="s">
        <v>74</v>
      </c>
      <c r="BE976" t="s">
        <v>18136</v>
      </c>
      <c r="BF976" t="str">
        <f>HYPERLINK("http://dx.doi.org/10.1016/j.agsy.2019.02.011","http://dx.doi.org/10.1016/j.agsy.2019.02.011")</f>
        <v>http://dx.doi.org/10.1016/j.agsy.2019.02.011</v>
      </c>
      <c r="BG976" t="s">
        <v>74</v>
      </c>
      <c r="BH976" t="s">
        <v>74</v>
      </c>
      <c r="BI976">
        <v>10</v>
      </c>
      <c r="BJ976" t="s">
        <v>9561</v>
      </c>
      <c r="BK976" t="s">
        <v>147</v>
      </c>
      <c r="BL976" t="s">
        <v>8268</v>
      </c>
      <c r="BM976" t="s">
        <v>18137</v>
      </c>
      <c r="BN976" t="s">
        <v>74</v>
      </c>
      <c r="BO976" t="s">
        <v>702</v>
      </c>
      <c r="BP976" t="s">
        <v>74</v>
      </c>
      <c r="BQ976" t="s">
        <v>74</v>
      </c>
      <c r="BR976" t="s">
        <v>102</v>
      </c>
      <c r="BS976" t="s">
        <v>18138</v>
      </c>
      <c r="BT976" t="str">
        <f>HYPERLINK("https%3A%2F%2Fwww.webofscience.com%2Fwos%2Fwoscc%2Ffull-record%2FWOS:000467661800013","View Full Record in Web of Science")</f>
        <v>View Full Record in Web of Science</v>
      </c>
    </row>
    <row r="977" spans="1:72" x14ac:dyDescent="0.2">
      <c r="A977" t="s">
        <v>72</v>
      </c>
      <c r="B977" t="s">
        <v>18139</v>
      </c>
      <c r="C977" t="s">
        <v>74</v>
      </c>
      <c r="D977" t="s">
        <v>74</v>
      </c>
      <c r="E977" t="s">
        <v>74</v>
      </c>
      <c r="F977" t="s">
        <v>18140</v>
      </c>
      <c r="G977" t="s">
        <v>74</v>
      </c>
      <c r="H977" t="s">
        <v>74</v>
      </c>
      <c r="I977" t="s">
        <v>18141</v>
      </c>
      <c r="J977" t="s">
        <v>18142</v>
      </c>
      <c r="K977" t="s">
        <v>74</v>
      </c>
      <c r="L977" t="s">
        <v>74</v>
      </c>
      <c r="M977" t="s">
        <v>78</v>
      </c>
      <c r="N977" t="s">
        <v>79</v>
      </c>
      <c r="O977" t="s">
        <v>74</v>
      </c>
      <c r="P977" t="s">
        <v>74</v>
      </c>
      <c r="Q977" t="s">
        <v>74</v>
      </c>
      <c r="R977" t="s">
        <v>74</v>
      </c>
      <c r="S977" t="s">
        <v>74</v>
      </c>
      <c r="T977" t="s">
        <v>18143</v>
      </c>
      <c r="U977" t="s">
        <v>18144</v>
      </c>
      <c r="V977" t="s">
        <v>18145</v>
      </c>
      <c r="W977" t="s">
        <v>18146</v>
      </c>
      <c r="X977" t="s">
        <v>18147</v>
      </c>
      <c r="Y977" t="s">
        <v>18148</v>
      </c>
      <c r="Z977" t="s">
        <v>18149</v>
      </c>
      <c r="AA977" t="s">
        <v>18150</v>
      </c>
      <c r="AB977" t="s">
        <v>18151</v>
      </c>
      <c r="AC977" t="s">
        <v>18152</v>
      </c>
      <c r="AD977" t="s">
        <v>18153</v>
      </c>
      <c r="AE977" t="s">
        <v>18154</v>
      </c>
      <c r="AF977" t="s">
        <v>74</v>
      </c>
      <c r="AG977">
        <v>45</v>
      </c>
      <c r="AH977">
        <v>3</v>
      </c>
      <c r="AI977">
        <v>3</v>
      </c>
      <c r="AJ977">
        <v>0</v>
      </c>
      <c r="AK977">
        <v>4</v>
      </c>
      <c r="AL977" t="s">
        <v>666</v>
      </c>
      <c r="AM977" t="s">
        <v>667</v>
      </c>
      <c r="AN977" t="s">
        <v>668</v>
      </c>
      <c r="AO977" t="s">
        <v>18155</v>
      </c>
      <c r="AP977" t="s">
        <v>74</v>
      </c>
      <c r="AQ977" t="s">
        <v>74</v>
      </c>
      <c r="AR977" t="s">
        <v>18156</v>
      </c>
      <c r="AS977" t="s">
        <v>18157</v>
      </c>
      <c r="AT977" t="s">
        <v>10474</v>
      </c>
      <c r="AU977">
        <v>2019</v>
      </c>
      <c r="AV977">
        <v>7</v>
      </c>
      <c r="AW977" t="s">
        <v>74</v>
      </c>
      <c r="AX977" t="s">
        <v>74</v>
      </c>
      <c r="AY977" t="s">
        <v>74</v>
      </c>
      <c r="AZ977" t="s">
        <v>74</v>
      </c>
      <c r="BA977" t="s">
        <v>74</v>
      </c>
      <c r="BB977" t="s">
        <v>74</v>
      </c>
      <c r="BC977" t="s">
        <v>74</v>
      </c>
      <c r="BD977">
        <v>16</v>
      </c>
      <c r="BE977" t="s">
        <v>18158</v>
      </c>
      <c r="BF977" t="str">
        <f>HYPERLINK("http://dx.doi.org/10.3389/fenrg.2019.00016","http://dx.doi.org/10.3389/fenrg.2019.00016")</f>
        <v>http://dx.doi.org/10.3389/fenrg.2019.00016</v>
      </c>
      <c r="BG977" t="s">
        <v>74</v>
      </c>
      <c r="BH977" t="s">
        <v>74</v>
      </c>
      <c r="BI977">
        <v>15</v>
      </c>
      <c r="BJ977" t="s">
        <v>7643</v>
      </c>
      <c r="BK977" t="s">
        <v>98</v>
      </c>
      <c r="BL977" t="s">
        <v>7643</v>
      </c>
      <c r="BM977" t="s">
        <v>18159</v>
      </c>
      <c r="BN977" t="s">
        <v>74</v>
      </c>
      <c r="BO977" t="s">
        <v>126</v>
      </c>
      <c r="BP977" t="s">
        <v>74</v>
      </c>
      <c r="BQ977" t="s">
        <v>74</v>
      </c>
      <c r="BR977" t="s">
        <v>102</v>
      </c>
      <c r="BS977" t="s">
        <v>18160</v>
      </c>
      <c r="BT977" t="str">
        <f>HYPERLINK("https%3A%2F%2Fwww.webofscience.com%2Fwos%2Fwoscc%2Ffull-record%2FWOS:000467005200001","View Full Record in Web of Science")</f>
        <v>View Full Record in Web of Science</v>
      </c>
    </row>
    <row r="978" spans="1:72" x14ac:dyDescent="0.2">
      <c r="A978" t="s">
        <v>72</v>
      </c>
      <c r="B978" t="s">
        <v>18161</v>
      </c>
      <c r="C978" t="s">
        <v>74</v>
      </c>
      <c r="D978" t="s">
        <v>74</v>
      </c>
      <c r="E978" t="s">
        <v>74</v>
      </c>
      <c r="F978" t="s">
        <v>18162</v>
      </c>
      <c r="G978" t="s">
        <v>74</v>
      </c>
      <c r="H978" t="s">
        <v>74</v>
      </c>
      <c r="I978" t="s">
        <v>18163</v>
      </c>
      <c r="J978" t="s">
        <v>2847</v>
      </c>
      <c r="K978" t="s">
        <v>74</v>
      </c>
      <c r="L978" t="s">
        <v>74</v>
      </c>
      <c r="M978" t="s">
        <v>78</v>
      </c>
      <c r="N978" t="s">
        <v>108</v>
      </c>
      <c r="O978" t="s">
        <v>74</v>
      </c>
      <c r="P978" t="s">
        <v>74</v>
      </c>
      <c r="Q978" t="s">
        <v>74</v>
      </c>
      <c r="R978" t="s">
        <v>74</v>
      </c>
      <c r="S978" t="s">
        <v>74</v>
      </c>
      <c r="T978" t="s">
        <v>18164</v>
      </c>
      <c r="U978" t="s">
        <v>18165</v>
      </c>
      <c r="V978" t="s">
        <v>18166</v>
      </c>
      <c r="W978" t="s">
        <v>18167</v>
      </c>
      <c r="X978" t="s">
        <v>18168</v>
      </c>
      <c r="Y978" t="s">
        <v>18169</v>
      </c>
      <c r="Z978" t="s">
        <v>18170</v>
      </c>
      <c r="AA978" t="s">
        <v>74</v>
      </c>
      <c r="AB978" t="s">
        <v>74</v>
      </c>
      <c r="AC978" t="s">
        <v>18171</v>
      </c>
      <c r="AD978" t="s">
        <v>18171</v>
      </c>
      <c r="AE978" t="s">
        <v>18172</v>
      </c>
      <c r="AF978" t="s">
        <v>74</v>
      </c>
      <c r="AG978">
        <v>42</v>
      </c>
      <c r="AH978">
        <v>9</v>
      </c>
      <c r="AI978">
        <v>9</v>
      </c>
      <c r="AJ978">
        <v>4</v>
      </c>
      <c r="AK978">
        <v>61</v>
      </c>
      <c r="AL978" t="s">
        <v>409</v>
      </c>
      <c r="AM978" t="s">
        <v>410</v>
      </c>
      <c r="AN978" t="s">
        <v>411</v>
      </c>
      <c r="AO978" t="s">
        <v>2856</v>
      </c>
      <c r="AP978" t="s">
        <v>2857</v>
      </c>
      <c r="AQ978" t="s">
        <v>74</v>
      </c>
      <c r="AR978" t="s">
        <v>2858</v>
      </c>
      <c r="AS978" t="s">
        <v>2859</v>
      </c>
      <c r="AT978" t="s">
        <v>174</v>
      </c>
      <c r="AU978">
        <v>2018</v>
      </c>
      <c r="AV978">
        <v>27</v>
      </c>
      <c r="AW978">
        <v>10</v>
      </c>
      <c r="AX978" t="s">
        <v>74</v>
      </c>
      <c r="AY978" t="s">
        <v>74</v>
      </c>
      <c r="AZ978" t="s">
        <v>570</v>
      </c>
      <c r="BA978" t="s">
        <v>74</v>
      </c>
      <c r="BB978">
        <v>1795</v>
      </c>
      <c r="BC978">
        <v>1815</v>
      </c>
      <c r="BD978" t="s">
        <v>74</v>
      </c>
      <c r="BE978" t="s">
        <v>18173</v>
      </c>
      <c r="BF978" t="str">
        <f>HYPERLINK("http://dx.doi.org/10.1111/poms.12835","http://dx.doi.org/10.1111/poms.12835")</f>
        <v>http://dx.doi.org/10.1111/poms.12835</v>
      </c>
      <c r="BG978" t="s">
        <v>74</v>
      </c>
      <c r="BH978" t="s">
        <v>74</v>
      </c>
      <c r="BI978">
        <v>21</v>
      </c>
      <c r="BJ978" t="s">
        <v>2861</v>
      </c>
      <c r="BK978" t="s">
        <v>147</v>
      </c>
      <c r="BL978" t="s">
        <v>781</v>
      </c>
      <c r="BM978" t="s">
        <v>2862</v>
      </c>
      <c r="BN978" t="s">
        <v>74</v>
      </c>
      <c r="BO978" t="s">
        <v>74</v>
      </c>
      <c r="BP978" t="s">
        <v>74</v>
      </c>
      <c r="BQ978" t="s">
        <v>74</v>
      </c>
      <c r="BR978" t="s">
        <v>102</v>
      </c>
      <c r="BS978" t="s">
        <v>18174</v>
      </c>
      <c r="BT978" t="str">
        <f>HYPERLINK("https%3A%2F%2Fwww.webofscience.com%2Fwos%2Fwoscc%2Ffull-record%2FWOS:000447161000005","View Full Record in Web of Science")</f>
        <v>View Full Record in Web of Science</v>
      </c>
    </row>
    <row r="979" spans="1:72" x14ac:dyDescent="0.2">
      <c r="A979" t="s">
        <v>72</v>
      </c>
      <c r="B979" t="s">
        <v>18175</v>
      </c>
      <c r="C979" t="s">
        <v>74</v>
      </c>
      <c r="D979" t="s">
        <v>74</v>
      </c>
      <c r="E979" t="s">
        <v>74</v>
      </c>
      <c r="F979" t="s">
        <v>18176</v>
      </c>
      <c r="G979" t="s">
        <v>74</v>
      </c>
      <c r="H979" t="s">
        <v>74</v>
      </c>
      <c r="I979" t="s">
        <v>18177</v>
      </c>
      <c r="J979" t="s">
        <v>18178</v>
      </c>
      <c r="K979" t="s">
        <v>74</v>
      </c>
      <c r="L979" t="s">
        <v>74</v>
      </c>
      <c r="M979" t="s">
        <v>78</v>
      </c>
      <c r="N979" t="s">
        <v>108</v>
      </c>
      <c r="O979" t="s">
        <v>74</v>
      </c>
      <c r="P979" t="s">
        <v>74</v>
      </c>
      <c r="Q979" t="s">
        <v>74</v>
      </c>
      <c r="R979" t="s">
        <v>74</v>
      </c>
      <c r="S979" t="s">
        <v>74</v>
      </c>
      <c r="T979" t="s">
        <v>18179</v>
      </c>
      <c r="U979" t="s">
        <v>18180</v>
      </c>
      <c r="V979" t="s">
        <v>18181</v>
      </c>
      <c r="W979" t="s">
        <v>18182</v>
      </c>
      <c r="X979" t="s">
        <v>18183</v>
      </c>
      <c r="Y979" t="s">
        <v>18184</v>
      </c>
      <c r="Z979" t="s">
        <v>18185</v>
      </c>
      <c r="AA979" t="s">
        <v>74</v>
      </c>
      <c r="AB979" t="s">
        <v>74</v>
      </c>
      <c r="AC979" t="s">
        <v>74</v>
      </c>
      <c r="AD979" t="s">
        <v>74</v>
      </c>
      <c r="AE979" t="s">
        <v>74</v>
      </c>
      <c r="AF979" t="s">
        <v>74</v>
      </c>
      <c r="AG979">
        <v>82</v>
      </c>
      <c r="AH979">
        <v>12</v>
      </c>
      <c r="AI979">
        <v>12</v>
      </c>
      <c r="AJ979">
        <v>7</v>
      </c>
      <c r="AK979">
        <v>32</v>
      </c>
      <c r="AL979" t="s">
        <v>409</v>
      </c>
      <c r="AM979" t="s">
        <v>410</v>
      </c>
      <c r="AN979" t="s">
        <v>411</v>
      </c>
      <c r="AO979" t="s">
        <v>18186</v>
      </c>
      <c r="AP979" t="s">
        <v>18187</v>
      </c>
      <c r="AQ979" t="s">
        <v>74</v>
      </c>
      <c r="AR979" t="s">
        <v>18188</v>
      </c>
      <c r="AS979" t="s">
        <v>18189</v>
      </c>
      <c r="AT979" t="s">
        <v>174</v>
      </c>
      <c r="AU979">
        <v>2020</v>
      </c>
      <c r="AV979">
        <v>24</v>
      </c>
      <c r="AW979">
        <v>5</v>
      </c>
      <c r="AX979" t="s">
        <v>74</v>
      </c>
      <c r="AY979" t="s">
        <v>74</v>
      </c>
      <c r="AZ979" t="s">
        <v>74</v>
      </c>
      <c r="BA979" t="s">
        <v>74</v>
      </c>
      <c r="BB979">
        <v>1126</v>
      </c>
      <c r="BC979">
        <v>1139</v>
      </c>
      <c r="BD979" t="s">
        <v>74</v>
      </c>
      <c r="BE979" t="s">
        <v>18190</v>
      </c>
      <c r="BF979" t="str">
        <f>HYPERLINK("http://dx.doi.org/10.1111/jiec.13003","http://dx.doi.org/10.1111/jiec.13003")</f>
        <v>http://dx.doi.org/10.1111/jiec.13003</v>
      </c>
      <c r="BG979" t="s">
        <v>74</v>
      </c>
      <c r="BH979" t="s">
        <v>802</v>
      </c>
      <c r="BI979">
        <v>14</v>
      </c>
      <c r="BJ979" t="s">
        <v>995</v>
      </c>
      <c r="BK979" t="s">
        <v>147</v>
      </c>
      <c r="BL979" t="s">
        <v>996</v>
      </c>
      <c r="BM979" t="s">
        <v>18191</v>
      </c>
      <c r="BN979" t="s">
        <v>74</v>
      </c>
      <c r="BO979" t="s">
        <v>359</v>
      </c>
      <c r="BP979" t="s">
        <v>74</v>
      </c>
      <c r="BQ979" t="s">
        <v>74</v>
      </c>
      <c r="BR979" t="s">
        <v>102</v>
      </c>
      <c r="BS979" t="s">
        <v>18192</v>
      </c>
      <c r="BT979" t="str">
        <f>HYPERLINK("https%3A%2F%2Fwww.webofscience.com%2Fwos%2Fwoscc%2Ffull-record%2FWOS:000524297300001","View Full Record in Web of Science")</f>
        <v>View Full Record in Web of Science</v>
      </c>
    </row>
    <row r="980" spans="1:72" x14ac:dyDescent="0.2">
      <c r="A980" t="s">
        <v>72</v>
      </c>
      <c r="B980" t="s">
        <v>18193</v>
      </c>
      <c r="C980" t="s">
        <v>74</v>
      </c>
      <c r="D980" t="s">
        <v>74</v>
      </c>
      <c r="E980" t="s">
        <v>74</v>
      </c>
      <c r="F980" t="s">
        <v>18193</v>
      </c>
      <c r="G980" t="s">
        <v>74</v>
      </c>
      <c r="H980" t="s">
        <v>74</v>
      </c>
      <c r="I980" t="s">
        <v>18194</v>
      </c>
      <c r="J980" t="s">
        <v>8684</v>
      </c>
      <c r="K980" t="s">
        <v>74</v>
      </c>
      <c r="L980" t="s">
        <v>74</v>
      </c>
      <c r="M980" t="s">
        <v>78</v>
      </c>
      <c r="N980" t="s">
        <v>108</v>
      </c>
      <c r="O980" t="s">
        <v>74</v>
      </c>
      <c r="P980" t="s">
        <v>74</v>
      </c>
      <c r="Q980" t="s">
        <v>74</v>
      </c>
      <c r="R980" t="s">
        <v>74</v>
      </c>
      <c r="S980" t="s">
        <v>74</v>
      </c>
      <c r="T980" t="s">
        <v>74</v>
      </c>
      <c r="U980" t="s">
        <v>18195</v>
      </c>
      <c r="V980" t="s">
        <v>18196</v>
      </c>
      <c r="W980" t="s">
        <v>18197</v>
      </c>
      <c r="X980" t="s">
        <v>8550</v>
      </c>
      <c r="Y980" t="s">
        <v>18198</v>
      </c>
      <c r="Z980" t="s">
        <v>18199</v>
      </c>
      <c r="AA980" t="s">
        <v>18200</v>
      </c>
      <c r="AB980" t="s">
        <v>74</v>
      </c>
      <c r="AC980" t="s">
        <v>74</v>
      </c>
      <c r="AD980" t="s">
        <v>74</v>
      </c>
      <c r="AE980" t="s">
        <v>74</v>
      </c>
      <c r="AF980" t="s">
        <v>74</v>
      </c>
      <c r="AG980">
        <v>67</v>
      </c>
      <c r="AH980">
        <v>68</v>
      </c>
      <c r="AI980">
        <v>70</v>
      </c>
      <c r="AJ980">
        <v>1</v>
      </c>
      <c r="AK980">
        <v>57</v>
      </c>
      <c r="AL980" t="s">
        <v>321</v>
      </c>
      <c r="AM980" t="s">
        <v>322</v>
      </c>
      <c r="AN980" t="s">
        <v>323</v>
      </c>
      <c r="AO980" t="s">
        <v>8694</v>
      </c>
      <c r="AP980" t="s">
        <v>8695</v>
      </c>
      <c r="AQ980" t="s">
        <v>74</v>
      </c>
      <c r="AR980" t="s">
        <v>8696</v>
      </c>
      <c r="AS980" t="s">
        <v>8697</v>
      </c>
      <c r="AT980" t="s">
        <v>239</v>
      </c>
      <c r="AU980">
        <v>2001</v>
      </c>
      <c r="AV980">
        <v>17</v>
      </c>
      <c r="AW980" t="s">
        <v>1459</v>
      </c>
      <c r="AX980" t="s">
        <v>74</v>
      </c>
      <c r="AY980" t="s">
        <v>74</v>
      </c>
      <c r="AZ980" t="s">
        <v>74</v>
      </c>
      <c r="BA980" t="s">
        <v>74</v>
      </c>
      <c r="BB980">
        <v>123</v>
      </c>
      <c r="BC980">
        <v>141</v>
      </c>
      <c r="BD980" t="s">
        <v>74</v>
      </c>
      <c r="BE980" t="s">
        <v>18201</v>
      </c>
      <c r="BF980" t="str">
        <f>HYPERLINK("http://dx.doi.org/10.1023/A:1011182624329","http://dx.doi.org/10.1023/A:1011182624329")</f>
        <v>http://dx.doi.org/10.1023/A:1011182624329</v>
      </c>
      <c r="BG980" t="s">
        <v>74</v>
      </c>
      <c r="BH980" t="s">
        <v>74</v>
      </c>
      <c r="BI980">
        <v>19</v>
      </c>
      <c r="BJ980" t="s">
        <v>1705</v>
      </c>
      <c r="BK980" t="s">
        <v>242</v>
      </c>
      <c r="BL980" t="s">
        <v>419</v>
      </c>
      <c r="BM980" t="s">
        <v>18202</v>
      </c>
      <c r="BN980" t="s">
        <v>74</v>
      </c>
      <c r="BO980" t="s">
        <v>74</v>
      </c>
      <c r="BP980" t="s">
        <v>74</v>
      </c>
      <c r="BQ980" t="s">
        <v>74</v>
      </c>
      <c r="BR980" t="s">
        <v>102</v>
      </c>
      <c r="BS980" t="s">
        <v>18203</v>
      </c>
      <c r="BT980" t="str">
        <f>HYPERLINK("https%3A%2F%2Fwww.webofscience.com%2Fwos%2Fwoscc%2Ffull-record%2FWOS:000169520700010","View Full Record in Web of Science")</f>
        <v>View Full Record in Web of Science</v>
      </c>
    </row>
    <row r="981" spans="1:72" x14ac:dyDescent="0.2">
      <c r="A981" t="s">
        <v>72</v>
      </c>
      <c r="B981" t="s">
        <v>18204</v>
      </c>
      <c r="C981" t="s">
        <v>74</v>
      </c>
      <c r="D981" t="s">
        <v>74</v>
      </c>
      <c r="E981" t="s">
        <v>74</v>
      </c>
      <c r="F981" t="s">
        <v>18205</v>
      </c>
      <c r="G981" t="s">
        <v>74</v>
      </c>
      <c r="H981" t="s">
        <v>74</v>
      </c>
      <c r="I981" t="s">
        <v>18206</v>
      </c>
      <c r="J981" t="s">
        <v>18207</v>
      </c>
      <c r="K981" t="s">
        <v>74</v>
      </c>
      <c r="L981" t="s">
        <v>74</v>
      </c>
      <c r="M981" t="s">
        <v>78</v>
      </c>
      <c r="N981" t="s">
        <v>79</v>
      </c>
      <c r="O981" t="s">
        <v>74</v>
      </c>
      <c r="P981" t="s">
        <v>74</v>
      </c>
      <c r="Q981" t="s">
        <v>74</v>
      </c>
      <c r="R981" t="s">
        <v>74</v>
      </c>
      <c r="S981" t="s">
        <v>74</v>
      </c>
      <c r="T981" t="s">
        <v>18208</v>
      </c>
      <c r="U981" t="s">
        <v>18209</v>
      </c>
      <c r="V981" t="s">
        <v>18210</v>
      </c>
      <c r="W981" t="s">
        <v>18211</v>
      </c>
      <c r="X981" t="s">
        <v>74</v>
      </c>
      <c r="Y981" t="s">
        <v>18212</v>
      </c>
      <c r="Z981" t="s">
        <v>18213</v>
      </c>
      <c r="AA981" t="s">
        <v>18214</v>
      </c>
      <c r="AB981" t="s">
        <v>18215</v>
      </c>
      <c r="AC981" t="s">
        <v>74</v>
      </c>
      <c r="AD981" t="s">
        <v>74</v>
      </c>
      <c r="AE981" t="s">
        <v>74</v>
      </c>
      <c r="AF981" t="s">
        <v>74</v>
      </c>
      <c r="AG981">
        <v>127</v>
      </c>
      <c r="AH981">
        <v>4</v>
      </c>
      <c r="AI981">
        <v>4</v>
      </c>
      <c r="AJ981">
        <v>10</v>
      </c>
      <c r="AK981">
        <v>24</v>
      </c>
      <c r="AL981" t="s">
        <v>259</v>
      </c>
      <c r="AM981" t="s">
        <v>260</v>
      </c>
      <c r="AN981" t="s">
        <v>261</v>
      </c>
      <c r="AO981" t="s">
        <v>18216</v>
      </c>
      <c r="AP981" t="s">
        <v>18217</v>
      </c>
      <c r="AQ981" t="s">
        <v>74</v>
      </c>
      <c r="AR981" t="s">
        <v>18218</v>
      </c>
      <c r="AS981" t="s">
        <v>18219</v>
      </c>
      <c r="AT981" t="s">
        <v>3612</v>
      </c>
      <c r="AU981">
        <v>2022</v>
      </c>
      <c r="AV981">
        <v>223</v>
      </c>
      <c r="AW981" t="s">
        <v>74</v>
      </c>
      <c r="AX981" t="s">
        <v>74</v>
      </c>
      <c r="AY981" t="s">
        <v>74</v>
      </c>
      <c r="AZ981" t="s">
        <v>74</v>
      </c>
      <c r="BA981" t="s">
        <v>74</v>
      </c>
      <c r="BB981" t="s">
        <v>74</v>
      </c>
      <c r="BC981" t="s">
        <v>74</v>
      </c>
      <c r="BD981">
        <v>106149</v>
      </c>
      <c r="BE981" t="s">
        <v>18220</v>
      </c>
      <c r="BF981" t="str">
        <f>HYPERLINK("http://dx.doi.org/10.1016/j.ocecoaman.2022.106149","http://dx.doi.org/10.1016/j.ocecoaman.2022.106149")</f>
        <v>http://dx.doi.org/10.1016/j.ocecoaman.2022.106149</v>
      </c>
      <c r="BG981" t="s">
        <v>74</v>
      </c>
      <c r="BH981" t="s">
        <v>329</v>
      </c>
      <c r="BI981">
        <v>12</v>
      </c>
      <c r="BJ981" t="s">
        <v>18221</v>
      </c>
      <c r="BK981" t="s">
        <v>98</v>
      </c>
      <c r="BL981" t="s">
        <v>18221</v>
      </c>
      <c r="BM981" t="s">
        <v>18222</v>
      </c>
      <c r="BN981" t="s">
        <v>74</v>
      </c>
      <c r="BO981" t="s">
        <v>702</v>
      </c>
      <c r="BP981" t="s">
        <v>74</v>
      </c>
      <c r="BQ981" t="s">
        <v>74</v>
      </c>
      <c r="BR981" t="s">
        <v>102</v>
      </c>
      <c r="BS981" t="s">
        <v>18223</v>
      </c>
      <c r="BT981" t="str">
        <f>HYPERLINK("https%3A%2F%2Fwww.webofscience.com%2Fwos%2Fwoscc%2Ffull-record%2FWOS:000806385600004","View Full Record in Web of Science")</f>
        <v>View Full Record in Web of Science</v>
      </c>
    </row>
    <row r="982" spans="1:72" x14ac:dyDescent="0.2">
      <c r="A982" t="s">
        <v>72</v>
      </c>
      <c r="B982" t="s">
        <v>18224</v>
      </c>
      <c r="C982" t="s">
        <v>74</v>
      </c>
      <c r="D982" t="s">
        <v>74</v>
      </c>
      <c r="E982" t="s">
        <v>74</v>
      </c>
      <c r="F982" t="s">
        <v>18225</v>
      </c>
      <c r="G982" t="s">
        <v>74</v>
      </c>
      <c r="H982" t="s">
        <v>74</v>
      </c>
      <c r="I982" t="s">
        <v>18226</v>
      </c>
      <c r="J982" t="s">
        <v>18227</v>
      </c>
      <c r="K982" t="s">
        <v>74</v>
      </c>
      <c r="L982" t="s">
        <v>74</v>
      </c>
      <c r="M982" t="s">
        <v>78</v>
      </c>
      <c r="N982" t="s">
        <v>108</v>
      </c>
      <c r="O982" t="s">
        <v>74</v>
      </c>
      <c r="P982" t="s">
        <v>74</v>
      </c>
      <c r="Q982" t="s">
        <v>74</v>
      </c>
      <c r="R982" t="s">
        <v>74</v>
      </c>
      <c r="S982" t="s">
        <v>74</v>
      </c>
      <c r="T982" t="s">
        <v>18228</v>
      </c>
      <c r="U982" t="s">
        <v>18229</v>
      </c>
      <c r="V982" t="s">
        <v>18230</v>
      </c>
      <c r="W982" t="s">
        <v>18231</v>
      </c>
      <c r="X982" t="s">
        <v>18232</v>
      </c>
      <c r="Y982" t="s">
        <v>18233</v>
      </c>
      <c r="Z982" t="s">
        <v>18234</v>
      </c>
      <c r="AA982" t="s">
        <v>18235</v>
      </c>
      <c r="AB982" t="s">
        <v>18236</v>
      </c>
      <c r="AC982" t="s">
        <v>18237</v>
      </c>
      <c r="AD982" t="s">
        <v>18238</v>
      </c>
      <c r="AE982" t="s">
        <v>18239</v>
      </c>
      <c r="AF982" t="s">
        <v>74</v>
      </c>
      <c r="AG982">
        <v>35</v>
      </c>
      <c r="AH982">
        <v>147</v>
      </c>
      <c r="AI982">
        <v>152</v>
      </c>
      <c r="AJ982">
        <v>7</v>
      </c>
      <c r="AK982">
        <v>84</v>
      </c>
      <c r="AL982" t="s">
        <v>18240</v>
      </c>
      <c r="AM982" t="s">
        <v>18241</v>
      </c>
      <c r="AN982" t="s">
        <v>18242</v>
      </c>
      <c r="AO982" t="s">
        <v>18243</v>
      </c>
      <c r="AP982" t="s">
        <v>18244</v>
      </c>
      <c r="AQ982" t="s">
        <v>74</v>
      </c>
      <c r="AR982" t="s">
        <v>18245</v>
      </c>
      <c r="AS982" t="s">
        <v>18246</v>
      </c>
      <c r="AT982" t="s">
        <v>416</v>
      </c>
      <c r="AU982">
        <v>2016</v>
      </c>
      <c r="AV982">
        <v>36</v>
      </c>
      <c r="AW982">
        <v>2</v>
      </c>
      <c r="AX982" t="s">
        <v>74</v>
      </c>
      <c r="AY982" t="s">
        <v>74</v>
      </c>
      <c r="AZ982" t="s">
        <v>74</v>
      </c>
      <c r="BA982" t="s">
        <v>74</v>
      </c>
      <c r="BB982" t="s">
        <v>74</v>
      </c>
      <c r="BC982" t="s">
        <v>74</v>
      </c>
      <c r="BD982">
        <v>27</v>
      </c>
      <c r="BE982" t="s">
        <v>18247</v>
      </c>
      <c r="BF982" t="str">
        <f>HYPERLINK("http://dx.doi.org/10.1007/s13593-016-0364-z","http://dx.doi.org/10.1007/s13593-016-0364-z")</f>
        <v>http://dx.doi.org/10.1007/s13593-016-0364-z</v>
      </c>
      <c r="BG982" t="s">
        <v>74</v>
      </c>
      <c r="BH982" t="s">
        <v>74</v>
      </c>
      <c r="BI982">
        <v>9</v>
      </c>
      <c r="BJ982" t="s">
        <v>18248</v>
      </c>
      <c r="BK982" t="s">
        <v>98</v>
      </c>
      <c r="BL982" t="s">
        <v>18249</v>
      </c>
      <c r="BM982" t="s">
        <v>18250</v>
      </c>
      <c r="BN982" t="s">
        <v>74</v>
      </c>
      <c r="BO982" t="s">
        <v>332</v>
      </c>
      <c r="BP982" t="s">
        <v>74</v>
      </c>
      <c r="BQ982" t="s">
        <v>74</v>
      </c>
      <c r="BR982" t="s">
        <v>102</v>
      </c>
      <c r="BS982" t="s">
        <v>18251</v>
      </c>
      <c r="BT982" t="str">
        <f>HYPERLINK("https%3A%2F%2Fwww.webofscience.com%2Fwos%2Fwoscc%2Ffull-record%2FWOS:000375447100004","View Full Record in Web of Science")</f>
        <v>View Full Record in Web of Science</v>
      </c>
    </row>
    <row r="983" spans="1:72" x14ac:dyDescent="0.2">
      <c r="A983" t="s">
        <v>72</v>
      </c>
      <c r="B983" t="s">
        <v>18252</v>
      </c>
      <c r="C983" t="s">
        <v>74</v>
      </c>
      <c r="D983" t="s">
        <v>74</v>
      </c>
      <c r="E983" t="s">
        <v>74</v>
      </c>
      <c r="F983" t="s">
        <v>18253</v>
      </c>
      <c r="G983" t="s">
        <v>74</v>
      </c>
      <c r="H983" t="s">
        <v>74</v>
      </c>
      <c r="I983" t="s">
        <v>18254</v>
      </c>
      <c r="J983" t="s">
        <v>13432</v>
      </c>
      <c r="K983" t="s">
        <v>74</v>
      </c>
      <c r="L983" t="s">
        <v>74</v>
      </c>
      <c r="M983" t="s">
        <v>78</v>
      </c>
      <c r="N983" t="s">
        <v>108</v>
      </c>
      <c r="O983" t="s">
        <v>74</v>
      </c>
      <c r="P983" t="s">
        <v>74</v>
      </c>
      <c r="Q983" t="s">
        <v>74</v>
      </c>
      <c r="R983" t="s">
        <v>74</v>
      </c>
      <c r="S983" t="s">
        <v>74</v>
      </c>
      <c r="T983" t="s">
        <v>18255</v>
      </c>
      <c r="U983" t="s">
        <v>18256</v>
      </c>
      <c r="V983" t="s">
        <v>18257</v>
      </c>
      <c r="W983" t="s">
        <v>18258</v>
      </c>
      <c r="X983" t="s">
        <v>18259</v>
      </c>
      <c r="Y983" t="s">
        <v>18260</v>
      </c>
      <c r="Z983" t="s">
        <v>18261</v>
      </c>
      <c r="AA983" t="s">
        <v>18262</v>
      </c>
      <c r="AB983" t="s">
        <v>13441</v>
      </c>
      <c r="AC983" t="s">
        <v>18263</v>
      </c>
      <c r="AD983" t="s">
        <v>18264</v>
      </c>
      <c r="AE983" t="s">
        <v>18265</v>
      </c>
      <c r="AF983" t="s">
        <v>74</v>
      </c>
      <c r="AG983">
        <v>38</v>
      </c>
      <c r="AH983">
        <v>16</v>
      </c>
      <c r="AI983">
        <v>18</v>
      </c>
      <c r="AJ983">
        <v>6</v>
      </c>
      <c r="AK983">
        <v>40</v>
      </c>
      <c r="AL983" t="s">
        <v>666</v>
      </c>
      <c r="AM983" t="s">
        <v>667</v>
      </c>
      <c r="AN983" t="s">
        <v>668</v>
      </c>
      <c r="AO983" t="s">
        <v>13442</v>
      </c>
      <c r="AP983" t="s">
        <v>74</v>
      </c>
      <c r="AQ983" t="s">
        <v>74</v>
      </c>
      <c r="AR983" t="s">
        <v>13443</v>
      </c>
      <c r="AS983" t="s">
        <v>13444</v>
      </c>
      <c r="AT983" t="s">
        <v>18266</v>
      </c>
      <c r="AU983">
        <v>2020</v>
      </c>
      <c r="AV983">
        <v>11</v>
      </c>
      <c r="AW983" t="s">
        <v>74</v>
      </c>
      <c r="AX983" t="s">
        <v>74</v>
      </c>
      <c r="AY983" t="s">
        <v>74</v>
      </c>
      <c r="AZ983" t="s">
        <v>74</v>
      </c>
      <c r="BA983" t="s">
        <v>74</v>
      </c>
      <c r="BB983" t="s">
        <v>74</v>
      </c>
      <c r="BC983" t="s">
        <v>74</v>
      </c>
      <c r="BD983">
        <v>562376</v>
      </c>
      <c r="BE983" t="s">
        <v>18267</v>
      </c>
      <c r="BF983" t="str">
        <f>HYPERLINK("http://dx.doi.org/10.3389/fphar.2020.562376","http://dx.doi.org/10.3389/fphar.2020.562376")</f>
        <v>http://dx.doi.org/10.3389/fphar.2020.562376</v>
      </c>
      <c r="BG983" t="s">
        <v>74</v>
      </c>
      <c r="BH983" t="s">
        <v>74</v>
      </c>
      <c r="BI983">
        <v>14</v>
      </c>
      <c r="BJ983" t="s">
        <v>12582</v>
      </c>
      <c r="BK983" t="s">
        <v>98</v>
      </c>
      <c r="BL983" t="s">
        <v>12582</v>
      </c>
      <c r="BM983" t="s">
        <v>18268</v>
      </c>
      <c r="BN983">
        <v>33343346</v>
      </c>
      <c r="BO983" t="s">
        <v>623</v>
      </c>
      <c r="BP983" t="s">
        <v>74</v>
      </c>
      <c r="BQ983" t="s">
        <v>74</v>
      </c>
      <c r="BR983" t="s">
        <v>102</v>
      </c>
      <c r="BS983" t="s">
        <v>18269</v>
      </c>
      <c r="BT983" t="str">
        <f>HYPERLINK("https%3A%2F%2Fwww.webofscience.com%2Fwos%2Fwoscc%2Ffull-record%2FWOS:000603016700001","View Full Record in Web of Science")</f>
        <v>View Full Record in Web of Science</v>
      </c>
    </row>
    <row r="984" spans="1:72" x14ac:dyDescent="0.2">
      <c r="A984" t="s">
        <v>72</v>
      </c>
      <c r="B984" t="s">
        <v>18270</v>
      </c>
      <c r="C984" t="s">
        <v>74</v>
      </c>
      <c r="D984" t="s">
        <v>74</v>
      </c>
      <c r="E984" t="s">
        <v>74</v>
      </c>
      <c r="F984" t="s">
        <v>18271</v>
      </c>
      <c r="G984" t="s">
        <v>74</v>
      </c>
      <c r="H984" t="s">
        <v>74</v>
      </c>
      <c r="I984" t="s">
        <v>18272</v>
      </c>
      <c r="J984" t="s">
        <v>4384</v>
      </c>
      <c r="K984" t="s">
        <v>74</v>
      </c>
      <c r="L984" t="s">
        <v>74</v>
      </c>
      <c r="M984" t="s">
        <v>78</v>
      </c>
      <c r="N984" t="s">
        <v>108</v>
      </c>
      <c r="O984" t="s">
        <v>74</v>
      </c>
      <c r="P984" t="s">
        <v>74</v>
      </c>
      <c r="Q984" t="s">
        <v>74</v>
      </c>
      <c r="R984" t="s">
        <v>74</v>
      </c>
      <c r="S984" t="s">
        <v>74</v>
      </c>
      <c r="T984" t="s">
        <v>18273</v>
      </c>
      <c r="U984" t="s">
        <v>18274</v>
      </c>
      <c r="V984" t="s">
        <v>18275</v>
      </c>
      <c r="W984" t="s">
        <v>18276</v>
      </c>
      <c r="X984" t="s">
        <v>18277</v>
      </c>
      <c r="Y984" t="s">
        <v>18278</v>
      </c>
      <c r="Z984" t="s">
        <v>18279</v>
      </c>
      <c r="AA984" t="s">
        <v>18280</v>
      </c>
      <c r="AB984" t="s">
        <v>18281</v>
      </c>
      <c r="AC984" t="s">
        <v>18282</v>
      </c>
      <c r="AD984" t="s">
        <v>18283</v>
      </c>
      <c r="AE984" t="s">
        <v>18284</v>
      </c>
      <c r="AF984" t="s">
        <v>74</v>
      </c>
      <c r="AG984">
        <v>42</v>
      </c>
      <c r="AH984">
        <v>0</v>
      </c>
      <c r="AI984">
        <v>0</v>
      </c>
      <c r="AJ984">
        <v>5</v>
      </c>
      <c r="AK984">
        <v>5</v>
      </c>
      <c r="AL984" t="s">
        <v>167</v>
      </c>
      <c r="AM984" t="s">
        <v>168</v>
      </c>
      <c r="AN984" t="s">
        <v>169</v>
      </c>
      <c r="AO984" t="s">
        <v>4393</v>
      </c>
      <c r="AP984" t="s">
        <v>74</v>
      </c>
      <c r="AQ984" t="s">
        <v>74</v>
      </c>
      <c r="AR984" t="s">
        <v>4384</v>
      </c>
      <c r="AS984" t="s">
        <v>4394</v>
      </c>
      <c r="AT984" t="s">
        <v>74</v>
      </c>
      <c r="AU984">
        <v>2023</v>
      </c>
      <c r="AV984">
        <v>11</v>
      </c>
      <c r="AW984" t="s">
        <v>74</v>
      </c>
      <c r="AX984" t="s">
        <v>74</v>
      </c>
      <c r="AY984" t="s">
        <v>74</v>
      </c>
      <c r="AZ984" t="s">
        <v>74</v>
      </c>
      <c r="BA984" t="s">
        <v>74</v>
      </c>
      <c r="BB984">
        <v>37790</v>
      </c>
      <c r="BC984">
        <v>37808</v>
      </c>
      <c r="BD984" t="s">
        <v>74</v>
      </c>
      <c r="BE984" t="s">
        <v>18285</v>
      </c>
      <c r="BF984" t="str">
        <f>HYPERLINK("http://dx.doi.org/10.1109/ACCESS.2023.3263238","http://dx.doi.org/10.1109/ACCESS.2023.3263238")</f>
        <v>http://dx.doi.org/10.1109/ACCESS.2023.3263238</v>
      </c>
      <c r="BG984" t="s">
        <v>74</v>
      </c>
      <c r="BH984" t="s">
        <v>74</v>
      </c>
      <c r="BI984">
        <v>19</v>
      </c>
      <c r="BJ984" t="s">
        <v>2959</v>
      </c>
      <c r="BK984" t="s">
        <v>98</v>
      </c>
      <c r="BL984" t="s">
        <v>2960</v>
      </c>
      <c r="BM984" t="s">
        <v>18286</v>
      </c>
      <c r="BN984" t="s">
        <v>74</v>
      </c>
      <c r="BO984" t="s">
        <v>126</v>
      </c>
      <c r="BP984" t="s">
        <v>74</v>
      </c>
      <c r="BQ984" t="s">
        <v>74</v>
      </c>
      <c r="BR984" t="s">
        <v>102</v>
      </c>
      <c r="BS984" t="s">
        <v>18287</v>
      </c>
      <c r="BT984" t="str">
        <f>HYPERLINK("https%3A%2F%2Fwww.webofscience.com%2Fwos%2Fwoscc%2Ffull-record%2FWOS:000976716600001","View Full Record in Web of Science")</f>
        <v>View Full Record in Web of Science</v>
      </c>
    </row>
    <row r="985" spans="1:72" x14ac:dyDescent="0.2">
      <c r="A985" t="s">
        <v>72</v>
      </c>
      <c r="B985" t="s">
        <v>18288</v>
      </c>
      <c r="C985" t="s">
        <v>74</v>
      </c>
      <c r="D985" t="s">
        <v>74</v>
      </c>
      <c r="E985" t="s">
        <v>74</v>
      </c>
      <c r="F985" t="s">
        <v>18289</v>
      </c>
      <c r="G985" t="s">
        <v>74</v>
      </c>
      <c r="H985" t="s">
        <v>74</v>
      </c>
      <c r="I985" t="s">
        <v>18290</v>
      </c>
      <c r="J985" t="s">
        <v>18291</v>
      </c>
      <c r="K985" t="s">
        <v>74</v>
      </c>
      <c r="L985" t="s">
        <v>74</v>
      </c>
      <c r="M985" t="s">
        <v>78</v>
      </c>
      <c r="N985" t="s">
        <v>108</v>
      </c>
      <c r="O985" t="s">
        <v>74</v>
      </c>
      <c r="P985" t="s">
        <v>74</v>
      </c>
      <c r="Q985" t="s">
        <v>74</v>
      </c>
      <c r="R985" t="s">
        <v>74</v>
      </c>
      <c r="S985" t="s">
        <v>74</v>
      </c>
      <c r="T985" t="s">
        <v>18292</v>
      </c>
      <c r="U985" t="s">
        <v>18293</v>
      </c>
      <c r="V985" t="s">
        <v>18294</v>
      </c>
      <c r="W985" t="s">
        <v>18295</v>
      </c>
      <c r="X985" t="s">
        <v>3568</v>
      </c>
      <c r="Y985" t="s">
        <v>18296</v>
      </c>
      <c r="Z985" t="s">
        <v>18297</v>
      </c>
      <c r="AA985" t="s">
        <v>74</v>
      </c>
      <c r="AB985" t="s">
        <v>74</v>
      </c>
      <c r="AC985" t="s">
        <v>74</v>
      </c>
      <c r="AD985" t="s">
        <v>74</v>
      </c>
      <c r="AE985" t="s">
        <v>74</v>
      </c>
      <c r="AF985" t="s">
        <v>74</v>
      </c>
      <c r="AG985">
        <v>27</v>
      </c>
      <c r="AH985">
        <v>4</v>
      </c>
      <c r="AI985">
        <v>4</v>
      </c>
      <c r="AJ985">
        <v>0</v>
      </c>
      <c r="AK985">
        <v>26</v>
      </c>
      <c r="AL985" t="s">
        <v>259</v>
      </c>
      <c r="AM985" t="s">
        <v>260</v>
      </c>
      <c r="AN985" t="s">
        <v>261</v>
      </c>
      <c r="AO985" t="s">
        <v>18298</v>
      </c>
      <c r="AP985" t="s">
        <v>18299</v>
      </c>
      <c r="AQ985" t="s">
        <v>74</v>
      </c>
      <c r="AR985" t="s">
        <v>18300</v>
      </c>
      <c r="AS985" t="s">
        <v>18301</v>
      </c>
      <c r="AT985" t="s">
        <v>738</v>
      </c>
      <c r="AU985">
        <v>2012</v>
      </c>
      <c r="AV985">
        <v>32</v>
      </c>
      <c r="AW985" t="s">
        <v>74</v>
      </c>
      <c r="AX985" t="s">
        <v>74</v>
      </c>
      <c r="AY985" t="s">
        <v>74</v>
      </c>
      <c r="AZ985" t="s">
        <v>74</v>
      </c>
      <c r="BA985" t="s">
        <v>74</v>
      </c>
      <c r="BB985">
        <v>64</v>
      </c>
      <c r="BC985">
        <v>70</v>
      </c>
      <c r="BD985" t="s">
        <v>74</v>
      </c>
      <c r="BE985" t="s">
        <v>18302</v>
      </c>
      <c r="BF985" t="str">
        <f>HYPERLINK("http://dx.doi.org/10.1016/j.cropro.2011.11.001","http://dx.doi.org/10.1016/j.cropro.2011.11.001")</f>
        <v>http://dx.doi.org/10.1016/j.cropro.2011.11.001</v>
      </c>
      <c r="BG985" t="s">
        <v>74</v>
      </c>
      <c r="BH985" t="s">
        <v>74</v>
      </c>
      <c r="BI985">
        <v>7</v>
      </c>
      <c r="BJ985" t="s">
        <v>9876</v>
      </c>
      <c r="BK985" t="s">
        <v>98</v>
      </c>
      <c r="BL985" t="s">
        <v>8268</v>
      </c>
      <c r="BM985" t="s">
        <v>18303</v>
      </c>
      <c r="BN985" t="s">
        <v>74</v>
      </c>
      <c r="BO985" t="s">
        <v>74</v>
      </c>
      <c r="BP985" t="s">
        <v>74</v>
      </c>
      <c r="BQ985" t="s">
        <v>74</v>
      </c>
      <c r="BR985" t="s">
        <v>102</v>
      </c>
      <c r="BS985" t="s">
        <v>18304</v>
      </c>
      <c r="BT985" t="str">
        <f>HYPERLINK("https%3A%2F%2Fwww.webofscience.com%2Fwos%2Fwoscc%2Ffull-record%2FWOS:000300271000011","View Full Record in Web of Science")</f>
        <v>View Full Record in Web of Science</v>
      </c>
    </row>
    <row r="986" spans="1:72" x14ac:dyDescent="0.2">
      <c r="A986" t="s">
        <v>72</v>
      </c>
      <c r="B986" t="s">
        <v>18305</v>
      </c>
      <c r="C986" t="s">
        <v>74</v>
      </c>
      <c r="D986" t="s">
        <v>74</v>
      </c>
      <c r="E986" t="s">
        <v>74</v>
      </c>
      <c r="F986" t="s">
        <v>18306</v>
      </c>
      <c r="G986" t="s">
        <v>74</v>
      </c>
      <c r="H986" t="s">
        <v>74</v>
      </c>
      <c r="I986" t="s">
        <v>18307</v>
      </c>
      <c r="J986" t="s">
        <v>2042</v>
      </c>
      <c r="K986" t="s">
        <v>74</v>
      </c>
      <c r="L986" t="s">
        <v>74</v>
      </c>
      <c r="M986" t="s">
        <v>78</v>
      </c>
      <c r="N986" t="s">
        <v>108</v>
      </c>
      <c r="O986" t="s">
        <v>74</v>
      </c>
      <c r="P986" t="s">
        <v>74</v>
      </c>
      <c r="Q986" t="s">
        <v>74</v>
      </c>
      <c r="R986" t="s">
        <v>74</v>
      </c>
      <c r="S986" t="s">
        <v>74</v>
      </c>
      <c r="T986" t="s">
        <v>18308</v>
      </c>
      <c r="U986" t="s">
        <v>18309</v>
      </c>
      <c r="V986" t="s">
        <v>18310</v>
      </c>
      <c r="W986" t="s">
        <v>18311</v>
      </c>
      <c r="X986" t="s">
        <v>18312</v>
      </c>
      <c r="Y986" t="s">
        <v>18313</v>
      </c>
      <c r="Z986" t="s">
        <v>18314</v>
      </c>
      <c r="AA986" t="s">
        <v>74</v>
      </c>
      <c r="AB986" t="s">
        <v>74</v>
      </c>
      <c r="AC986" t="s">
        <v>18315</v>
      </c>
      <c r="AD986" t="s">
        <v>18316</v>
      </c>
      <c r="AE986" t="s">
        <v>18317</v>
      </c>
      <c r="AF986" t="s">
        <v>74</v>
      </c>
      <c r="AG986">
        <v>104</v>
      </c>
      <c r="AH986">
        <v>0</v>
      </c>
      <c r="AI986">
        <v>0</v>
      </c>
      <c r="AJ986">
        <v>12</v>
      </c>
      <c r="AK986">
        <v>12</v>
      </c>
      <c r="AL986" t="s">
        <v>543</v>
      </c>
      <c r="AM986" t="s">
        <v>260</v>
      </c>
      <c r="AN986" t="s">
        <v>544</v>
      </c>
      <c r="AO986" t="s">
        <v>2054</v>
      </c>
      <c r="AP986" t="s">
        <v>2055</v>
      </c>
      <c r="AQ986" t="s">
        <v>74</v>
      </c>
      <c r="AR986" t="s">
        <v>2056</v>
      </c>
      <c r="AS986" t="s">
        <v>2057</v>
      </c>
      <c r="AT986" t="s">
        <v>5968</v>
      </c>
      <c r="AU986">
        <v>2023</v>
      </c>
      <c r="AV986">
        <v>233</v>
      </c>
      <c r="AW986" t="s">
        <v>74</v>
      </c>
      <c r="AX986" t="s">
        <v>74</v>
      </c>
      <c r="AY986" t="s">
        <v>74</v>
      </c>
      <c r="AZ986" t="s">
        <v>74</v>
      </c>
      <c r="BA986" t="s">
        <v>74</v>
      </c>
      <c r="BB986" t="s">
        <v>74</v>
      </c>
      <c r="BC986" t="s">
        <v>74</v>
      </c>
      <c r="BD986">
        <v>120988</v>
      </c>
      <c r="BE986" t="s">
        <v>18318</v>
      </c>
      <c r="BF986" t="str">
        <f>HYPERLINK("http://dx.doi.org/10.1016/j.eswa.2023.120988","http://dx.doi.org/10.1016/j.eswa.2023.120988")</f>
        <v>http://dx.doi.org/10.1016/j.eswa.2023.120988</v>
      </c>
      <c r="BG986" t="s">
        <v>74</v>
      </c>
      <c r="BH986" t="s">
        <v>74</v>
      </c>
      <c r="BI986">
        <v>31</v>
      </c>
      <c r="BJ986" t="s">
        <v>2059</v>
      </c>
      <c r="BK986" t="s">
        <v>98</v>
      </c>
      <c r="BL986" t="s">
        <v>2060</v>
      </c>
      <c r="BM986" t="s">
        <v>18319</v>
      </c>
      <c r="BN986" t="s">
        <v>74</v>
      </c>
      <c r="BO986" t="s">
        <v>74</v>
      </c>
      <c r="BP986" t="s">
        <v>74</v>
      </c>
      <c r="BQ986" t="s">
        <v>74</v>
      </c>
      <c r="BR986" t="s">
        <v>102</v>
      </c>
      <c r="BS986" t="s">
        <v>18320</v>
      </c>
      <c r="BT986" t="str">
        <f>HYPERLINK("https%3A%2F%2Fwww.webofscience.com%2Fwos%2Fwoscc%2Ffull-record%2FWOS:001047816600001","View Full Record in Web of Science")</f>
        <v>View Full Record in Web of Science</v>
      </c>
    </row>
    <row r="987" spans="1:72" x14ac:dyDescent="0.2">
      <c r="A987" t="s">
        <v>72</v>
      </c>
      <c r="B987" t="s">
        <v>18321</v>
      </c>
      <c r="C987" t="s">
        <v>74</v>
      </c>
      <c r="D987" t="s">
        <v>74</v>
      </c>
      <c r="E987" t="s">
        <v>74</v>
      </c>
      <c r="F987" t="s">
        <v>18322</v>
      </c>
      <c r="G987" t="s">
        <v>74</v>
      </c>
      <c r="H987" t="s">
        <v>74</v>
      </c>
      <c r="I987" t="s">
        <v>18323</v>
      </c>
      <c r="J987" t="s">
        <v>3189</v>
      </c>
      <c r="K987" t="s">
        <v>74</v>
      </c>
      <c r="L987" t="s">
        <v>74</v>
      </c>
      <c r="M987" t="s">
        <v>78</v>
      </c>
      <c r="N987" t="s">
        <v>108</v>
      </c>
      <c r="O987" t="s">
        <v>74</v>
      </c>
      <c r="P987" t="s">
        <v>74</v>
      </c>
      <c r="Q987" t="s">
        <v>74</v>
      </c>
      <c r="R987" t="s">
        <v>74</v>
      </c>
      <c r="S987" t="s">
        <v>74</v>
      </c>
      <c r="T987" t="s">
        <v>18324</v>
      </c>
      <c r="U987" t="s">
        <v>18325</v>
      </c>
      <c r="V987" t="s">
        <v>18326</v>
      </c>
      <c r="W987" t="s">
        <v>18327</v>
      </c>
      <c r="X987" t="s">
        <v>18328</v>
      </c>
      <c r="Y987" t="s">
        <v>18329</v>
      </c>
      <c r="Z987" t="s">
        <v>18330</v>
      </c>
      <c r="AA987" t="s">
        <v>18331</v>
      </c>
      <c r="AB987" t="s">
        <v>18332</v>
      </c>
      <c r="AC987" t="s">
        <v>74</v>
      </c>
      <c r="AD987" t="s">
        <v>74</v>
      </c>
      <c r="AE987" t="s">
        <v>74</v>
      </c>
      <c r="AF987" t="s">
        <v>74</v>
      </c>
      <c r="AG987">
        <v>42</v>
      </c>
      <c r="AH987">
        <v>0</v>
      </c>
      <c r="AI987">
        <v>0</v>
      </c>
      <c r="AJ987">
        <v>9</v>
      </c>
      <c r="AK987">
        <v>25</v>
      </c>
      <c r="AL987" t="s">
        <v>1946</v>
      </c>
      <c r="AM987" t="s">
        <v>90</v>
      </c>
      <c r="AN987" t="s">
        <v>1947</v>
      </c>
      <c r="AO987" t="s">
        <v>3197</v>
      </c>
      <c r="AP987" t="s">
        <v>3198</v>
      </c>
      <c r="AQ987" t="s">
        <v>74</v>
      </c>
      <c r="AR987" t="s">
        <v>3199</v>
      </c>
      <c r="AS987" t="s">
        <v>3200</v>
      </c>
      <c r="AT987" t="s">
        <v>616</v>
      </c>
      <c r="AU987">
        <v>2023</v>
      </c>
      <c r="AV987">
        <v>125</v>
      </c>
      <c r="AW987" t="s">
        <v>3740</v>
      </c>
      <c r="AX987" t="s">
        <v>74</v>
      </c>
      <c r="AY987" t="s">
        <v>74</v>
      </c>
      <c r="AZ987" t="s">
        <v>74</v>
      </c>
      <c r="BA987" t="s">
        <v>74</v>
      </c>
      <c r="BB987">
        <v>1987</v>
      </c>
      <c r="BC987">
        <v>2002</v>
      </c>
      <c r="BD987" t="s">
        <v>74</v>
      </c>
      <c r="BE987" t="s">
        <v>18333</v>
      </c>
      <c r="BF987" t="str">
        <f>HYPERLINK("http://dx.doi.org/10.1007/s00170-022-10615-3","http://dx.doi.org/10.1007/s00170-022-10615-3")</f>
        <v>http://dx.doi.org/10.1007/s00170-022-10615-3</v>
      </c>
      <c r="BG987" t="s">
        <v>74</v>
      </c>
      <c r="BH987" t="s">
        <v>740</v>
      </c>
      <c r="BI987">
        <v>16</v>
      </c>
      <c r="BJ987" t="s">
        <v>3203</v>
      </c>
      <c r="BK987" t="s">
        <v>98</v>
      </c>
      <c r="BL987" t="s">
        <v>3204</v>
      </c>
      <c r="BM987" t="s">
        <v>18334</v>
      </c>
      <c r="BN987" t="s">
        <v>74</v>
      </c>
      <c r="BO987" t="s">
        <v>74</v>
      </c>
      <c r="BP987" t="s">
        <v>74</v>
      </c>
      <c r="BQ987" t="s">
        <v>74</v>
      </c>
      <c r="BR987" t="s">
        <v>102</v>
      </c>
      <c r="BS987" t="s">
        <v>18335</v>
      </c>
      <c r="BT987" t="str">
        <f>HYPERLINK("https%3A%2F%2Fwww.webofscience.com%2Fwos%2Fwoscc%2Ffull-record%2FWOS:000897730800003","View Full Record in Web of Science")</f>
        <v>View Full Record in Web of Science</v>
      </c>
    </row>
    <row r="988" spans="1:72" x14ac:dyDescent="0.2">
      <c r="A988" t="s">
        <v>72</v>
      </c>
      <c r="B988" t="s">
        <v>18336</v>
      </c>
      <c r="C988" t="s">
        <v>74</v>
      </c>
      <c r="D988" t="s">
        <v>74</v>
      </c>
      <c r="E988" t="s">
        <v>74</v>
      </c>
      <c r="F988" t="s">
        <v>18337</v>
      </c>
      <c r="G988" t="s">
        <v>74</v>
      </c>
      <c r="H988" t="s">
        <v>74</v>
      </c>
      <c r="I988" t="s">
        <v>18338</v>
      </c>
      <c r="J988" t="s">
        <v>18339</v>
      </c>
      <c r="K988" t="s">
        <v>74</v>
      </c>
      <c r="L988" t="s">
        <v>74</v>
      </c>
      <c r="M988" t="s">
        <v>78</v>
      </c>
      <c r="N988" t="s">
        <v>108</v>
      </c>
      <c r="O988" t="s">
        <v>74</v>
      </c>
      <c r="P988" t="s">
        <v>74</v>
      </c>
      <c r="Q988" t="s">
        <v>74</v>
      </c>
      <c r="R988" t="s">
        <v>74</v>
      </c>
      <c r="S988" t="s">
        <v>74</v>
      </c>
      <c r="T988" t="s">
        <v>18340</v>
      </c>
      <c r="U988" t="s">
        <v>18341</v>
      </c>
      <c r="V988" t="s">
        <v>18342</v>
      </c>
      <c r="W988" t="s">
        <v>18343</v>
      </c>
      <c r="X988" t="s">
        <v>18344</v>
      </c>
      <c r="Y988" t="s">
        <v>18345</v>
      </c>
      <c r="Z988" t="s">
        <v>18346</v>
      </c>
      <c r="AA988" t="s">
        <v>18347</v>
      </c>
      <c r="AB988" t="s">
        <v>18348</v>
      </c>
      <c r="AC988" t="s">
        <v>18349</v>
      </c>
      <c r="AD988" t="s">
        <v>18349</v>
      </c>
      <c r="AE988" t="s">
        <v>18350</v>
      </c>
      <c r="AF988" t="s">
        <v>74</v>
      </c>
      <c r="AG988">
        <v>47</v>
      </c>
      <c r="AH988">
        <v>45</v>
      </c>
      <c r="AI988">
        <v>44</v>
      </c>
      <c r="AJ988">
        <v>0</v>
      </c>
      <c r="AK988">
        <v>20</v>
      </c>
      <c r="AL988" t="s">
        <v>409</v>
      </c>
      <c r="AM988" t="s">
        <v>410</v>
      </c>
      <c r="AN988" t="s">
        <v>411</v>
      </c>
      <c r="AO988" t="s">
        <v>18351</v>
      </c>
      <c r="AP988" t="s">
        <v>18352</v>
      </c>
      <c r="AQ988" t="s">
        <v>74</v>
      </c>
      <c r="AR988" t="s">
        <v>18353</v>
      </c>
      <c r="AS988" t="s">
        <v>18354</v>
      </c>
      <c r="AT988" t="s">
        <v>738</v>
      </c>
      <c r="AU988">
        <v>2016</v>
      </c>
      <c r="AV988">
        <v>63</v>
      </c>
      <c r="AW988">
        <v>1</v>
      </c>
      <c r="AX988" t="s">
        <v>74</v>
      </c>
      <c r="AY988" t="s">
        <v>74</v>
      </c>
      <c r="AZ988" t="s">
        <v>74</v>
      </c>
      <c r="BA988" t="s">
        <v>74</v>
      </c>
      <c r="BB988" t="s">
        <v>18355</v>
      </c>
      <c r="BC988" t="s">
        <v>18356</v>
      </c>
      <c r="BD988" t="s">
        <v>74</v>
      </c>
      <c r="BE988" t="s">
        <v>18357</v>
      </c>
      <c r="BF988" t="str">
        <f>HYPERLINK("http://dx.doi.org/10.1111/tbed.12225","http://dx.doi.org/10.1111/tbed.12225")</f>
        <v>http://dx.doi.org/10.1111/tbed.12225</v>
      </c>
      <c r="BG988" t="s">
        <v>74</v>
      </c>
      <c r="BH988" t="s">
        <v>74</v>
      </c>
      <c r="BI988">
        <v>13</v>
      </c>
      <c r="BJ988" t="s">
        <v>18358</v>
      </c>
      <c r="BK988" t="s">
        <v>98</v>
      </c>
      <c r="BL988" t="s">
        <v>18358</v>
      </c>
      <c r="BM988" t="s">
        <v>18359</v>
      </c>
      <c r="BN988">
        <v>24739480</v>
      </c>
      <c r="BO988" t="s">
        <v>126</v>
      </c>
      <c r="BP988" t="s">
        <v>74</v>
      </c>
      <c r="BQ988" t="s">
        <v>74</v>
      </c>
      <c r="BR988" t="s">
        <v>102</v>
      </c>
      <c r="BS988" t="s">
        <v>18360</v>
      </c>
      <c r="BT988" t="str">
        <f>HYPERLINK("https%3A%2F%2Fwww.webofscience.com%2Fwos%2Fwoscc%2Ffull-record%2FWOS:000368093800002","View Full Record in Web of Science")</f>
        <v>View Full Record in Web of Science</v>
      </c>
    </row>
    <row r="989" spans="1:72" x14ac:dyDescent="0.2">
      <c r="A989" t="s">
        <v>72</v>
      </c>
      <c r="B989" t="s">
        <v>18361</v>
      </c>
      <c r="C989" t="s">
        <v>74</v>
      </c>
      <c r="D989" t="s">
        <v>74</v>
      </c>
      <c r="E989" t="s">
        <v>74</v>
      </c>
      <c r="F989" t="s">
        <v>18362</v>
      </c>
      <c r="G989" t="s">
        <v>74</v>
      </c>
      <c r="H989" t="s">
        <v>74</v>
      </c>
      <c r="I989" t="s">
        <v>18363</v>
      </c>
      <c r="J989" t="s">
        <v>2249</v>
      </c>
      <c r="K989" t="s">
        <v>74</v>
      </c>
      <c r="L989" t="s">
        <v>74</v>
      </c>
      <c r="M989" t="s">
        <v>78</v>
      </c>
      <c r="N989" t="s">
        <v>108</v>
      </c>
      <c r="O989" t="s">
        <v>74</v>
      </c>
      <c r="P989" t="s">
        <v>74</v>
      </c>
      <c r="Q989" t="s">
        <v>74</v>
      </c>
      <c r="R989" t="s">
        <v>74</v>
      </c>
      <c r="S989" t="s">
        <v>74</v>
      </c>
      <c r="T989" t="s">
        <v>18364</v>
      </c>
      <c r="U989" t="s">
        <v>2570</v>
      </c>
      <c r="V989" t="s">
        <v>18365</v>
      </c>
      <c r="W989" t="s">
        <v>18366</v>
      </c>
      <c r="X989" t="s">
        <v>18367</v>
      </c>
      <c r="Y989" t="s">
        <v>18368</v>
      </c>
      <c r="Z989" t="s">
        <v>18369</v>
      </c>
      <c r="AA989" t="s">
        <v>18370</v>
      </c>
      <c r="AB989" t="s">
        <v>18371</v>
      </c>
      <c r="AC989" t="s">
        <v>74</v>
      </c>
      <c r="AD989" t="s">
        <v>74</v>
      </c>
      <c r="AE989" t="s">
        <v>74</v>
      </c>
      <c r="AF989" t="s">
        <v>74</v>
      </c>
      <c r="AG989">
        <v>84</v>
      </c>
      <c r="AH989">
        <v>49</v>
      </c>
      <c r="AI989">
        <v>56</v>
      </c>
      <c r="AJ989">
        <v>1</v>
      </c>
      <c r="AK989">
        <v>34</v>
      </c>
      <c r="AL989" t="s">
        <v>543</v>
      </c>
      <c r="AM989" t="s">
        <v>260</v>
      </c>
      <c r="AN989" t="s">
        <v>544</v>
      </c>
      <c r="AO989" t="s">
        <v>2257</v>
      </c>
      <c r="AP989" t="s">
        <v>74</v>
      </c>
      <c r="AQ989" t="s">
        <v>74</v>
      </c>
      <c r="AR989" t="s">
        <v>2258</v>
      </c>
      <c r="AS989" t="s">
        <v>2259</v>
      </c>
      <c r="AT989" t="s">
        <v>738</v>
      </c>
      <c r="AU989">
        <v>2008</v>
      </c>
      <c r="AV989">
        <v>36</v>
      </c>
      <c r="AW989">
        <v>1</v>
      </c>
      <c r="AX989" t="s">
        <v>74</v>
      </c>
      <c r="AY989" t="s">
        <v>74</v>
      </c>
      <c r="AZ989" t="s">
        <v>74</v>
      </c>
      <c r="BA989" t="s">
        <v>74</v>
      </c>
      <c r="BB989">
        <v>107</v>
      </c>
      <c r="BC989">
        <v>121</v>
      </c>
      <c r="BD989" t="s">
        <v>74</v>
      </c>
      <c r="BE989" t="s">
        <v>18372</v>
      </c>
      <c r="BF989" t="str">
        <f>HYPERLINK("http://dx.doi.org/10.1016/j.omega.2005.10.005","http://dx.doi.org/10.1016/j.omega.2005.10.005")</f>
        <v>http://dx.doi.org/10.1016/j.omega.2005.10.005</v>
      </c>
      <c r="BG989" t="s">
        <v>74</v>
      </c>
      <c r="BH989" t="s">
        <v>74</v>
      </c>
      <c r="BI989">
        <v>15</v>
      </c>
      <c r="BJ989" t="s">
        <v>524</v>
      </c>
      <c r="BK989" t="s">
        <v>147</v>
      </c>
      <c r="BL989" t="s">
        <v>525</v>
      </c>
      <c r="BM989" t="s">
        <v>18373</v>
      </c>
      <c r="BN989" t="s">
        <v>74</v>
      </c>
      <c r="BO989" t="s">
        <v>74</v>
      </c>
      <c r="BP989" t="s">
        <v>74</v>
      </c>
      <c r="BQ989" t="s">
        <v>74</v>
      </c>
      <c r="BR989" t="s">
        <v>102</v>
      </c>
      <c r="BS989" t="s">
        <v>18374</v>
      </c>
      <c r="BT989" t="str">
        <f>HYPERLINK("https%3A%2F%2Fwww.webofscience.com%2Fwos%2Fwoscc%2Ffull-record%2FWOS:000250188800009","View Full Record in Web of Science")</f>
        <v>View Full Record in Web of Science</v>
      </c>
    </row>
    <row r="990" spans="1:72" x14ac:dyDescent="0.2">
      <c r="A990" t="s">
        <v>72</v>
      </c>
      <c r="B990" t="s">
        <v>18375</v>
      </c>
      <c r="C990" t="s">
        <v>74</v>
      </c>
      <c r="D990" t="s">
        <v>74</v>
      </c>
      <c r="E990" t="s">
        <v>74</v>
      </c>
      <c r="F990" t="s">
        <v>18376</v>
      </c>
      <c r="G990" t="s">
        <v>74</v>
      </c>
      <c r="H990" t="s">
        <v>74</v>
      </c>
      <c r="I990" t="s">
        <v>18377</v>
      </c>
      <c r="J990" t="s">
        <v>18378</v>
      </c>
      <c r="K990" t="s">
        <v>74</v>
      </c>
      <c r="L990" t="s">
        <v>74</v>
      </c>
      <c r="M990" t="s">
        <v>78</v>
      </c>
      <c r="N990" t="s">
        <v>108</v>
      </c>
      <c r="O990" t="s">
        <v>74</v>
      </c>
      <c r="P990" t="s">
        <v>74</v>
      </c>
      <c r="Q990" t="s">
        <v>74</v>
      </c>
      <c r="R990" t="s">
        <v>74</v>
      </c>
      <c r="S990" t="s">
        <v>74</v>
      </c>
      <c r="T990" t="s">
        <v>18379</v>
      </c>
      <c r="U990" t="s">
        <v>74</v>
      </c>
      <c r="V990" t="s">
        <v>18380</v>
      </c>
      <c r="W990" t="s">
        <v>18381</v>
      </c>
      <c r="X990" t="s">
        <v>18382</v>
      </c>
      <c r="Y990" t="s">
        <v>18383</v>
      </c>
      <c r="Z990" t="s">
        <v>18384</v>
      </c>
      <c r="AA990" t="s">
        <v>18385</v>
      </c>
      <c r="AB990" t="s">
        <v>18386</v>
      </c>
      <c r="AC990" t="s">
        <v>18387</v>
      </c>
      <c r="AD990" t="s">
        <v>18388</v>
      </c>
      <c r="AE990" t="s">
        <v>18389</v>
      </c>
      <c r="AF990" t="s">
        <v>74</v>
      </c>
      <c r="AG990">
        <v>40</v>
      </c>
      <c r="AH990">
        <v>15</v>
      </c>
      <c r="AI990">
        <v>15</v>
      </c>
      <c r="AJ990">
        <v>3</v>
      </c>
      <c r="AK990">
        <v>54</v>
      </c>
      <c r="AL990" t="s">
        <v>437</v>
      </c>
      <c r="AM990" t="s">
        <v>438</v>
      </c>
      <c r="AN990" t="s">
        <v>439</v>
      </c>
      <c r="AO990" t="s">
        <v>18390</v>
      </c>
      <c r="AP990" t="s">
        <v>74</v>
      </c>
      <c r="AQ990" t="s">
        <v>74</v>
      </c>
      <c r="AR990" t="s">
        <v>18391</v>
      </c>
      <c r="AS990" t="s">
        <v>18392</v>
      </c>
      <c r="AT990" t="s">
        <v>74</v>
      </c>
      <c r="AU990">
        <v>2018</v>
      </c>
      <c r="AV990">
        <v>22</v>
      </c>
      <c r="AW990">
        <v>3</v>
      </c>
      <c r="AX990" t="s">
        <v>74</v>
      </c>
      <c r="AY990" t="s">
        <v>74</v>
      </c>
      <c r="AZ990" t="s">
        <v>570</v>
      </c>
      <c r="BA990" t="s">
        <v>74</v>
      </c>
      <c r="BB990">
        <v>212</v>
      </c>
      <c r="BC990">
        <v>227</v>
      </c>
      <c r="BD990" t="s">
        <v>74</v>
      </c>
      <c r="BE990" t="s">
        <v>18393</v>
      </c>
      <c r="BF990" t="str">
        <f>HYPERLINK("http://dx.doi.org/10.1108/JKT-03-2018-0015","http://dx.doi.org/10.1108/JKT-03-2018-0015")</f>
        <v>http://dx.doi.org/10.1108/JKT-03-2018-0015</v>
      </c>
      <c r="BG990" t="s">
        <v>74</v>
      </c>
      <c r="BH990" t="s">
        <v>74</v>
      </c>
      <c r="BI990">
        <v>16</v>
      </c>
      <c r="BJ990" t="s">
        <v>1661</v>
      </c>
      <c r="BK990" t="s">
        <v>242</v>
      </c>
      <c r="BL990" t="s">
        <v>419</v>
      </c>
      <c r="BM990" t="s">
        <v>18394</v>
      </c>
      <c r="BN990" t="s">
        <v>74</v>
      </c>
      <c r="BO990" t="s">
        <v>74</v>
      </c>
      <c r="BP990" t="s">
        <v>74</v>
      </c>
      <c r="BQ990" t="s">
        <v>74</v>
      </c>
      <c r="BR990" t="s">
        <v>102</v>
      </c>
      <c r="BS990" t="s">
        <v>18395</v>
      </c>
      <c r="BT990" t="str">
        <f>HYPERLINK("https%3A%2F%2Fwww.webofscience.com%2Fwos%2Fwoscc%2Ffull-record%2FWOS:000450615000002","View Full Record in Web of Science")</f>
        <v>View Full Record in Web of Science</v>
      </c>
    </row>
    <row r="991" spans="1:72" x14ac:dyDescent="0.2">
      <c r="A991" t="s">
        <v>72</v>
      </c>
      <c r="B991" t="s">
        <v>18396</v>
      </c>
      <c r="C991" t="s">
        <v>74</v>
      </c>
      <c r="D991" t="s">
        <v>74</v>
      </c>
      <c r="E991" t="s">
        <v>74</v>
      </c>
      <c r="F991" t="s">
        <v>18397</v>
      </c>
      <c r="G991" t="s">
        <v>74</v>
      </c>
      <c r="H991" t="s">
        <v>74</v>
      </c>
      <c r="I991" t="s">
        <v>18398</v>
      </c>
      <c r="J991" t="s">
        <v>131</v>
      </c>
      <c r="K991" t="s">
        <v>74</v>
      </c>
      <c r="L991" t="s">
        <v>74</v>
      </c>
      <c r="M991" t="s">
        <v>78</v>
      </c>
      <c r="N991" t="s">
        <v>108</v>
      </c>
      <c r="O991" t="s">
        <v>74</v>
      </c>
      <c r="P991" t="s">
        <v>74</v>
      </c>
      <c r="Q991" t="s">
        <v>74</v>
      </c>
      <c r="R991" t="s">
        <v>74</v>
      </c>
      <c r="S991" t="s">
        <v>74</v>
      </c>
      <c r="T991" t="s">
        <v>18399</v>
      </c>
      <c r="U991" t="s">
        <v>18400</v>
      </c>
      <c r="V991" t="s">
        <v>18401</v>
      </c>
      <c r="W991" t="s">
        <v>18402</v>
      </c>
      <c r="X991" t="s">
        <v>3494</v>
      </c>
      <c r="Y991" t="s">
        <v>18403</v>
      </c>
      <c r="Z991" t="s">
        <v>18404</v>
      </c>
      <c r="AA991" t="s">
        <v>74</v>
      </c>
      <c r="AB991" t="s">
        <v>18405</v>
      </c>
      <c r="AC991" t="s">
        <v>74</v>
      </c>
      <c r="AD991" t="s">
        <v>74</v>
      </c>
      <c r="AE991" t="s">
        <v>74</v>
      </c>
      <c r="AF991" t="s">
        <v>74</v>
      </c>
      <c r="AG991">
        <v>69</v>
      </c>
      <c r="AH991">
        <v>0</v>
      </c>
      <c r="AI991">
        <v>0</v>
      </c>
      <c r="AJ991">
        <v>15</v>
      </c>
      <c r="AK991">
        <v>40</v>
      </c>
      <c r="AL991" t="s">
        <v>116</v>
      </c>
      <c r="AM991" t="s">
        <v>117</v>
      </c>
      <c r="AN991" t="s">
        <v>118</v>
      </c>
      <c r="AO991" t="s">
        <v>74</v>
      </c>
      <c r="AP991" t="s">
        <v>142</v>
      </c>
      <c r="AQ991" t="s">
        <v>74</v>
      </c>
      <c r="AR991" t="s">
        <v>143</v>
      </c>
      <c r="AS991" t="s">
        <v>144</v>
      </c>
      <c r="AT991" t="s">
        <v>194</v>
      </c>
      <c r="AU991">
        <v>2022</v>
      </c>
      <c r="AV991">
        <v>14</v>
      </c>
      <c r="AW991">
        <v>21</v>
      </c>
      <c r="AX991" t="s">
        <v>74</v>
      </c>
      <c r="AY991" t="s">
        <v>74</v>
      </c>
      <c r="AZ991" t="s">
        <v>74</v>
      </c>
      <c r="BA991" t="s">
        <v>74</v>
      </c>
      <c r="BB991" t="s">
        <v>74</v>
      </c>
      <c r="BC991" t="s">
        <v>74</v>
      </c>
      <c r="BD991">
        <v>14185</v>
      </c>
      <c r="BE991" t="s">
        <v>18406</v>
      </c>
      <c r="BF991" t="str">
        <f>HYPERLINK("http://dx.doi.org/10.3390/su142114185","http://dx.doi.org/10.3390/su142114185")</f>
        <v>http://dx.doi.org/10.3390/su142114185</v>
      </c>
      <c r="BG991" t="s">
        <v>74</v>
      </c>
      <c r="BH991" t="s">
        <v>74</v>
      </c>
      <c r="BI991">
        <v>19</v>
      </c>
      <c r="BJ991" t="s">
        <v>146</v>
      </c>
      <c r="BK991" t="s">
        <v>147</v>
      </c>
      <c r="BL991" t="s">
        <v>148</v>
      </c>
      <c r="BM991" t="s">
        <v>18407</v>
      </c>
      <c r="BN991" t="s">
        <v>74</v>
      </c>
      <c r="BO991" t="s">
        <v>126</v>
      </c>
      <c r="BP991" t="s">
        <v>74</v>
      </c>
      <c r="BQ991" t="s">
        <v>74</v>
      </c>
      <c r="BR991" t="s">
        <v>102</v>
      </c>
      <c r="BS991" t="s">
        <v>18408</v>
      </c>
      <c r="BT991" t="str">
        <f>HYPERLINK("https%3A%2F%2Fwww.webofscience.com%2Fwos%2Fwoscc%2Ffull-record%2FWOS:000882242700001","View Full Record in Web of Science")</f>
        <v>View Full Record in Web of Science</v>
      </c>
    </row>
    <row r="992" spans="1:72" x14ac:dyDescent="0.2">
      <c r="A992" t="s">
        <v>72</v>
      </c>
      <c r="B992" t="s">
        <v>18409</v>
      </c>
      <c r="C992" t="s">
        <v>74</v>
      </c>
      <c r="D992" t="s">
        <v>74</v>
      </c>
      <c r="E992" t="s">
        <v>74</v>
      </c>
      <c r="F992" t="s">
        <v>18410</v>
      </c>
      <c r="G992" t="s">
        <v>74</v>
      </c>
      <c r="H992" t="s">
        <v>74</v>
      </c>
      <c r="I992" t="s">
        <v>18411</v>
      </c>
      <c r="J992" t="s">
        <v>894</v>
      </c>
      <c r="K992" t="s">
        <v>74</v>
      </c>
      <c r="L992" t="s">
        <v>74</v>
      </c>
      <c r="M992" t="s">
        <v>78</v>
      </c>
      <c r="N992" t="s">
        <v>108</v>
      </c>
      <c r="O992" t="s">
        <v>74</v>
      </c>
      <c r="P992" t="s">
        <v>74</v>
      </c>
      <c r="Q992" t="s">
        <v>74</v>
      </c>
      <c r="R992" t="s">
        <v>74</v>
      </c>
      <c r="S992" t="s">
        <v>74</v>
      </c>
      <c r="T992" t="s">
        <v>18412</v>
      </c>
      <c r="U992" t="s">
        <v>18413</v>
      </c>
      <c r="V992" t="s">
        <v>18414</v>
      </c>
      <c r="W992" t="s">
        <v>18415</v>
      </c>
      <c r="X992" t="s">
        <v>18416</v>
      </c>
      <c r="Y992" t="s">
        <v>18417</v>
      </c>
      <c r="Z992" t="s">
        <v>18418</v>
      </c>
      <c r="AA992" t="s">
        <v>18419</v>
      </c>
      <c r="AB992" t="s">
        <v>18420</v>
      </c>
      <c r="AC992" t="s">
        <v>74</v>
      </c>
      <c r="AD992" t="s">
        <v>74</v>
      </c>
      <c r="AE992" t="s">
        <v>74</v>
      </c>
      <c r="AF992" t="s">
        <v>74</v>
      </c>
      <c r="AG992">
        <v>81</v>
      </c>
      <c r="AH992">
        <v>5</v>
      </c>
      <c r="AI992">
        <v>5</v>
      </c>
      <c r="AJ992">
        <v>3</v>
      </c>
      <c r="AK992">
        <v>14</v>
      </c>
      <c r="AL992" t="s">
        <v>437</v>
      </c>
      <c r="AM992" t="s">
        <v>438</v>
      </c>
      <c r="AN992" t="s">
        <v>439</v>
      </c>
      <c r="AO992" t="s">
        <v>904</v>
      </c>
      <c r="AP992" t="s">
        <v>905</v>
      </c>
      <c r="AQ992" t="s">
        <v>74</v>
      </c>
      <c r="AR992" t="s">
        <v>906</v>
      </c>
      <c r="AS992" t="s">
        <v>907</v>
      </c>
      <c r="AT992" t="s">
        <v>18421</v>
      </c>
      <c r="AU992">
        <v>2023</v>
      </c>
      <c r="AV992">
        <v>72</v>
      </c>
      <c r="AW992">
        <v>6</v>
      </c>
      <c r="AX992" t="s">
        <v>74</v>
      </c>
      <c r="AY992" t="s">
        <v>74</v>
      </c>
      <c r="AZ992" t="s">
        <v>74</v>
      </c>
      <c r="BA992" t="s">
        <v>74</v>
      </c>
      <c r="BB992">
        <v>1840</v>
      </c>
      <c r="BC992">
        <v>1878</v>
      </c>
      <c r="BD992" t="s">
        <v>74</v>
      </c>
      <c r="BE992" t="s">
        <v>18422</v>
      </c>
      <c r="BF992" t="str">
        <f>HYPERLINK("http://dx.doi.org/10.1108/IJPPM-04-2021-0214","http://dx.doi.org/10.1108/IJPPM-04-2021-0214")</f>
        <v>http://dx.doi.org/10.1108/IJPPM-04-2021-0214</v>
      </c>
      <c r="BG992" t="s">
        <v>74</v>
      </c>
      <c r="BH992" t="s">
        <v>3823</v>
      </c>
      <c r="BI992">
        <v>39</v>
      </c>
      <c r="BJ992" t="s">
        <v>418</v>
      </c>
      <c r="BK992" t="s">
        <v>124</v>
      </c>
      <c r="BL992" t="s">
        <v>419</v>
      </c>
      <c r="BM992" t="s">
        <v>18423</v>
      </c>
      <c r="BN992" t="s">
        <v>74</v>
      </c>
      <c r="BO992" t="s">
        <v>74</v>
      </c>
      <c r="BP992" t="s">
        <v>74</v>
      </c>
      <c r="BQ992" t="s">
        <v>74</v>
      </c>
      <c r="BR992" t="s">
        <v>102</v>
      </c>
      <c r="BS992" t="s">
        <v>18424</v>
      </c>
      <c r="BT992" t="str">
        <f>HYPERLINK("https%3A%2F%2Fwww.webofscience.com%2Fwos%2Fwoscc%2Ffull-record%2FWOS:000748391000001","View Full Record in Web of Science")</f>
        <v>View Full Record in Web of Science</v>
      </c>
    </row>
    <row r="993" spans="1:72" x14ac:dyDescent="0.2">
      <c r="A993" t="s">
        <v>72</v>
      </c>
      <c r="B993" t="s">
        <v>18425</v>
      </c>
      <c r="C993" t="s">
        <v>74</v>
      </c>
      <c r="D993" t="s">
        <v>74</v>
      </c>
      <c r="E993" t="s">
        <v>74</v>
      </c>
      <c r="F993" t="s">
        <v>18426</v>
      </c>
      <c r="G993" t="s">
        <v>74</v>
      </c>
      <c r="H993" t="s">
        <v>74</v>
      </c>
      <c r="I993" t="s">
        <v>18427</v>
      </c>
      <c r="J993" t="s">
        <v>18428</v>
      </c>
      <c r="K993" t="s">
        <v>74</v>
      </c>
      <c r="L993" t="s">
        <v>74</v>
      </c>
      <c r="M993" t="s">
        <v>78</v>
      </c>
      <c r="N993" t="s">
        <v>108</v>
      </c>
      <c r="O993" t="s">
        <v>74</v>
      </c>
      <c r="P993" t="s">
        <v>74</v>
      </c>
      <c r="Q993" t="s">
        <v>74</v>
      </c>
      <c r="R993" t="s">
        <v>74</v>
      </c>
      <c r="S993" t="s">
        <v>74</v>
      </c>
      <c r="T993" t="s">
        <v>18429</v>
      </c>
      <c r="U993" t="s">
        <v>18430</v>
      </c>
      <c r="V993" t="s">
        <v>18431</v>
      </c>
      <c r="W993" t="s">
        <v>18432</v>
      </c>
      <c r="X993" t="s">
        <v>18433</v>
      </c>
      <c r="Y993" t="s">
        <v>18434</v>
      </c>
      <c r="Z993" t="s">
        <v>18435</v>
      </c>
      <c r="AA993" t="s">
        <v>74</v>
      </c>
      <c r="AB993" t="s">
        <v>18436</v>
      </c>
      <c r="AC993" t="s">
        <v>74</v>
      </c>
      <c r="AD993" t="s">
        <v>74</v>
      </c>
      <c r="AE993" t="s">
        <v>74</v>
      </c>
      <c r="AF993" t="s">
        <v>74</v>
      </c>
      <c r="AG993">
        <v>42</v>
      </c>
      <c r="AH993">
        <v>0</v>
      </c>
      <c r="AI993">
        <v>0</v>
      </c>
      <c r="AJ993">
        <v>0</v>
      </c>
      <c r="AK993">
        <v>6</v>
      </c>
      <c r="AL993" t="s">
        <v>18437</v>
      </c>
      <c r="AM993" t="s">
        <v>18438</v>
      </c>
      <c r="AN993" t="s">
        <v>18439</v>
      </c>
      <c r="AO993" t="s">
        <v>18440</v>
      </c>
      <c r="AP993" t="s">
        <v>18441</v>
      </c>
      <c r="AQ993" t="s">
        <v>74</v>
      </c>
      <c r="AR993" t="s">
        <v>18442</v>
      </c>
      <c r="AS993" t="s">
        <v>18443</v>
      </c>
      <c r="AT993" t="s">
        <v>74</v>
      </c>
      <c r="AU993">
        <v>2016</v>
      </c>
      <c r="AV993">
        <v>56</v>
      </c>
      <c r="AW993">
        <v>12</v>
      </c>
      <c r="AX993" t="s">
        <v>74</v>
      </c>
      <c r="AY993" t="s">
        <v>74</v>
      </c>
      <c r="AZ993" t="s">
        <v>74</v>
      </c>
      <c r="BA993" t="s">
        <v>74</v>
      </c>
      <c r="BB993">
        <v>2146</v>
      </c>
      <c r="BC993">
        <v>2160</v>
      </c>
      <c r="BD993" t="s">
        <v>74</v>
      </c>
      <c r="BE993" t="s">
        <v>18444</v>
      </c>
      <c r="BF993" t="str">
        <f>HYPERLINK("http://dx.doi.org/10.1071/AN14744","http://dx.doi.org/10.1071/AN14744")</f>
        <v>http://dx.doi.org/10.1071/AN14744</v>
      </c>
      <c r="BG993" t="s">
        <v>74</v>
      </c>
      <c r="BH993" t="s">
        <v>74</v>
      </c>
      <c r="BI993">
        <v>15</v>
      </c>
      <c r="BJ993" t="s">
        <v>9001</v>
      </c>
      <c r="BK993" t="s">
        <v>98</v>
      </c>
      <c r="BL993" t="s">
        <v>8268</v>
      </c>
      <c r="BM993" t="s">
        <v>18445</v>
      </c>
      <c r="BN993" t="s">
        <v>74</v>
      </c>
      <c r="BO993" t="s">
        <v>74</v>
      </c>
      <c r="BP993" t="s">
        <v>74</v>
      </c>
      <c r="BQ993" t="s">
        <v>74</v>
      </c>
      <c r="BR993" t="s">
        <v>102</v>
      </c>
      <c r="BS993" t="s">
        <v>18446</v>
      </c>
      <c r="BT993" t="str">
        <f>HYPERLINK("https%3A%2F%2Fwww.webofscience.com%2Fwos%2Fwoscc%2Ffull-record%2FWOS:000387538800021","View Full Record in Web of Science")</f>
        <v>View Full Record in Web of Science</v>
      </c>
    </row>
    <row r="994" spans="1:72" x14ac:dyDescent="0.2">
      <c r="A994" t="s">
        <v>72</v>
      </c>
      <c r="B994" t="s">
        <v>18447</v>
      </c>
      <c r="C994" t="s">
        <v>74</v>
      </c>
      <c r="D994" t="s">
        <v>74</v>
      </c>
      <c r="E994" t="s">
        <v>74</v>
      </c>
      <c r="F994" t="s">
        <v>18448</v>
      </c>
      <c r="G994" t="s">
        <v>74</v>
      </c>
      <c r="H994" t="s">
        <v>74</v>
      </c>
      <c r="I994" t="s">
        <v>18449</v>
      </c>
      <c r="J994" t="s">
        <v>18450</v>
      </c>
      <c r="K994" t="s">
        <v>74</v>
      </c>
      <c r="L994" t="s">
        <v>74</v>
      </c>
      <c r="M994" t="s">
        <v>78</v>
      </c>
      <c r="N994" t="s">
        <v>108</v>
      </c>
      <c r="O994" t="s">
        <v>74</v>
      </c>
      <c r="P994" t="s">
        <v>74</v>
      </c>
      <c r="Q994" t="s">
        <v>74</v>
      </c>
      <c r="R994" t="s">
        <v>74</v>
      </c>
      <c r="S994" t="s">
        <v>74</v>
      </c>
      <c r="T994" t="s">
        <v>18451</v>
      </c>
      <c r="U994" t="s">
        <v>18452</v>
      </c>
      <c r="V994" t="s">
        <v>18453</v>
      </c>
      <c r="W994" t="s">
        <v>18454</v>
      </c>
      <c r="X994" t="s">
        <v>18455</v>
      </c>
      <c r="Y994" t="s">
        <v>18456</v>
      </c>
      <c r="Z994" t="s">
        <v>18457</v>
      </c>
      <c r="AA994" t="s">
        <v>18458</v>
      </c>
      <c r="AB994" t="s">
        <v>18459</v>
      </c>
      <c r="AC994" t="s">
        <v>18460</v>
      </c>
      <c r="AD994" t="s">
        <v>18461</v>
      </c>
      <c r="AE994" t="s">
        <v>18462</v>
      </c>
      <c r="AF994" t="s">
        <v>74</v>
      </c>
      <c r="AG994">
        <v>45</v>
      </c>
      <c r="AH994">
        <v>1</v>
      </c>
      <c r="AI994">
        <v>1</v>
      </c>
      <c r="AJ994">
        <v>0</v>
      </c>
      <c r="AK994">
        <v>3</v>
      </c>
      <c r="AL994" t="s">
        <v>116</v>
      </c>
      <c r="AM994" t="s">
        <v>117</v>
      </c>
      <c r="AN994" t="s">
        <v>118</v>
      </c>
      <c r="AO994" t="s">
        <v>74</v>
      </c>
      <c r="AP994" t="s">
        <v>18463</v>
      </c>
      <c r="AQ994" t="s">
        <v>74</v>
      </c>
      <c r="AR994" t="s">
        <v>18450</v>
      </c>
      <c r="AS994" t="s">
        <v>18464</v>
      </c>
      <c r="AT994" t="s">
        <v>394</v>
      </c>
      <c r="AU994">
        <v>2021</v>
      </c>
      <c r="AV994">
        <v>9</v>
      </c>
      <c r="AW994">
        <v>3</v>
      </c>
      <c r="AX994" t="s">
        <v>74</v>
      </c>
      <c r="AY994" t="s">
        <v>74</v>
      </c>
      <c r="AZ994" t="s">
        <v>74</v>
      </c>
      <c r="BA994" t="s">
        <v>74</v>
      </c>
      <c r="BB994" t="s">
        <v>74</v>
      </c>
      <c r="BC994" t="s">
        <v>74</v>
      </c>
      <c r="BD994">
        <v>106</v>
      </c>
      <c r="BE994" t="s">
        <v>18465</v>
      </c>
      <c r="BF994" t="str">
        <f>HYPERLINK("http://dx.doi.org/10.3390/economies9030106","http://dx.doi.org/10.3390/economies9030106")</f>
        <v>http://dx.doi.org/10.3390/economies9030106</v>
      </c>
      <c r="BG994" t="s">
        <v>74</v>
      </c>
      <c r="BH994" t="s">
        <v>74</v>
      </c>
      <c r="BI994">
        <v>24</v>
      </c>
      <c r="BJ994" t="s">
        <v>1661</v>
      </c>
      <c r="BK994" t="s">
        <v>124</v>
      </c>
      <c r="BL994" t="s">
        <v>419</v>
      </c>
      <c r="BM994" t="s">
        <v>18466</v>
      </c>
      <c r="BN994" t="s">
        <v>74</v>
      </c>
      <c r="BO994" t="s">
        <v>126</v>
      </c>
      <c r="BP994" t="s">
        <v>74</v>
      </c>
      <c r="BQ994" t="s">
        <v>74</v>
      </c>
      <c r="BR994" t="s">
        <v>102</v>
      </c>
      <c r="BS994" t="s">
        <v>18467</v>
      </c>
      <c r="BT994" t="str">
        <f>HYPERLINK("https%3A%2F%2Fwww.webofscience.com%2Fwos%2Fwoscc%2Ffull-record%2FWOS:000699501200001","View Full Record in Web of Science")</f>
        <v>View Full Record in Web of Science</v>
      </c>
    </row>
    <row r="995" spans="1:72" x14ac:dyDescent="0.2">
      <c r="A995" t="s">
        <v>72</v>
      </c>
      <c r="B995" t="s">
        <v>18468</v>
      </c>
      <c r="C995" t="s">
        <v>74</v>
      </c>
      <c r="D995" t="s">
        <v>74</v>
      </c>
      <c r="E995" t="s">
        <v>74</v>
      </c>
      <c r="F995" t="s">
        <v>18469</v>
      </c>
      <c r="G995" t="s">
        <v>74</v>
      </c>
      <c r="H995" t="s">
        <v>74</v>
      </c>
      <c r="I995" t="s">
        <v>18470</v>
      </c>
      <c r="J995" t="s">
        <v>556</v>
      </c>
      <c r="K995" t="s">
        <v>74</v>
      </c>
      <c r="L995" t="s">
        <v>74</v>
      </c>
      <c r="M995" t="s">
        <v>78</v>
      </c>
      <c r="N995" t="s">
        <v>79</v>
      </c>
      <c r="O995" t="s">
        <v>74</v>
      </c>
      <c r="P995" t="s">
        <v>74</v>
      </c>
      <c r="Q995" t="s">
        <v>74</v>
      </c>
      <c r="R995" t="s">
        <v>74</v>
      </c>
      <c r="S995" t="s">
        <v>74</v>
      </c>
      <c r="T995" t="s">
        <v>18471</v>
      </c>
      <c r="U995" t="s">
        <v>18472</v>
      </c>
      <c r="V995" t="s">
        <v>18473</v>
      </c>
      <c r="W995" t="s">
        <v>18474</v>
      </c>
      <c r="X995" t="s">
        <v>18475</v>
      </c>
      <c r="Y995" t="s">
        <v>18476</v>
      </c>
      <c r="Z995" t="s">
        <v>18477</v>
      </c>
      <c r="AA995" t="s">
        <v>18478</v>
      </c>
      <c r="AB995" t="s">
        <v>18479</v>
      </c>
      <c r="AC995" t="s">
        <v>74</v>
      </c>
      <c r="AD995" t="s">
        <v>74</v>
      </c>
      <c r="AE995" t="s">
        <v>74</v>
      </c>
      <c r="AF995" t="s">
        <v>74</v>
      </c>
      <c r="AG995">
        <v>155</v>
      </c>
      <c r="AH995">
        <v>0</v>
      </c>
      <c r="AI995">
        <v>0</v>
      </c>
      <c r="AJ995">
        <v>13</v>
      </c>
      <c r="AK995">
        <v>13</v>
      </c>
      <c r="AL995" t="s">
        <v>437</v>
      </c>
      <c r="AM995" t="s">
        <v>438</v>
      </c>
      <c r="AN995" t="s">
        <v>439</v>
      </c>
      <c r="AO995" t="s">
        <v>566</v>
      </c>
      <c r="AP995" t="s">
        <v>74</v>
      </c>
      <c r="AQ995" t="s">
        <v>74</v>
      </c>
      <c r="AR995" t="s">
        <v>567</v>
      </c>
      <c r="AS995" t="s">
        <v>568</v>
      </c>
      <c r="AT995" t="s">
        <v>18480</v>
      </c>
      <c r="AU995">
        <v>2023</v>
      </c>
      <c r="AV995">
        <v>16</v>
      </c>
      <c r="AW995">
        <v>3</v>
      </c>
      <c r="AX995" t="s">
        <v>74</v>
      </c>
      <c r="AY995" t="s">
        <v>74</v>
      </c>
      <c r="AZ995" t="s">
        <v>74</v>
      </c>
      <c r="BA995" t="s">
        <v>74</v>
      </c>
      <c r="BB995">
        <v>683</v>
      </c>
      <c r="BC995">
        <v>717</v>
      </c>
      <c r="BD995" t="s">
        <v>74</v>
      </c>
      <c r="BE995" t="s">
        <v>18481</v>
      </c>
      <c r="BF995" t="str">
        <f>HYPERLINK("http://dx.doi.org/10.1108/JGOSS-06-2022-0054","http://dx.doi.org/10.1108/JGOSS-06-2022-0054")</f>
        <v>http://dx.doi.org/10.1108/JGOSS-06-2022-0054</v>
      </c>
      <c r="BG995" t="s">
        <v>74</v>
      </c>
      <c r="BH995" t="s">
        <v>6185</v>
      </c>
      <c r="BI995">
        <v>35</v>
      </c>
      <c r="BJ995" t="s">
        <v>418</v>
      </c>
      <c r="BK995" t="s">
        <v>124</v>
      </c>
      <c r="BL995" t="s">
        <v>419</v>
      </c>
      <c r="BM995" t="s">
        <v>18482</v>
      </c>
      <c r="BN995" t="s">
        <v>74</v>
      </c>
      <c r="BO995" t="s">
        <v>74</v>
      </c>
      <c r="BP995" t="s">
        <v>74</v>
      </c>
      <c r="BQ995" t="s">
        <v>74</v>
      </c>
      <c r="BR995" t="s">
        <v>102</v>
      </c>
      <c r="BS995" t="s">
        <v>18483</v>
      </c>
      <c r="BT995" t="str">
        <f>HYPERLINK("https%3A%2F%2Fwww.webofscience.com%2Fwos%2Fwoscc%2Ffull-record%2FWOS:000931180600001","View Full Record in Web of Science")</f>
        <v>View Full Record in Web of Science</v>
      </c>
    </row>
    <row r="996" spans="1:72" x14ac:dyDescent="0.2">
      <c r="A996" t="s">
        <v>72</v>
      </c>
      <c r="B996" t="s">
        <v>18484</v>
      </c>
      <c r="C996" t="s">
        <v>74</v>
      </c>
      <c r="D996" t="s">
        <v>74</v>
      </c>
      <c r="E996" t="s">
        <v>74</v>
      </c>
      <c r="F996" t="s">
        <v>18485</v>
      </c>
      <c r="G996" t="s">
        <v>74</v>
      </c>
      <c r="H996" t="s">
        <v>74</v>
      </c>
      <c r="I996" t="s">
        <v>18486</v>
      </c>
      <c r="J996" t="s">
        <v>18487</v>
      </c>
      <c r="K996" t="s">
        <v>74</v>
      </c>
      <c r="L996" t="s">
        <v>74</v>
      </c>
      <c r="M996" t="s">
        <v>78</v>
      </c>
      <c r="N996" t="s">
        <v>108</v>
      </c>
      <c r="O996" t="s">
        <v>74</v>
      </c>
      <c r="P996" t="s">
        <v>74</v>
      </c>
      <c r="Q996" t="s">
        <v>74</v>
      </c>
      <c r="R996" t="s">
        <v>74</v>
      </c>
      <c r="S996" t="s">
        <v>74</v>
      </c>
      <c r="T996" t="s">
        <v>18488</v>
      </c>
      <c r="U996" t="s">
        <v>18489</v>
      </c>
      <c r="V996" t="s">
        <v>18490</v>
      </c>
      <c r="W996" t="s">
        <v>18491</v>
      </c>
      <c r="X996" t="s">
        <v>18492</v>
      </c>
      <c r="Y996" t="s">
        <v>18493</v>
      </c>
      <c r="Z996" t="s">
        <v>18494</v>
      </c>
      <c r="AA996" t="s">
        <v>18495</v>
      </c>
      <c r="AB996" t="s">
        <v>18496</v>
      </c>
      <c r="AC996" t="s">
        <v>74</v>
      </c>
      <c r="AD996" t="s">
        <v>74</v>
      </c>
      <c r="AE996" t="s">
        <v>74</v>
      </c>
      <c r="AF996" t="s">
        <v>74</v>
      </c>
      <c r="AG996">
        <v>97</v>
      </c>
      <c r="AH996">
        <v>43</v>
      </c>
      <c r="AI996">
        <v>43</v>
      </c>
      <c r="AJ996">
        <v>6</v>
      </c>
      <c r="AK996">
        <v>94</v>
      </c>
      <c r="AL996" t="s">
        <v>462</v>
      </c>
      <c r="AM996" t="s">
        <v>280</v>
      </c>
      <c r="AN996" t="s">
        <v>463</v>
      </c>
      <c r="AO996" t="s">
        <v>18497</v>
      </c>
      <c r="AP996" t="s">
        <v>18498</v>
      </c>
      <c r="AQ996" t="s">
        <v>74</v>
      </c>
      <c r="AR996" t="s">
        <v>18499</v>
      </c>
      <c r="AS996" t="s">
        <v>18500</v>
      </c>
      <c r="AT996" t="s">
        <v>74</v>
      </c>
      <c r="AU996">
        <v>2019</v>
      </c>
      <c r="AV996">
        <v>26</v>
      </c>
      <c r="AW996" t="s">
        <v>3740</v>
      </c>
      <c r="AX996" t="s">
        <v>74</v>
      </c>
      <c r="AY996" t="s">
        <v>74</v>
      </c>
      <c r="AZ996" t="s">
        <v>74</v>
      </c>
      <c r="BA996" t="s">
        <v>74</v>
      </c>
      <c r="BB996">
        <v>281</v>
      </c>
      <c r="BC996">
        <v>293</v>
      </c>
      <c r="BD996" t="s">
        <v>74</v>
      </c>
      <c r="BE996" t="s">
        <v>18501</v>
      </c>
      <c r="BF996" t="str">
        <f>HYPERLINK("http://dx.doi.org/10.1080/1051712X.2019.1611082","http://dx.doi.org/10.1080/1051712X.2019.1611082")</f>
        <v>http://dx.doi.org/10.1080/1051712X.2019.1611082</v>
      </c>
      <c r="BG996" t="s">
        <v>74</v>
      </c>
      <c r="BH996" t="s">
        <v>74</v>
      </c>
      <c r="BI996">
        <v>13</v>
      </c>
      <c r="BJ996" t="s">
        <v>931</v>
      </c>
      <c r="BK996" t="s">
        <v>242</v>
      </c>
      <c r="BL996" t="s">
        <v>419</v>
      </c>
      <c r="BM996" t="s">
        <v>18502</v>
      </c>
      <c r="BN996" t="s">
        <v>74</v>
      </c>
      <c r="BO996" t="s">
        <v>889</v>
      </c>
      <c r="BP996" t="s">
        <v>74</v>
      </c>
      <c r="BQ996" t="s">
        <v>74</v>
      </c>
      <c r="BR996" t="s">
        <v>102</v>
      </c>
      <c r="BS996" t="s">
        <v>18503</v>
      </c>
      <c r="BT996" t="str">
        <f>HYPERLINK("https%3A%2F%2Fwww.webofscience.com%2Fwos%2Fwoscc%2Ffull-record%2FWOS:000503025200005","View Full Record in Web of Science")</f>
        <v>View Full Record in Web of Science</v>
      </c>
    </row>
    <row r="997" spans="1:72" x14ac:dyDescent="0.2">
      <c r="A997" t="s">
        <v>72</v>
      </c>
      <c r="B997" t="s">
        <v>18504</v>
      </c>
      <c r="C997" t="s">
        <v>74</v>
      </c>
      <c r="D997" t="s">
        <v>74</v>
      </c>
      <c r="E997" t="s">
        <v>74</v>
      </c>
      <c r="F997" t="s">
        <v>18505</v>
      </c>
      <c r="G997" t="s">
        <v>74</v>
      </c>
      <c r="H997" t="s">
        <v>74</v>
      </c>
      <c r="I997" t="s">
        <v>18506</v>
      </c>
      <c r="J997" t="s">
        <v>18507</v>
      </c>
      <c r="K997" t="s">
        <v>74</v>
      </c>
      <c r="L997" t="s">
        <v>74</v>
      </c>
      <c r="M997" t="s">
        <v>78</v>
      </c>
      <c r="N997" t="s">
        <v>108</v>
      </c>
      <c r="O997" t="s">
        <v>74</v>
      </c>
      <c r="P997" t="s">
        <v>74</v>
      </c>
      <c r="Q997" t="s">
        <v>74</v>
      </c>
      <c r="R997" t="s">
        <v>74</v>
      </c>
      <c r="S997" t="s">
        <v>74</v>
      </c>
      <c r="T997" t="s">
        <v>18508</v>
      </c>
      <c r="U997" t="s">
        <v>18509</v>
      </c>
      <c r="V997" t="s">
        <v>18510</v>
      </c>
      <c r="W997" t="s">
        <v>18511</v>
      </c>
      <c r="X997" t="s">
        <v>18512</v>
      </c>
      <c r="Y997" t="s">
        <v>18513</v>
      </c>
      <c r="Z997" t="s">
        <v>18514</v>
      </c>
      <c r="AA997" t="s">
        <v>18515</v>
      </c>
      <c r="AB997" t="s">
        <v>18516</v>
      </c>
      <c r="AC997" t="s">
        <v>18517</v>
      </c>
      <c r="AD997" t="s">
        <v>18517</v>
      </c>
      <c r="AE997" t="s">
        <v>18518</v>
      </c>
      <c r="AF997" t="s">
        <v>74</v>
      </c>
      <c r="AG997">
        <v>83</v>
      </c>
      <c r="AH997">
        <v>40</v>
      </c>
      <c r="AI997">
        <v>41</v>
      </c>
      <c r="AJ997">
        <v>3</v>
      </c>
      <c r="AK997">
        <v>83</v>
      </c>
      <c r="AL997" t="s">
        <v>209</v>
      </c>
      <c r="AM997" t="s">
        <v>210</v>
      </c>
      <c r="AN997" t="s">
        <v>211</v>
      </c>
      <c r="AO997" t="s">
        <v>18519</v>
      </c>
      <c r="AP997" t="s">
        <v>18520</v>
      </c>
      <c r="AQ997" t="s">
        <v>74</v>
      </c>
      <c r="AR997" t="s">
        <v>18521</v>
      </c>
      <c r="AS997" t="s">
        <v>18522</v>
      </c>
      <c r="AT997" t="s">
        <v>6781</v>
      </c>
      <c r="AU997">
        <v>2019</v>
      </c>
      <c r="AV997">
        <v>661</v>
      </c>
      <c r="AW997" t="s">
        <v>74</v>
      </c>
      <c r="AX997" t="s">
        <v>74</v>
      </c>
      <c r="AY997" t="s">
        <v>74</v>
      </c>
      <c r="AZ997" t="s">
        <v>74</v>
      </c>
      <c r="BA997" t="s">
        <v>74</v>
      </c>
      <c r="BB997">
        <v>723</v>
      </c>
      <c r="BC997">
        <v>736</v>
      </c>
      <c r="BD997" t="s">
        <v>74</v>
      </c>
      <c r="BE997" t="s">
        <v>18523</v>
      </c>
      <c r="BF997" t="str">
        <f>HYPERLINK("http://dx.doi.org/10.1016/j.scitotenv.2018.12.343","http://dx.doi.org/10.1016/j.scitotenv.2018.12.343")</f>
        <v>http://dx.doi.org/10.1016/j.scitotenv.2018.12.343</v>
      </c>
      <c r="BG997" t="s">
        <v>74</v>
      </c>
      <c r="BH997" t="s">
        <v>74</v>
      </c>
      <c r="BI997">
        <v>14</v>
      </c>
      <c r="BJ997" t="s">
        <v>674</v>
      </c>
      <c r="BK997" t="s">
        <v>98</v>
      </c>
      <c r="BL997" t="s">
        <v>675</v>
      </c>
      <c r="BM997" t="s">
        <v>18524</v>
      </c>
      <c r="BN997">
        <v>30684840</v>
      </c>
      <c r="BO997" t="s">
        <v>74</v>
      </c>
      <c r="BP997" t="s">
        <v>74</v>
      </c>
      <c r="BQ997" t="s">
        <v>74</v>
      </c>
      <c r="BR997" t="s">
        <v>102</v>
      </c>
      <c r="BS997" t="s">
        <v>18525</v>
      </c>
      <c r="BT997" t="str">
        <f>HYPERLINK("https%3A%2F%2Fwww.webofscience.com%2Fwos%2Fwoscc%2Ffull-record%2FWOS:000458408200067","View Full Record in Web of Science")</f>
        <v>View Full Record in Web of Science</v>
      </c>
    </row>
    <row r="998" spans="1:72" x14ac:dyDescent="0.2">
      <c r="A998" t="s">
        <v>72</v>
      </c>
      <c r="B998" t="s">
        <v>18526</v>
      </c>
      <c r="C998" t="s">
        <v>74</v>
      </c>
      <c r="D998" t="s">
        <v>74</v>
      </c>
      <c r="E998" t="s">
        <v>74</v>
      </c>
      <c r="F998" t="s">
        <v>18527</v>
      </c>
      <c r="G998" t="s">
        <v>74</v>
      </c>
      <c r="H998" t="s">
        <v>74</v>
      </c>
      <c r="I998" t="s">
        <v>18528</v>
      </c>
      <c r="J998" t="s">
        <v>13432</v>
      </c>
      <c r="K998" t="s">
        <v>74</v>
      </c>
      <c r="L998" t="s">
        <v>74</v>
      </c>
      <c r="M998" t="s">
        <v>78</v>
      </c>
      <c r="N998" t="s">
        <v>108</v>
      </c>
      <c r="O998" t="s">
        <v>74</v>
      </c>
      <c r="P998" t="s">
        <v>74</v>
      </c>
      <c r="Q998" t="s">
        <v>74</v>
      </c>
      <c r="R998" t="s">
        <v>74</v>
      </c>
      <c r="S998" t="s">
        <v>74</v>
      </c>
      <c r="T998" t="s">
        <v>18529</v>
      </c>
      <c r="U998" t="s">
        <v>18530</v>
      </c>
      <c r="V998" t="s">
        <v>18531</v>
      </c>
      <c r="W998" t="s">
        <v>18532</v>
      </c>
      <c r="X998" t="s">
        <v>18533</v>
      </c>
      <c r="Y998" t="s">
        <v>18534</v>
      </c>
      <c r="Z998" t="s">
        <v>18535</v>
      </c>
      <c r="AA998" t="s">
        <v>18536</v>
      </c>
      <c r="AB998" t="s">
        <v>74</v>
      </c>
      <c r="AC998" t="s">
        <v>18537</v>
      </c>
      <c r="AD998" t="s">
        <v>18538</v>
      </c>
      <c r="AE998" t="s">
        <v>18539</v>
      </c>
      <c r="AF998" t="s">
        <v>74</v>
      </c>
      <c r="AG998">
        <v>34</v>
      </c>
      <c r="AH998">
        <v>7</v>
      </c>
      <c r="AI998">
        <v>7</v>
      </c>
      <c r="AJ998">
        <v>2</v>
      </c>
      <c r="AK998">
        <v>24</v>
      </c>
      <c r="AL998" t="s">
        <v>666</v>
      </c>
      <c r="AM998" t="s">
        <v>667</v>
      </c>
      <c r="AN998" t="s">
        <v>668</v>
      </c>
      <c r="AO998" t="s">
        <v>74</v>
      </c>
      <c r="AP998" t="s">
        <v>13442</v>
      </c>
      <c r="AQ998" t="s">
        <v>74</v>
      </c>
      <c r="AR998" t="s">
        <v>13443</v>
      </c>
      <c r="AS998" t="s">
        <v>13444</v>
      </c>
      <c r="AT998" t="s">
        <v>15728</v>
      </c>
      <c r="AU998">
        <v>2021</v>
      </c>
      <c r="AV998">
        <v>12</v>
      </c>
      <c r="AW998" t="s">
        <v>74</v>
      </c>
      <c r="AX998" t="s">
        <v>74</v>
      </c>
      <c r="AY998" t="s">
        <v>74</v>
      </c>
      <c r="AZ998" t="s">
        <v>74</v>
      </c>
      <c r="BA998" t="s">
        <v>74</v>
      </c>
      <c r="BB998" t="s">
        <v>74</v>
      </c>
      <c r="BC998" t="s">
        <v>74</v>
      </c>
      <c r="BD998">
        <v>729554</v>
      </c>
      <c r="BE998" t="s">
        <v>18540</v>
      </c>
      <c r="BF998" t="str">
        <f>HYPERLINK("http://dx.doi.org/10.3389/fphar.2021.729554","http://dx.doi.org/10.3389/fphar.2021.729554")</f>
        <v>http://dx.doi.org/10.3389/fphar.2021.729554</v>
      </c>
      <c r="BG998" t="s">
        <v>74</v>
      </c>
      <c r="BH998" t="s">
        <v>74</v>
      </c>
      <c r="BI998">
        <v>14</v>
      </c>
      <c r="BJ998" t="s">
        <v>12582</v>
      </c>
      <c r="BK998" t="s">
        <v>98</v>
      </c>
      <c r="BL998" t="s">
        <v>12582</v>
      </c>
      <c r="BM998" t="s">
        <v>18541</v>
      </c>
      <c r="BN998">
        <v>34671256</v>
      </c>
      <c r="BO998" t="s">
        <v>623</v>
      </c>
      <c r="BP998" t="s">
        <v>74</v>
      </c>
      <c r="BQ998" t="s">
        <v>74</v>
      </c>
      <c r="BR998" t="s">
        <v>102</v>
      </c>
      <c r="BS998" t="s">
        <v>18542</v>
      </c>
      <c r="BT998" t="str">
        <f>HYPERLINK("https%3A%2F%2Fwww.webofscience.com%2Fwos%2Fwoscc%2Ffull-record%2FWOS:000717027200001","View Full Record in Web of Science")</f>
        <v>View Full Record in Web of Science</v>
      </c>
    </row>
    <row r="999" spans="1:72" x14ac:dyDescent="0.2">
      <c r="A999" t="s">
        <v>72</v>
      </c>
      <c r="B999" t="s">
        <v>18543</v>
      </c>
      <c r="C999" t="s">
        <v>74</v>
      </c>
      <c r="D999" t="s">
        <v>74</v>
      </c>
      <c r="E999" t="s">
        <v>74</v>
      </c>
      <c r="F999" t="s">
        <v>18544</v>
      </c>
      <c r="G999" t="s">
        <v>74</v>
      </c>
      <c r="H999" t="s">
        <v>74</v>
      </c>
      <c r="I999" t="s">
        <v>18545</v>
      </c>
      <c r="J999" t="s">
        <v>9780</v>
      </c>
      <c r="K999" t="s">
        <v>74</v>
      </c>
      <c r="L999" t="s">
        <v>74</v>
      </c>
      <c r="M999" t="s">
        <v>78</v>
      </c>
      <c r="N999" t="s">
        <v>108</v>
      </c>
      <c r="O999" t="s">
        <v>74</v>
      </c>
      <c r="P999" t="s">
        <v>74</v>
      </c>
      <c r="Q999" t="s">
        <v>74</v>
      </c>
      <c r="R999" t="s">
        <v>74</v>
      </c>
      <c r="S999" t="s">
        <v>74</v>
      </c>
      <c r="T999" t="s">
        <v>18546</v>
      </c>
      <c r="U999" t="s">
        <v>18547</v>
      </c>
      <c r="V999" t="s">
        <v>18548</v>
      </c>
      <c r="W999" t="s">
        <v>18549</v>
      </c>
      <c r="X999" t="s">
        <v>18550</v>
      </c>
      <c r="Y999" t="s">
        <v>18551</v>
      </c>
      <c r="Z999" t="s">
        <v>18552</v>
      </c>
      <c r="AA999" t="s">
        <v>74</v>
      </c>
      <c r="AB999" t="s">
        <v>74</v>
      </c>
      <c r="AC999" t="s">
        <v>18553</v>
      </c>
      <c r="AD999" t="s">
        <v>18554</v>
      </c>
      <c r="AE999" t="s">
        <v>18555</v>
      </c>
      <c r="AF999" t="s">
        <v>74</v>
      </c>
      <c r="AG999">
        <v>57</v>
      </c>
      <c r="AH999">
        <v>1</v>
      </c>
      <c r="AI999">
        <v>1</v>
      </c>
      <c r="AJ999">
        <v>4</v>
      </c>
      <c r="AK999">
        <v>9</v>
      </c>
      <c r="AL999" t="s">
        <v>116</v>
      </c>
      <c r="AM999" t="s">
        <v>117</v>
      </c>
      <c r="AN999" t="s">
        <v>118</v>
      </c>
      <c r="AO999" t="s">
        <v>74</v>
      </c>
      <c r="AP999" t="s">
        <v>9788</v>
      </c>
      <c r="AQ999" t="s">
        <v>74</v>
      </c>
      <c r="AR999" t="s">
        <v>9789</v>
      </c>
      <c r="AS999" t="s">
        <v>9789</v>
      </c>
      <c r="AT999" t="s">
        <v>121</v>
      </c>
      <c r="AU999">
        <v>2022</v>
      </c>
      <c r="AV999">
        <v>12</v>
      </c>
      <c r="AW999">
        <v>7</v>
      </c>
      <c r="AX999" t="s">
        <v>74</v>
      </c>
      <c r="AY999" t="s">
        <v>74</v>
      </c>
      <c r="AZ999" t="s">
        <v>74</v>
      </c>
      <c r="BA999" t="s">
        <v>74</v>
      </c>
      <c r="BB999" t="s">
        <v>74</v>
      </c>
      <c r="BC999" t="s">
        <v>74</v>
      </c>
      <c r="BD999">
        <v>973</v>
      </c>
      <c r="BE999" t="s">
        <v>18556</v>
      </c>
      <c r="BF999" t="str">
        <f>HYPERLINK("http://dx.doi.org/10.3390/buildings12070973","http://dx.doi.org/10.3390/buildings12070973")</f>
        <v>http://dx.doi.org/10.3390/buildings12070973</v>
      </c>
      <c r="BG999" t="s">
        <v>74</v>
      </c>
      <c r="BH999" t="s">
        <v>74</v>
      </c>
      <c r="BI999">
        <v>23</v>
      </c>
      <c r="BJ999" t="s">
        <v>9791</v>
      </c>
      <c r="BK999" t="s">
        <v>98</v>
      </c>
      <c r="BL999" t="s">
        <v>9792</v>
      </c>
      <c r="BM999" t="s">
        <v>18557</v>
      </c>
      <c r="BN999" t="s">
        <v>74</v>
      </c>
      <c r="BO999" t="s">
        <v>126</v>
      </c>
      <c r="BP999" t="s">
        <v>74</v>
      </c>
      <c r="BQ999" t="s">
        <v>74</v>
      </c>
      <c r="BR999" t="s">
        <v>102</v>
      </c>
      <c r="BS999" t="s">
        <v>18558</v>
      </c>
      <c r="BT999" t="str">
        <f>HYPERLINK("https%3A%2F%2Fwww.webofscience.com%2Fwos%2Fwoscc%2Ffull-record%2FWOS:000831854700001","View Full Record in Web of Science")</f>
        <v>View Full Record in Web of Science</v>
      </c>
    </row>
    <row r="1000" spans="1:72" x14ac:dyDescent="0.2">
      <c r="A1000" t="s">
        <v>72</v>
      </c>
      <c r="B1000" t="s">
        <v>18559</v>
      </c>
      <c r="C1000" t="s">
        <v>74</v>
      </c>
      <c r="D1000" t="s">
        <v>74</v>
      </c>
      <c r="E1000" t="s">
        <v>74</v>
      </c>
      <c r="F1000" t="s">
        <v>18560</v>
      </c>
      <c r="G1000" t="s">
        <v>74</v>
      </c>
      <c r="H1000" t="s">
        <v>74</v>
      </c>
      <c r="I1000" t="s">
        <v>18561</v>
      </c>
      <c r="J1000" t="s">
        <v>9739</v>
      </c>
      <c r="K1000" t="s">
        <v>74</v>
      </c>
      <c r="L1000" t="s">
        <v>74</v>
      </c>
      <c r="M1000" t="s">
        <v>78</v>
      </c>
      <c r="N1000" t="s">
        <v>108</v>
      </c>
      <c r="O1000" t="s">
        <v>74</v>
      </c>
      <c r="P1000" t="s">
        <v>74</v>
      </c>
      <c r="Q1000" t="s">
        <v>74</v>
      </c>
      <c r="R1000" t="s">
        <v>74</v>
      </c>
      <c r="S1000" t="s">
        <v>74</v>
      </c>
      <c r="T1000" t="s">
        <v>18562</v>
      </c>
      <c r="U1000" t="s">
        <v>18563</v>
      </c>
      <c r="V1000" t="s">
        <v>18564</v>
      </c>
      <c r="W1000" t="s">
        <v>18565</v>
      </c>
      <c r="X1000" t="s">
        <v>18566</v>
      </c>
      <c r="Y1000" t="s">
        <v>18567</v>
      </c>
      <c r="Z1000" t="s">
        <v>18568</v>
      </c>
      <c r="AA1000" t="s">
        <v>74</v>
      </c>
      <c r="AB1000" t="s">
        <v>18569</v>
      </c>
      <c r="AC1000" t="s">
        <v>74</v>
      </c>
      <c r="AD1000" t="s">
        <v>74</v>
      </c>
      <c r="AE1000" t="s">
        <v>74</v>
      </c>
      <c r="AF1000" t="s">
        <v>74</v>
      </c>
      <c r="AG1000">
        <v>71</v>
      </c>
      <c r="AH1000">
        <v>1</v>
      </c>
      <c r="AI1000">
        <v>1</v>
      </c>
      <c r="AJ1000">
        <v>5</v>
      </c>
      <c r="AK1000">
        <v>31</v>
      </c>
      <c r="AL1000" t="s">
        <v>321</v>
      </c>
      <c r="AM1000" t="s">
        <v>322</v>
      </c>
      <c r="AN1000" t="s">
        <v>323</v>
      </c>
      <c r="AO1000" t="s">
        <v>9749</v>
      </c>
      <c r="AP1000" t="s">
        <v>9750</v>
      </c>
      <c r="AQ1000" t="s">
        <v>74</v>
      </c>
      <c r="AR1000" t="s">
        <v>9739</v>
      </c>
      <c r="AS1000" t="s">
        <v>9751</v>
      </c>
      <c r="AT1000" t="s">
        <v>239</v>
      </c>
      <c r="AU1000">
        <v>2021</v>
      </c>
      <c r="AV1000">
        <v>126</v>
      </c>
      <c r="AW1000">
        <v>8</v>
      </c>
      <c r="AX1000" t="s">
        <v>74</v>
      </c>
      <c r="AY1000" t="s">
        <v>74</v>
      </c>
      <c r="AZ1000" t="s">
        <v>74</v>
      </c>
      <c r="BA1000" t="s">
        <v>74</v>
      </c>
      <c r="BB1000">
        <v>6785</v>
      </c>
      <c r="BC1000">
        <v>6801</v>
      </c>
      <c r="BD1000" t="s">
        <v>74</v>
      </c>
      <c r="BE1000" t="s">
        <v>18570</v>
      </c>
      <c r="BF1000" t="str">
        <f>HYPERLINK("http://dx.doi.org/10.1007/s11192-021-04060-4","http://dx.doi.org/10.1007/s11192-021-04060-4")</f>
        <v>http://dx.doi.org/10.1007/s11192-021-04060-4</v>
      </c>
      <c r="BG1000" t="s">
        <v>74</v>
      </c>
      <c r="BH1000" t="s">
        <v>4013</v>
      </c>
      <c r="BI1000">
        <v>17</v>
      </c>
      <c r="BJ1000" t="s">
        <v>9753</v>
      </c>
      <c r="BK1000" t="s">
        <v>147</v>
      </c>
      <c r="BL1000" t="s">
        <v>9754</v>
      </c>
      <c r="BM1000" t="s">
        <v>18571</v>
      </c>
      <c r="BN1000" t="s">
        <v>74</v>
      </c>
      <c r="BO1000" t="s">
        <v>702</v>
      </c>
      <c r="BP1000" t="s">
        <v>74</v>
      </c>
      <c r="BQ1000" t="s">
        <v>74</v>
      </c>
      <c r="BR1000" t="s">
        <v>102</v>
      </c>
      <c r="BS1000" t="s">
        <v>18572</v>
      </c>
      <c r="BT1000" t="str">
        <f>HYPERLINK("https%3A%2F%2Fwww.webofscience.com%2Fwos%2Fwoscc%2Ffull-record%2FWOS:000664849500012","View Full Record in Web of Science")</f>
        <v>View Full Record in Web of Science</v>
      </c>
    </row>
    <row r="1001" spans="1:72" x14ac:dyDescent="0.2">
      <c r="A1001" t="s">
        <v>72</v>
      </c>
      <c r="B1001" t="s">
        <v>18573</v>
      </c>
      <c r="C1001" t="s">
        <v>74</v>
      </c>
      <c r="D1001" t="s">
        <v>74</v>
      </c>
      <c r="E1001" t="s">
        <v>74</v>
      </c>
      <c r="F1001" t="s">
        <v>18574</v>
      </c>
      <c r="G1001" t="s">
        <v>74</v>
      </c>
      <c r="H1001" t="s">
        <v>74</v>
      </c>
      <c r="I1001" t="s">
        <v>18575</v>
      </c>
      <c r="J1001" t="s">
        <v>9543</v>
      </c>
      <c r="K1001" t="s">
        <v>74</v>
      </c>
      <c r="L1001" t="s">
        <v>74</v>
      </c>
      <c r="M1001" t="s">
        <v>78</v>
      </c>
      <c r="N1001" t="s">
        <v>108</v>
      </c>
      <c r="O1001" t="s">
        <v>74</v>
      </c>
      <c r="P1001" t="s">
        <v>74</v>
      </c>
      <c r="Q1001" t="s">
        <v>74</v>
      </c>
      <c r="R1001" t="s">
        <v>74</v>
      </c>
      <c r="S1001" t="s">
        <v>74</v>
      </c>
      <c r="T1001" t="s">
        <v>18576</v>
      </c>
      <c r="U1001" t="s">
        <v>18577</v>
      </c>
      <c r="V1001" t="s">
        <v>18578</v>
      </c>
      <c r="W1001" t="s">
        <v>18579</v>
      </c>
      <c r="X1001" t="s">
        <v>18580</v>
      </c>
      <c r="Y1001" t="s">
        <v>18581</v>
      </c>
      <c r="Z1001" t="s">
        <v>18582</v>
      </c>
      <c r="AA1001" t="s">
        <v>18583</v>
      </c>
      <c r="AB1001" t="s">
        <v>18584</v>
      </c>
      <c r="AC1001" t="s">
        <v>18585</v>
      </c>
      <c r="AD1001" t="s">
        <v>18586</v>
      </c>
      <c r="AE1001" t="s">
        <v>18587</v>
      </c>
      <c r="AF1001" t="s">
        <v>74</v>
      </c>
      <c r="AG1001">
        <v>69</v>
      </c>
      <c r="AH1001">
        <v>11</v>
      </c>
      <c r="AI1001">
        <v>11</v>
      </c>
      <c r="AJ1001">
        <v>2</v>
      </c>
      <c r="AK1001">
        <v>43</v>
      </c>
      <c r="AL1001" t="s">
        <v>259</v>
      </c>
      <c r="AM1001" t="s">
        <v>260</v>
      </c>
      <c r="AN1001" t="s">
        <v>261</v>
      </c>
      <c r="AO1001" t="s">
        <v>9556</v>
      </c>
      <c r="AP1001" t="s">
        <v>9557</v>
      </c>
      <c r="AQ1001" t="s">
        <v>74</v>
      </c>
      <c r="AR1001" t="s">
        <v>9558</v>
      </c>
      <c r="AS1001" t="s">
        <v>9559</v>
      </c>
      <c r="AT1001" t="s">
        <v>846</v>
      </c>
      <c r="AU1001">
        <v>2021</v>
      </c>
      <c r="AV1001">
        <v>190</v>
      </c>
      <c r="AW1001" t="s">
        <v>74</v>
      </c>
      <c r="AX1001" t="s">
        <v>74</v>
      </c>
      <c r="AY1001" t="s">
        <v>74</v>
      </c>
      <c r="AZ1001" t="s">
        <v>74</v>
      </c>
      <c r="BA1001" t="s">
        <v>74</v>
      </c>
      <c r="BB1001" t="s">
        <v>74</v>
      </c>
      <c r="BC1001" t="s">
        <v>74</v>
      </c>
      <c r="BD1001">
        <v>103129</v>
      </c>
      <c r="BE1001" t="s">
        <v>18588</v>
      </c>
      <c r="BF1001" t="str">
        <f>HYPERLINK("http://dx.doi.org/10.1016/j.agsy.2021.103129","http://dx.doi.org/10.1016/j.agsy.2021.103129")</f>
        <v>http://dx.doi.org/10.1016/j.agsy.2021.103129</v>
      </c>
      <c r="BG1001" t="s">
        <v>74</v>
      </c>
      <c r="BH1001" t="s">
        <v>645</v>
      </c>
      <c r="BI1001">
        <v>13</v>
      </c>
      <c r="BJ1001" t="s">
        <v>9561</v>
      </c>
      <c r="BK1001" t="s">
        <v>147</v>
      </c>
      <c r="BL1001" t="s">
        <v>8268</v>
      </c>
      <c r="BM1001" t="s">
        <v>18589</v>
      </c>
      <c r="BN1001" t="s">
        <v>74</v>
      </c>
      <c r="BO1001" t="s">
        <v>2104</v>
      </c>
      <c r="BP1001" t="s">
        <v>74</v>
      </c>
      <c r="BQ1001" t="s">
        <v>74</v>
      </c>
      <c r="BR1001" t="s">
        <v>102</v>
      </c>
      <c r="BS1001" t="s">
        <v>18590</v>
      </c>
      <c r="BT1001" t="str">
        <f>HYPERLINK("https%3A%2F%2Fwww.webofscience.com%2Fwos%2Fwoscc%2Ffull-record%2FWOS:000646235500002","View Full Record in Web of Science")</f>
        <v>View Full Record in Web of Science</v>
      </c>
    </row>
    <row r="1002" spans="1:72" s="1" customFormat="1" x14ac:dyDescent="0.2">
      <c r="A1002" s="1" t="s">
        <v>72</v>
      </c>
      <c r="B1002" s="1" t="s">
        <v>18591</v>
      </c>
      <c r="C1002" s="1" t="s">
        <v>74</v>
      </c>
      <c r="D1002" s="1" t="s">
        <v>74</v>
      </c>
      <c r="E1002" s="1" t="s">
        <v>74</v>
      </c>
      <c r="F1002" s="1" t="s">
        <v>18592</v>
      </c>
      <c r="G1002" s="1" t="s">
        <v>74</v>
      </c>
      <c r="H1002" s="1" t="s">
        <v>74</v>
      </c>
      <c r="I1002" s="1" t="s">
        <v>18593</v>
      </c>
      <c r="J1002" s="1" t="s">
        <v>18594</v>
      </c>
      <c r="K1002" s="1" t="s">
        <v>74</v>
      </c>
      <c r="L1002" s="1" t="s">
        <v>74</v>
      </c>
      <c r="M1002" s="1" t="s">
        <v>78</v>
      </c>
      <c r="N1002" s="1" t="s">
        <v>108</v>
      </c>
      <c r="O1002" s="1" t="s">
        <v>74</v>
      </c>
      <c r="P1002" s="1" t="s">
        <v>74</v>
      </c>
      <c r="Q1002" s="1" t="s">
        <v>74</v>
      </c>
      <c r="R1002" s="1" t="s">
        <v>74</v>
      </c>
      <c r="S1002" s="1" t="s">
        <v>74</v>
      </c>
      <c r="T1002" s="1" t="s">
        <v>18595</v>
      </c>
      <c r="U1002" s="1" t="s">
        <v>18596</v>
      </c>
      <c r="V1002" s="1" t="s">
        <v>18597</v>
      </c>
      <c r="W1002" s="1" t="s">
        <v>18598</v>
      </c>
      <c r="X1002" s="1" t="s">
        <v>18599</v>
      </c>
      <c r="Y1002" s="1" t="s">
        <v>18600</v>
      </c>
      <c r="Z1002" s="1" t="s">
        <v>18601</v>
      </c>
      <c r="AA1002" s="1" t="s">
        <v>18602</v>
      </c>
      <c r="AB1002" s="1" t="s">
        <v>18603</v>
      </c>
      <c r="AC1002" s="1" t="s">
        <v>74</v>
      </c>
      <c r="AD1002" s="1" t="s">
        <v>74</v>
      </c>
      <c r="AE1002" s="1" t="s">
        <v>74</v>
      </c>
      <c r="AF1002" s="1" t="s">
        <v>74</v>
      </c>
      <c r="AG1002" s="1">
        <v>84</v>
      </c>
      <c r="AH1002" s="1">
        <v>7</v>
      </c>
      <c r="AI1002" s="1">
        <v>7</v>
      </c>
      <c r="AJ1002" s="1">
        <v>5</v>
      </c>
      <c r="AK1002" s="1">
        <v>38</v>
      </c>
      <c r="AL1002" s="1" t="s">
        <v>259</v>
      </c>
      <c r="AM1002" s="1" t="s">
        <v>260</v>
      </c>
      <c r="AN1002" s="1" t="s">
        <v>261</v>
      </c>
      <c r="AO1002" s="1" t="s">
        <v>18604</v>
      </c>
      <c r="AP1002" s="1" t="s">
        <v>18605</v>
      </c>
      <c r="AQ1002" s="1" t="s">
        <v>74</v>
      </c>
      <c r="AR1002" s="1" t="s">
        <v>18606</v>
      </c>
      <c r="AS1002" s="1" t="s">
        <v>18607</v>
      </c>
      <c r="AT1002" s="1" t="s">
        <v>194</v>
      </c>
      <c r="AU1002" s="1">
        <v>2021</v>
      </c>
      <c r="AV1002" s="1">
        <v>67</v>
      </c>
      <c r="AW1002" s="1" t="s">
        <v>74</v>
      </c>
      <c r="AX1002" s="1" t="s">
        <v>74</v>
      </c>
      <c r="AY1002" s="1" t="s">
        <v>74</v>
      </c>
      <c r="AZ1002" s="1" t="s">
        <v>74</v>
      </c>
      <c r="BA1002" s="1" t="s">
        <v>74</v>
      </c>
      <c r="BB1002" s="1" t="s">
        <v>74</v>
      </c>
      <c r="BC1002" s="1" t="s">
        <v>74</v>
      </c>
      <c r="BD1002" s="1">
        <v>101758</v>
      </c>
      <c r="BE1002" s="1" t="s">
        <v>18608</v>
      </c>
      <c r="BF1002" s="1" t="str">
        <f>HYPERLINK("http://dx.doi.org/10.1016/j.techsoc.2021.101758","http://dx.doi.org/10.1016/j.techsoc.2021.101758")</f>
        <v>http://dx.doi.org/10.1016/j.techsoc.2021.101758</v>
      </c>
      <c r="BG1002" s="1" t="s">
        <v>74</v>
      </c>
      <c r="BH1002" s="1" t="s">
        <v>722</v>
      </c>
      <c r="BI1002" s="1">
        <v>15</v>
      </c>
      <c r="BJ1002" s="1" t="s">
        <v>18609</v>
      </c>
      <c r="BK1002" s="1" t="s">
        <v>242</v>
      </c>
      <c r="BL1002" s="1" t="s">
        <v>18610</v>
      </c>
      <c r="BM1002" s="1" t="s">
        <v>18611</v>
      </c>
      <c r="BN1002" s="1" t="s">
        <v>74</v>
      </c>
      <c r="BO1002" s="1" t="s">
        <v>702</v>
      </c>
      <c r="BP1002" s="1" t="s">
        <v>74</v>
      </c>
      <c r="BQ1002" s="1" t="s">
        <v>74</v>
      </c>
      <c r="BR1002" s="1" t="s">
        <v>102</v>
      </c>
      <c r="BS1002" s="1" t="s">
        <v>18612</v>
      </c>
      <c r="BT1002" s="1" t="str">
        <f>HYPERLINK("https%3A%2F%2Fwww.webofscience.com%2Fwos%2Fwoscc%2Ffull-record%2FWOS:000704511300040","View Full Record in Web of Science")</f>
        <v>View Full Record in Web of Science</v>
      </c>
    </row>
    <row r="1003" spans="1:72" s="1" customFormat="1" x14ac:dyDescent="0.2">
      <c r="A1003" s="1" t="s">
        <v>72</v>
      </c>
      <c r="B1003" s="1" t="s">
        <v>18613</v>
      </c>
      <c r="C1003" s="1" t="s">
        <v>74</v>
      </c>
      <c r="D1003" s="1" t="s">
        <v>74</v>
      </c>
      <c r="E1003" s="1" t="s">
        <v>74</v>
      </c>
      <c r="F1003" s="1" t="s">
        <v>18614</v>
      </c>
      <c r="G1003" s="1" t="s">
        <v>74</v>
      </c>
      <c r="H1003" s="1" t="s">
        <v>74</v>
      </c>
      <c r="I1003" s="1" t="s">
        <v>18615</v>
      </c>
      <c r="J1003" s="1" t="s">
        <v>976</v>
      </c>
      <c r="K1003" s="1" t="s">
        <v>74</v>
      </c>
      <c r="L1003" s="1" t="s">
        <v>74</v>
      </c>
      <c r="M1003" s="1" t="s">
        <v>78</v>
      </c>
      <c r="N1003" s="1" t="s">
        <v>79</v>
      </c>
      <c r="O1003" s="1" t="s">
        <v>74</v>
      </c>
      <c r="P1003" s="1" t="s">
        <v>74</v>
      </c>
      <c r="Q1003" s="1" t="s">
        <v>74</v>
      </c>
      <c r="R1003" s="1" t="s">
        <v>74</v>
      </c>
      <c r="S1003" s="1" t="s">
        <v>74</v>
      </c>
      <c r="T1003" s="1" t="s">
        <v>18616</v>
      </c>
      <c r="U1003" s="1" t="s">
        <v>18617</v>
      </c>
      <c r="V1003" s="1" t="s">
        <v>18618</v>
      </c>
      <c r="W1003" s="1" t="s">
        <v>18619</v>
      </c>
      <c r="X1003" s="1" t="s">
        <v>18620</v>
      </c>
      <c r="Y1003" s="1" t="s">
        <v>18621</v>
      </c>
      <c r="Z1003" s="1" t="s">
        <v>18622</v>
      </c>
      <c r="AA1003" s="1" t="s">
        <v>18623</v>
      </c>
      <c r="AB1003" s="1" t="s">
        <v>18624</v>
      </c>
      <c r="AC1003" s="1" t="s">
        <v>74</v>
      </c>
      <c r="AD1003" s="1" t="s">
        <v>74</v>
      </c>
      <c r="AE1003" s="1" t="s">
        <v>74</v>
      </c>
      <c r="AF1003" s="1" t="s">
        <v>74</v>
      </c>
      <c r="AG1003" s="1">
        <v>96</v>
      </c>
      <c r="AH1003" s="1">
        <v>4</v>
      </c>
      <c r="AI1003" s="1">
        <v>4</v>
      </c>
      <c r="AJ1003" s="1">
        <v>11</v>
      </c>
      <c r="AK1003" s="1">
        <v>32</v>
      </c>
      <c r="AL1003" s="1" t="s">
        <v>259</v>
      </c>
      <c r="AM1003" s="1" t="s">
        <v>260</v>
      </c>
      <c r="AN1003" s="1" t="s">
        <v>261</v>
      </c>
      <c r="AO1003" s="1" t="s">
        <v>989</v>
      </c>
      <c r="AP1003" s="1" t="s">
        <v>990</v>
      </c>
      <c r="AQ1003" s="1" t="s">
        <v>74</v>
      </c>
      <c r="AR1003" s="1" t="s">
        <v>991</v>
      </c>
      <c r="AS1003" s="1" t="s">
        <v>992</v>
      </c>
      <c r="AT1003" s="1" t="s">
        <v>18625</v>
      </c>
      <c r="AU1003" s="1">
        <v>2022</v>
      </c>
      <c r="AV1003" s="1">
        <v>380</v>
      </c>
      <c r="AW1003" s="1" t="s">
        <v>74</v>
      </c>
      <c r="AX1003" s="1">
        <v>1</v>
      </c>
      <c r="AY1003" s="1" t="s">
        <v>74</v>
      </c>
      <c r="AZ1003" s="1" t="s">
        <v>74</v>
      </c>
      <c r="BA1003" s="1" t="s">
        <v>74</v>
      </c>
      <c r="BB1003" s="1" t="s">
        <v>74</v>
      </c>
      <c r="BC1003" s="1" t="s">
        <v>74</v>
      </c>
      <c r="BD1003" s="1">
        <v>135004</v>
      </c>
      <c r="BE1003" s="1" t="s">
        <v>18626</v>
      </c>
      <c r="BF1003" s="1" t="str">
        <f>HYPERLINK("http://dx.doi.org/10.1016/j.jclepro.2022.135004","http://dx.doi.org/10.1016/j.jclepro.2022.135004")</f>
        <v>http://dx.doi.org/10.1016/j.jclepro.2022.135004</v>
      </c>
      <c r="BG1003" s="1" t="s">
        <v>74</v>
      </c>
      <c r="BH1003" s="1" t="s">
        <v>218</v>
      </c>
      <c r="BI1003" s="1">
        <v>16</v>
      </c>
      <c r="BJ1003" s="1" t="s">
        <v>995</v>
      </c>
      <c r="BK1003" s="1" t="s">
        <v>98</v>
      </c>
      <c r="BL1003" s="1" t="s">
        <v>996</v>
      </c>
      <c r="BM1003" s="1" t="s">
        <v>18627</v>
      </c>
      <c r="BN1003" s="1" t="s">
        <v>74</v>
      </c>
      <c r="BO1003" s="1" t="s">
        <v>74</v>
      </c>
      <c r="BP1003" s="1" t="s">
        <v>74</v>
      </c>
      <c r="BQ1003" s="1" t="s">
        <v>74</v>
      </c>
      <c r="BR1003" s="1" t="s">
        <v>102</v>
      </c>
      <c r="BS1003" s="1" t="s">
        <v>18628</v>
      </c>
      <c r="BT1003" s="1" t="str">
        <f>HYPERLINK("https%3A%2F%2Fwww.webofscience.com%2Fwos%2Fwoscc%2Ffull-record%2FWOS:000886054100004","View Full Record in Web of Science")</f>
        <v>View Full Record in Web of Science</v>
      </c>
    </row>
    <row r="1004" spans="1:72" s="1" customFormat="1" x14ac:dyDescent="0.2">
      <c r="A1004" s="1" t="s">
        <v>72</v>
      </c>
      <c r="B1004" s="1" t="s">
        <v>18629</v>
      </c>
      <c r="C1004" s="1" t="s">
        <v>74</v>
      </c>
      <c r="D1004" s="1" t="s">
        <v>74</v>
      </c>
      <c r="E1004" s="1" t="s">
        <v>74</v>
      </c>
      <c r="F1004" s="1" t="s">
        <v>18630</v>
      </c>
      <c r="G1004" s="1" t="s">
        <v>74</v>
      </c>
      <c r="H1004" s="1" t="s">
        <v>74</v>
      </c>
      <c r="I1004" s="1" t="s">
        <v>18631</v>
      </c>
      <c r="J1004" s="1" t="s">
        <v>18632</v>
      </c>
      <c r="K1004" s="1" t="s">
        <v>74</v>
      </c>
      <c r="L1004" s="1" t="s">
        <v>74</v>
      </c>
      <c r="M1004" s="1" t="s">
        <v>78</v>
      </c>
      <c r="N1004" s="1" t="s">
        <v>108</v>
      </c>
      <c r="O1004" s="1" t="s">
        <v>74</v>
      </c>
      <c r="P1004" s="1" t="s">
        <v>74</v>
      </c>
      <c r="Q1004" s="1" t="s">
        <v>74</v>
      </c>
      <c r="R1004" s="1" t="s">
        <v>74</v>
      </c>
      <c r="S1004" s="1" t="s">
        <v>74</v>
      </c>
      <c r="T1004" s="1" t="s">
        <v>18633</v>
      </c>
      <c r="U1004" s="1" t="s">
        <v>18634</v>
      </c>
      <c r="V1004" s="1" t="s">
        <v>18635</v>
      </c>
      <c r="W1004" s="1" t="s">
        <v>18636</v>
      </c>
      <c r="X1004" s="1" t="s">
        <v>18637</v>
      </c>
      <c r="Y1004" s="1" t="s">
        <v>18638</v>
      </c>
      <c r="Z1004" s="1" t="s">
        <v>18639</v>
      </c>
      <c r="AA1004" s="1" t="s">
        <v>18640</v>
      </c>
      <c r="AB1004" s="1" t="s">
        <v>18641</v>
      </c>
      <c r="AC1004" s="1" t="s">
        <v>18642</v>
      </c>
      <c r="AD1004" s="1" t="s">
        <v>18643</v>
      </c>
      <c r="AE1004" s="1" t="s">
        <v>18644</v>
      </c>
      <c r="AF1004" s="1" t="s">
        <v>74</v>
      </c>
      <c r="AG1004" s="1">
        <v>43</v>
      </c>
      <c r="AH1004" s="1">
        <v>23</v>
      </c>
      <c r="AI1004" s="1">
        <v>22</v>
      </c>
      <c r="AJ1004" s="1">
        <v>0</v>
      </c>
      <c r="AK1004" s="1">
        <v>3</v>
      </c>
      <c r="AL1004" s="1" t="s">
        <v>209</v>
      </c>
      <c r="AM1004" s="1" t="s">
        <v>210</v>
      </c>
      <c r="AN1004" s="1" t="s">
        <v>211</v>
      </c>
      <c r="AO1004" s="1" t="s">
        <v>18645</v>
      </c>
      <c r="AP1004" s="1" t="s">
        <v>18646</v>
      </c>
      <c r="AQ1004" s="1" t="s">
        <v>74</v>
      </c>
      <c r="AR1004" s="1" t="s">
        <v>18647</v>
      </c>
      <c r="AS1004" s="1" t="s">
        <v>18648</v>
      </c>
      <c r="AT1004" s="1" t="s">
        <v>372</v>
      </c>
      <c r="AU1004" s="1">
        <v>2020</v>
      </c>
      <c r="AV1004" s="1">
        <v>174</v>
      </c>
      <c r="AW1004" s="1" t="s">
        <v>74</v>
      </c>
      <c r="AX1004" s="1" t="s">
        <v>74</v>
      </c>
      <c r="AY1004" s="1" t="s">
        <v>74</v>
      </c>
      <c r="AZ1004" s="1" t="s">
        <v>74</v>
      </c>
      <c r="BA1004" s="1" t="s">
        <v>74</v>
      </c>
      <c r="BB1004" s="1" t="s">
        <v>74</v>
      </c>
      <c r="BC1004" s="1" t="s">
        <v>74</v>
      </c>
      <c r="BD1004" s="1">
        <v>104856</v>
      </c>
      <c r="BE1004" s="1" t="s">
        <v>18649</v>
      </c>
      <c r="BF1004" s="1" t="str">
        <f>HYPERLINK("http://dx.doi.org/10.1016/j.prevetmed.2019.104856","http://dx.doi.org/10.1016/j.prevetmed.2019.104856")</f>
        <v>http://dx.doi.org/10.1016/j.prevetmed.2019.104856</v>
      </c>
      <c r="BG1004" s="1" t="s">
        <v>74</v>
      </c>
      <c r="BH1004" s="1" t="s">
        <v>74</v>
      </c>
      <c r="BI1004" s="1">
        <v>10</v>
      </c>
      <c r="BJ1004" s="1" t="s">
        <v>18650</v>
      </c>
      <c r="BK1004" s="1" t="s">
        <v>98</v>
      </c>
      <c r="BL1004" s="1" t="s">
        <v>18650</v>
      </c>
      <c r="BM1004" s="1" t="s">
        <v>18651</v>
      </c>
      <c r="BN1004" s="1">
        <v>31786406</v>
      </c>
      <c r="BO1004" s="1" t="s">
        <v>702</v>
      </c>
      <c r="BP1004" s="1" t="s">
        <v>74</v>
      </c>
      <c r="BQ1004" s="1" t="s">
        <v>74</v>
      </c>
      <c r="BR1004" s="1" t="s">
        <v>102</v>
      </c>
      <c r="BS1004" s="1" t="s">
        <v>18652</v>
      </c>
      <c r="BT1004" s="1" t="str">
        <f>HYPERLINK("https%3A%2F%2Fwww.webofscience.com%2Fwos%2Fwoscc%2Ffull-record%2FWOS:000510314100023","View Full Record in Web of Science")</f>
        <v>View Full Record in Web of Science</v>
      </c>
    </row>
    <row r="1005" spans="1:72" s="1" customFormat="1" x14ac:dyDescent="0.2">
      <c r="A1005" s="1" t="s">
        <v>72</v>
      </c>
      <c r="B1005" s="1" t="s">
        <v>18653</v>
      </c>
      <c r="C1005" s="1" t="s">
        <v>74</v>
      </c>
      <c r="D1005" s="1" t="s">
        <v>74</v>
      </c>
      <c r="E1005" s="1" t="s">
        <v>74</v>
      </c>
      <c r="F1005" s="1" t="s">
        <v>18654</v>
      </c>
      <c r="G1005" s="1" t="s">
        <v>74</v>
      </c>
      <c r="H1005" s="1" t="s">
        <v>74</v>
      </c>
      <c r="I1005" s="1" t="s">
        <v>18655</v>
      </c>
      <c r="J1005" s="1" t="s">
        <v>18656</v>
      </c>
      <c r="K1005" s="1" t="s">
        <v>74</v>
      </c>
      <c r="L1005" s="1" t="s">
        <v>74</v>
      </c>
      <c r="M1005" s="1" t="s">
        <v>78</v>
      </c>
      <c r="N1005" s="1" t="s">
        <v>108</v>
      </c>
      <c r="O1005" s="1" t="s">
        <v>74</v>
      </c>
      <c r="P1005" s="1" t="s">
        <v>74</v>
      </c>
      <c r="Q1005" s="1" t="s">
        <v>74</v>
      </c>
      <c r="R1005" s="1" t="s">
        <v>74</v>
      </c>
      <c r="S1005" s="1" t="s">
        <v>74</v>
      </c>
      <c r="T1005" s="1" t="s">
        <v>18657</v>
      </c>
      <c r="U1005" s="1" t="s">
        <v>18658</v>
      </c>
      <c r="V1005" s="1" t="s">
        <v>18659</v>
      </c>
      <c r="W1005" s="1" t="s">
        <v>18660</v>
      </c>
      <c r="X1005" s="1" t="s">
        <v>18661</v>
      </c>
      <c r="Y1005" s="1" t="s">
        <v>18662</v>
      </c>
      <c r="Z1005" s="1" t="s">
        <v>18663</v>
      </c>
      <c r="AA1005" s="1" t="s">
        <v>18664</v>
      </c>
      <c r="AB1005" s="1" t="s">
        <v>18665</v>
      </c>
      <c r="AC1005" s="1" t="s">
        <v>18666</v>
      </c>
      <c r="AD1005" s="1" t="s">
        <v>18667</v>
      </c>
      <c r="AE1005" s="1" t="s">
        <v>18668</v>
      </c>
      <c r="AF1005" s="1" t="s">
        <v>74</v>
      </c>
      <c r="AG1005" s="1">
        <v>59</v>
      </c>
      <c r="AH1005" s="1">
        <v>27</v>
      </c>
      <c r="AI1005" s="1">
        <v>30</v>
      </c>
      <c r="AJ1005" s="1">
        <v>2</v>
      </c>
      <c r="AK1005" s="1">
        <v>35</v>
      </c>
      <c r="AL1005" s="1" t="s">
        <v>666</v>
      </c>
      <c r="AM1005" s="1" t="s">
        <v>667</v>
      </c>
      <c r="AN1005" s="1" t="s">
        <v>668</v>
      </c>
      <c r="AO1005" s="1" t="s">
        <v>74</v>
      </c>
      <c r="AP1005" s="1" t="s">
        <v>18669</v>
      </c>
      <c r="AQ1005" s="1" t="s">
        <v>74</v>
      </c>
      <c r="AR1005" s="1" t="s">
        <v>18670</v>
      </c>
      <c r="AS1005" s="1" t="s">
        <v>18671</v>
      </c>
      <c r="AT1005" s="1" t="s">
        <v>444</v>
      </c>
      <c r="AU1005" s="1">
        <v>2020</v>
      </c>
      <c r="AV1005" s="1">
        <v>11</v>
      </c>
      <c r="AW1005" s="1" t="s">
        <v>74</v>
      </c>
      <c r="AX1005" s="1" t="s">
        <v>74</v>
      </c>
      <c r="AY1005" s="1" t="s">
        <v>74</v>
      </c>
      <c r="AZ1005" s="1" t="s">
        <v>74</v>
      </c>
      <c r="BA1005" s="1" t="s">
        <v>74</v>
      </c>
      <c r="BB1005" s="1" t="s">
        <v>74</v>
      </c>
      <c r="BC1005" s="1" t="s">
        <v>74</v>
      </c>
      <c r="BD1005" s="1">
        <v>1538</v>
      </c>
      <c r="BE1005" s="1" t="s">
        <v>18672</v>
      </c>
      <c r="BF1005" s="1" t="str">
        <f>HYPERLINK("http://dx.doi.org/10.3389/fmicb.2020.01538","http://dx.doi.org/10.3389/fmicb.2020.01538")</f>
        <v>http://dx.doi.org/10.3389/fmicb.2020.01538</v>
      </c>
      <c r="BG1005" s="1" t="s">
        <v>74</v>
      </c>
      <c r="BH1005" s="1" t="s">
        <v>74</v>
      </c>
      <c r="BI1005" s="1">
        <v>15</v>
      </c>
      <c r="BJ1005" s="1" t="s">
        <v>13659</v>
      </c>
      <c r="BK1005" s="1" t="s">
        <v>98</v>
      </c>
      <c r="BL1005" s="1" t="s">
        <v>13659</v>
      </c>
      <c r="BM1005" s="1" t="s">
        <v>18673</v>
      </c>
      <c r="BN1005" s="1">
        <v>32774330</v>
      </c>
      <c r="BO1005" s="1" t="s">
        <v>623</v>
      </c>
      <c r="BP1005" s="1" t="s">
        <v>74</v>
      </c>
      <c r="BQ1005" s="1" t="s">
        <v>74</v>
      </c>
      <c r="BR1005" s="1" t="s">
        <v>102</v>
      </c>
      <c r="BS1005" s="1" t="s">
        <v>18674</v>
      </c>
      <c r="BT1005" s="1" t="str">
        <f>HYPERLINK("https%3A%2F%2Fwww.webofscience.com%2Fwos%2Fwoscc%2Ffull-record%2FWOS:000553348700001","View Full Record in Web of Science")</f>
        <v>View Full Record in Web of Science</v>
      </c>
    </row>
    <row r="1006" spans="1:72" s="1" customFormat="1" x14ac:dyDescent="0.2">
      <c r="A1006" s="1" t="s">
        <v>72</v>
      </c>
      <c r="B1006" s="1" t="s">
        <v>18675</v>
      </c>
      <c r="C1006" s="1" t="s">
        <v>74</v>
      </c>
      <c r="D1006" s="1" t="s">
        <v>74</v>
      </c>
      <c r="E1006" s="1" t="s">
        <v>74</v>
      </c>
      <c r="F1006" s="1" t="s">
        <v>18676</v>
      </c>
      <c r="G1006" s="1" t="s">
        <v>74</v>
      </c>
      <c r="H1006" s="1" t="s">
        <v>74</v>
      </c>
      <c r="I1006" s="1" t="s">
        <v>18677</v>
      </c>
      <c r="J1006" s="1" t="s">
        <v>10462</v>
      </c>
      <c r="K1006" s="1" t="s">
        <v>74</v>
      </c>
      <c r="L1006" s="1" t="s">
        <v>74</v>
      </c>
      <c r="M1006" s="1" t="s">
        <v>78</v>
      </c>
      <c r="N1006" s="1" t="s">
        <v>108</v>
      </c>
      <c r="O1006" s="1" t="s">
        <v>74</v>
      </c>
      <c r="P1006" s="1" t="s">
        <v>74</v>
      </c>
      <c r="Q1006" s="1" t="s">
        <v>74</v>
      </c>
      <c r="R1006" s="1" t="s">
        <v>74</v>
      </c>
      <c r="S1006" s="1" t="s">
        <v>74</v>
      </c>
      <c r="T1006" s="1" t="s">
        <v>18678</v>
      </c>
      <c r="U1006" s="1" t="s">
        <v>18679</v>
      </c>
      <c r="V1006" s="1" t="s">
        <v>18680</v>
      </c>
      <c r="W1006" s="1" t="s">
        <v>18681</v>
      </c>
      <c r="X1006" s="1" t="s">
        <v>18682</v>
      </c>
      <c r="Y1006" s="1" t="s">
        <v>18683</v>
      </c>
      <c r="Z1006" s="1" t="s">
        <v>18684</v>
      </c>
      <c r="AA1006" s="1" t="s">
        <v>18685</v>
      </c>
      <c r="AB1006" s="1" t="s">
        <v>18686</v>
      </c>
      <c r="AC1006" s="1" t="s">
        <v>74</v>
      </c>
      <c r="AD1006" s="1" t="s">
        <v>74</v>
      </c>
      <c r="AE1006" s="1" t="s">
        <v>74</v>
      </c>
      <c r="AF1006" s="1" t="s">
        <v>74</v>
      </c>
      <c r="AG1006" s="1">
        <v>86</v>
      </c>
      <c r="AH1006" s="1">
        <v>22</v>
      </c>
      <c r="AI1006" s="1">
        <v>22</v>
      </c>
      <c r="AJ1006" s="1">
        <v>1</v>
      </c>
      <c r="AK1006" s="1">
        <v>25</v>
      </c>
      <c r="AL1006" s="1" t="s">
        <v>437</v>
      </c>
      <c r="AM1006" s="1" t="s">
        <v>438</v>
      </c>
      <c r="AN1006" s="1" t="s">
        <v>439</v>
      </c>
      <c r="AO1006" s="1" t="s">
        <v>10470</v>
      </c>
      <c r="AP1006" s="1" t="s">
        <v>10471</v>
      </c>
      <c r="AQ1006" s="1" t="s">
        <v>74</v>
      </c>
      <c r="AR1006" s="1" t="s">
        <v>10472</v>
      </c>
      <c r="AS1006" s="1" t="s">
        <v>10473</v>
      </c>
      <c r="AT1006" s="1" t="s">
        <v>74</v>
      </c>
      <c r="AU1006" s="1">
        <v>2017</v>
      </c>
      <c r="AV1006" s="1">
        <v>28</v>
      </c>
      <c r="AW1006" s="1">
        <v>3</v>
      </c>
      <c r="AX1006" s="1" t="s">
        <v>74</v>
      </c>
      <c r="AY1006" s="1" t="s">
        <v>74</v>
      </c>
      <c r="AZ1006" s="1" t="s">
        <v>74</v>
      </c>
      <c r="BA1006" s="1" t="s">
        <v>74</v>
      </c>
      <c r="BB1006" s="1">
        <v>278</v>
      </c>
      <c r="BC1006" s="1">
        <v>298</v>
      </c>
      <c r="BD1006" s="1" t="s">
        <v>74</v>
      </c>
      <c r="BE1006" s="1" t="s">
        <v>18687</v>
      </c>
      <c r="BF1006" s="1" t="str">
        <f>HYPERLINK("http://dx.doi.org/10.1108/JMTM-09-2016-0128","http://dx.doi.org/10.1108/JMTM-09-2016-0128")</f>
        <v>http://dx.doi.org/10.1108/JMTM-09-2016-0128</v>
      </c>
      <c r="BG1006" s="1" t="s">
        <v>74</v>
      </c>
      <c r="BH1006" s="1" t="s">
        <v>74</v>
      </c>
      <c r="BI1006" s="1">
        <v>21</v>
      </c>
      <c r="BJ1006" s="1" t="s">
        <v>10476</v>
      </c>
      <c r="BK1006" s="1" t="s">
        <v>147</v>
      </c>
      <c r="BL1006" s="1" t="s">
        <v>1217</v>
      </c>
      <c r="BM1006" s="1" t="s">
        <v>18688</v>
      </c>
      <c r="BN1006" s="1" t="s">
        <v>74</v>
      </c>
      <c r="BO1006" s="1" t="s">
        <v>74</v>
      </c>
      <c r="BP1006" s="1" t="s">
        <v>74</v>
      </c>
      <c r="BQ1006" s="1" t="s">
        <v>74</v>
      </c>
      <c r="BR1006" s="1" t="s">
        <v>102</v>
      </c>
      <c r="BS1006" s="1" t="s">
        <v>18689</v>
      </c>
      <c r="BT1006" s="1" t="str">
        <f>HYPERLINK("https%3A%2F%2Fwww.webofscience.com%2Fwos%2Fwoscc%2Ffull-record%2FWOS:000401068100001","View Full Record in Web of Science")</f>
        <v>View Full Record in Web of Science</v>
      </c>
    </row>
    <row r="1007" spans="1:72" s="1" customFormat="1" x14ac:dyDescent="0.2">
      <c r="A1007" s="1" t="s">
        <v>72</v>
      </c>
      <c r="B1007" s="1" t="s">
        <v>18690</v>
      </c>
      <c r="C1007" s="1" t="s">
        <v>74</v>
      </c>
      <c r="D1007" s="1" t="s">
        <v>74</v>
      </c>
      <c r="E1007" s="1" t="s">
        <v>74</v>
      </c>
      <c r="F1007" s="1" t="s">
        <v>18691</v>
      </c>
      <c r="G1007" s="1" t="s">
        <v>74</v>
      </c>
      <c r="H1007" s="1" t="s">
        <v>74</v>
      </c>
      <c r="I1007" s="1" t="s">
        <v>18692</v>
      </c>
      <c r="J1007" s="1" t="s">
        <v>18693</v>
      </c>
      <c r="K1007" s="1" t="s">
        <v>74</v>
      </c>
      <c r="L1007" s="1" t="s">
        <v>74</v>
      </c>
      <c r="M1007" s="1" t="s">
        <v>78</v>
      </c>
      <c r="N1007" s="1" t="s">
        <v>108</v>
      </c>
      <c r="O1007" s="1" t="s">
        <v>74</v>
      </c>
      <c r="P1007" s="1" t="s">
        <v>74</v>
      </c>
      <c r="Q1007" s="1" t="s">
        <v>74</v>
      </c>
      <c r="R1007" s="1" t="s">
        <v>74</v>
      </c>
      <c r="S1007" s="1" t="s">
        <v>74</v>
      </c>
      <c r="T1007" s="1" t="s">
        <v>18694</v>
      </c>
      <c r="U1007" s="1" t="s">
        <v>18695</v>
      </c>
      <c r="V1007" s="1" t="s">
        <v>18696</v>
      </c>
      <c r="W1007" s="1" t="s">
        <v>18697</v>
      </c>
      <c r="X1007" s="1" t="s">
        <v>18698</v>
      </c>
      <c r="Y1007" s="1" t="s">
        <v>18699</v>
      </c>
      <c r="Z1007" s="1" t="s">
        <v>74</v>
      </c>
      <c r="AA1007" s="1" t="s">
        <v>18700</v>
      </c>
      <c r="AB1007" s="1" t="s">
        <v>18701</v>
      </c>
      <c r="AC1007" s="1" t="s">
        <v>18702</v>
      </c>
      <c r="AD1007" s="1" t="s">
        <v>18703</v>
      </c>
      <c r="AE1007" s="1" t="s">
        <v>18704</v>
      </c>
      <c r="AF1007" s="1" t="s">
        <v>74</v>
      </c>
      <c r="AG1007" s="1">
        <v>83</v>
      </c>
      <c r="AH1007" s="1">
        <v>0</v>
      </c>
      <c r="AI1007" s="1">
        <v>0</v>
      </c>
      <c r="AJ1007" s="1">
        <v>1</v>
      </c>
      <c r="AK1007" s="1">
        <v>4</v>
      </c>
      <c r="AL1007" s="1" t="s">
        <v>18705</v>
      </c>
      <c r="AM1007" s="1" t="s">
        <v>14903</v>
      </c>
      <c r="AN1007" s="1" t="s">
        <v>18706</v>
      </c>
      <c r="AO1007" s="1" t="s">
        <v>18707</v>
      </c>
      <c r="AP1007" s="1" t="s">
        <v>18708</v>
      </c>
      <c r="AQ1007" s="1" t="s">
        <v>74</v>
      </c>
      <c r="AR1007" s="1" t="s">
        <v>18709</v>
      </c>
      <c r="AS1007" s="1" t="s">
        <v>18710</v>
      </c>
      <c r="AT1007" s="1" t="s">
        <v>13657</v>
      </c>
      <c r="AU1007" s="1">
        <v>2021</v>
      </c>
      <c r="AV1007" s="1">
        <v>29</v>
      </c>
      <c r="AW1007" s="1">
        <v>3</v>
      </c>
      <c r="AX1007" s="1" t="s">
        <v>74</v>
      </c>
      <c r="AY1007" s="1" t="s">
        <v>74</v>
      </c>
      <c r="AZ1007" s="1" t="s">
        <v>74</v>
      </c>
      <c r="BA1007" s="1" t="s">
        <v>74</v>
      </c>
      <c r="BB1007" s="1">
        <v>129</v>
      </c>
      <c r="BC1007" s="1">
        <v>149</v>
      </c>
      <c r="BD1007" s="1" t="s">
        <v>74</v>
      </c>
      <c r="BE1007" s="1" t="s">
        <v>18711</v>
      </c>
      <c r="BF1007" s="1" t="str">
        <f>HYPERLINK("http://dx.doi.org/10.4995/wrs.2021.14368","http://dx.doi.org/10.4995/wrs.2021.14368")</f>
        <v>http://dx.doi.org/10.4995/wrs.2021.14368</v>
      </c>
      <c r="BG1007" s="1" t="s">
        <v>74</v>
      </c>
      <c r="BH1007" s="1" t="s">
        <v>74</v>
      </c>
      <c r="BI1007" s="1">
        <v>21</v>
      </c>
      <c r="BJ1007" s="1" t="s">
        <v>9001</v>
      </c>
      <c r="BK1007" s="1" t="s">
        <v>98</v>
      </c>
      <c r="BL1007" s="1" t="s">
        <v>8268</v>
      </c>
      <c r="BM1007" s="1" t="s">
        <v>18712</v>
      </c>
      <c r="BN1007" s="1" t="s">
        <v>74</v>
      </c>
      <c r="BO1007" s="1" t="s">
        <v>101</v>
      </c>
      <c r="BP1007" s="1" t="s">
        <v>74</v>
      </c>
      <c r="BQ1007" s="1" t="s">
        <v>74</v>
      </c>
      <c r="BR1007" s="1" t="s">
        <v>102</v>
      </c>
      <c r="BS1007" s="1" t="s">
        <v>18713</v>
      </c>
      <c r="BT1007" s="1" t="str">
        <f>HYPERLINK("https%3A%2F%2Fwww.webofscience.com%2Fwos%2Fwoscc%2Ffull-record%2FWOS:000706504800001","View Full Record in Web of Science")</f>
        <v>View Full Record in Web of Science</v>
      </c>
    </row>
    <row r="1008" spans="1:72" s="1" customFormat="1" x14ac:dyDescent="0.2">
      <c r="A1008" s="1" t="s">
        <v>72</v>
      </c>
      <c r="B1008" s="1" t="s">
        <v>18714</v>
      </c>
      <c r="C1008" s="1" t="s">
        <v>74</v>
      </c>
      <c r="D1008" s="1" t="s">
        <v>74</v>
      </c>
      <c r="E1008" s="1" t="s">
        <v>74</v>
      </c>
      <c r="F1008" s="1" t="s">
        <v>18715</v>
      </c>
      <c r="G1008" s="1" t="s">
        <v>74</v>
      </c>
      <c r="H1008" s="1" t="s">
        <v>74</v>
      </c>
      <c r="I1008" s="1" t="s">
        <v>18716</v>
      </c>
      <c r="J1008" s="1" t="s">
        <v>18717</v>
      </c>
      <c r="K1008" s="1" t="s">
        <v>74</v>
      </c>
      <c r="L1008" s="1" t="s">
        <v>74</v>
      </c>
      <c r="M1008" s="1" t="s">
        <v>78</v>
      </c>
      <c r="N1008" s="1" t="s">
        <v>108</v>
      </c>
      <c r="O1008" s="1" t="s">
        <v>74</v>
      </c>
      <c r="P1008" s="1" t="s">
        <v>74</v>
      </c>
      <c r="Q1008" s="1" t="s">
        <v>74</v>
      </c>
      <c r="R1008" s="1" t="s">
        <v>74</v>
      </c>
      <c r="S1008" s="1" t="s">
        <v>74</v>
      </c>
      <c r="T1008" s="1" t="s">
        <v>18718</v>
      </c>
      <c r="U1008" s="1" t="s">
        <v>74</v>
      </c>
      <c r="V1008" s="1" t="s">
        <v>18719</v>
      </c>
      <c r="W1008" s="1" t="s">
        <v>18720</v>
      </c>
      <c r="X1008" s="1" t="s">
        <v>18721</v>
      </c>
      <c r="Y1008" s="1" t="s">
        <v>18722</v>
      </c>
      <c r="Z1008" s="1" t="s">
        <v>18723</v>
      </c>
      <c r="AA1008" s="1" t="s">
        <v>18724</v>
      </c>
      <c r="AB1008" s="1" t="s">
        <v>18725</v>
      </c>
      <c r="AC1008" s="1" t="s">
        <v>18726</v>
      </c>
      <c r="AD1008" s="1" t="s">
        <v>18727</v>
      </c>
      <c r="AE1008" s="1" t="s">
        <v>18728</v>
      </c>
      <c r="AF1008" s="1" t="s">
        <v>74</v>
      </c>
      <c r="AG1008" s="1">
        <v>21</v>
      </c>
      <c r="AH1008" s="1">
        <v>11</v>
      </c>
      <c r="AI1008" s="1">
        <v>11</v>
      </c>
      <c r="AJ1008" s="1">
        <v>3</v>
      </c>
      <c r="AK1008" s="1">
        <v>39</v>
      </c>
      <c r="AL1008" s="1" t="s">
        <v>437</v>
      </c>
      <c r="AM1008" s="1" t="s">
        <v>438</v>
      </c>
      <c r="AN1008" s="1" t="s">
        <v>439</v>
      </c>
      <c r="AO1008" s="1" t="s">
        <v>18729</v>
      </c>
      <c r="AP1008" s="1" t="s">
        <v>18730</v>
      </c>
      <c r="AQ1008" s="1" t="s">
        <v>74</v>
      </c>
      <c r="AR1008" s="1" t="s">
        <v>18731</v>
      </c>
      <c r="AS1008" s="1" t="s">
        <v>18732</v>
      </c>
      <c r="AT1008" s="1" t="s">
        <v>74</v>
      </c>
      <c r="AU1008" s="1">
        <v>2020</v>
      </c>
      <c r="AV1008" s="1">
        <v>5</v>
      </c>
      <c r="AW1008" s="1">
        <v>2</v>
      </c>
      <c r="AX1008" s="1" t="s">
        <v>74</v>
      </c>
      <c r="AY1008" s="1" t="s">
        <v>74</v>
      </c>
      <c r="AZ1008" s="1" t="s">
        <v>74</v>
      </c>
      <c r="BA1008" s="1" t="s">
        <v>74</v>
      </c>
      <c r="BB1008" s="1">
        <v>143</v>
      </c>
      <c r="BC1008" s="1">
        <v>158</v>
      </c>
      <c r="BD1008" s="1" t="s">
        <v>74</v>
      </c>
      <c r="BE1008" s="1" t="s">
        <v>18733</v>
      </c>
      <c r="BF1008" s="1" t="str">
        <f>HYPERLINK("http://dx.doi.org/10.1108/MABR-03-2020-0013","http://dx.doi.org/10.1108/MABR-03-2020-0013")</f>
        <v>http://dx.doi.org/10.1108/MABR-03-2020-0013</v>
      </c>
      <c r="BG1008" s="1" t="s">
        <v>74</v>
      </c>
      <c r="BH1008" s="1" t="s">
        <v>74</v>
      </c>
      <c r="BI1008" s="1">
        <v>16</v>
      </c>
      <c r="BJ1008" s="1" t="s">
        <v>931</v>
      </c>
      <c r="BK1008" s="1" t="s">
        <v>124</v>
      </c>
      <c r="BL1008" s="1" t="s">
        <v>419</v>
      </c>
      <c r="BM1008" s="1" t="s">
        <v>18734</v>
      </c>
      <c r="BN1008" s="1" t="s">
        <v>74</v>
      </c>
      <c r="BO1008" s="1" t="s">
        <v>126</v>
      </c>
      <c r="BP1008" s="1" t="s">
        <v>74</v>
      </c>
      <c r="BQ1008" s="1" t="s">
        <v>74</v>
      </c>
      <c r="BR1008" s="1" t="s">
        <v>102</v>
      </c>
      <c r="BS1008" s="1" t="s">
        <v>18735</v>
      </c>
      <c r="BT1008" s="1" t="str">
        <f>HYPERLINK("https%3A%2F%2Fwww.webofscience.com%2Fwos%2Fwoscc%2Ffull-record%2FWOS:000604337000002","View Full Record in Web of Science")</f>
        <v>View Full Record in Web of Science</v>
      </c>
    </row>
    <row r="1009" spans="1:72" s="1" customFormat="1" x14ac:dyDescent="0.2">
      <c r="A1009" s="1" t="s">
        <v>72</v>
      </c>
      <c r="B1009" s="1" t="s">
        <v>18736</v>
      </c>
      <c r="C1009" s="1" t="s">
        <v>74</v>
      </c>
      <c r="D1009" s="1" t="s">
        <v>74</v>
      </c>
      <c r="E1009" s="1" t="s">
        <v>74</v>
      </c>
      <c r="F1009" s="1" t="s">
        <v>18737</v>
      </c>
      <c r="G1009" s="1" t="s">
        <v>74</v>
      </c>
      <c r="H1009" s="1" t="s">
        <v>74</v>
      </c>
      <c r="I1009" s="1" t="s">
        <v>18738</v>
      </c>
      <c r="J1009" s="1" t="s">
        <v>18739</v>
      </c>
      <c r="K1009" s="1" t="s">
        <v>74</v>
      </c>
      <c r="L1009" s="1" t="s">
        <v>74</v>
      </c>
      <c r="M1009" s="1" t="s">
        <v>78</v>
      </c>
      <c r="N1009" s="1" t="s">
        <v>482</v>
      </c>
      <c r="O1009" s="1" t="s">
        <v>18740</v>
      </c>
      <c r="P1009" s="1" t="s">
        <v>18741</v>
      </c>
      <c r="Q1009" s="1" t="s">
        <v>18742</v>
      </c>
      <c r="R1009" s="1" t="s">
        <v>74</v>
      </c>
      <c r="S1009" s="1" t="s">
        <v>18743</v>
      </c>
      <c r="T1009" s="1" t="s">
        <v>18744</v>
      </c>
      <c r="U1009" s="1" t="s">
        <v>18745</v>
      </c>
      <c r="V1009" s="1" t="s">
        <v>18746</v>
      </c>
      <c r="W1009" s="1" t="s">
        <v>18747</v>
      </c>
      <c r="X1009" s="1" t="s">
        <v>74</v>
      </c>
      <c r="Y1009" s="1" t="s">
        <v>18748</v>
      </c>
      <c r="Z1009" s="1" t="s">
        <v>18749</v>
      </c>
      <c r="AA1009" s="1" t="s">
        <v>74</v>
      </c>
      <c r="AB1009" s="1" t="s">
        <v>74</v>
      </c>
      <c r="AC1009" s="1" t="s">
        <v>74</v>
      </c>
      <c r="AD1009" s="1" t="s">
        <v>74</v>
      </c>
      <c r="AE1009" s="1" t="s">
        <v>74</v>
      </c>
      <c r="AF1009" s="1" t="s">
        <v>74</v>
      </c>
      <c r="AG1009" s="1">
        <v>48</v>
      </c>
      <c r="AH1009" s="1">
        <v>11</v>
      </c>
      <c r="AI1009" s="1">
        <v>11</v>
      </c>
      <c r="AJ1009" s="1">
        <v>8</v>
      </c>
      <c r="AK1009" s="1">
        <v>87</v>
      </c>
      <c r="AL1009" s="1" t="s">
        <v>437</v>
      </c>
      <c r="AM1009" s="1" t="s">
        <v>438</v>
      </c>
      <c r="AN1009" s="1" t="s">
        <v>439</v>
      </c>
      <c r="AO1009" s="1" t="s">
        <v>18750</v>
      </c>
      <c r="AP1009" s="1" t="s">
        <v>18751</v>
      </c>
      <c r="AQ1009" s="1" t="s">
        <v>74</v>
      </c>
      <c r="AR1009" s="1" t="s">
        <v>18752</v>
      </c>
      <c r="AS1009" s="1" t="s">
        <v>18753</v>
      </c>
      <c r="AT1009" s="1" t="s">
        <v>74</v>
      </c>
      <c r="AU1009" s="1">
        <v>2018</v>
      </c>
      <c r="AV1009" s="1">
        <v>24</v>
      </c>
      <c r="AW1009" s="1">
        <v>6</v>
      </c>
      <c r="AX1009" s="1" t="s">
        <v>74</v>
      </c>
      <c r="AY1009" s="1" t="s">
        <v>74</v>
      </c>
      <c r="AZ1009" s="1" t="s">
        <v>570</v>
      </c>
      <c r="BA1009" s="1" t="s">
        <v>74</v>
      </c>
      <c r="BB1009" s="1">
        <v>1367</v>
      </c>
      <c r="BC1009" s="1">
        <v>1380</v>
      </c>
      <c r="BD1009" s="1" t="s">
        <v>74</v>
      </c>
      <c r="BE1009" s="1" t="s">
        <v>18754</v>
      </c>
      <c r="BF1009" s="1" t="str">
        <f>HYPERLINK("http://dx.doi.org/10.1108/BPMJ-02-2018-0041","http://dx.doi.org/10.1108/BPMJ-02-2018-0041")</f>
        <v>http://dx.doi.org/10.1108/BPMJ-02-2018-0041</v>
      </c>
      <c r="BG1009" s="1" t="s">
        <v>74</v>
      </c>
      <c r="BH1009" s="1" t="s">
        <v>74</v>
      </c>
      <c r="BI1009" s="1">
        <v>14</v>
      </c>
      <c r="BJ1009" s="1" t="s">
        <v>849</v>
      </c>
      <c r="BK1009" s="1" t="s">
        <v>11193</v>
      </c>
      <c r="BL1009" s="1" t="s">
        <v>419</v>
      </c>
      <c r="BM1009" s="1" t="s">
        <v>18755</v>
      </c>
      <c r="BN1009" s="1" t="s">
        <v>74</v>
      </c>
      <c r="BO1009" s="1" t="s">
        <v>74</v>
      </c>
      <c r="BP1009" s="1" t="s">
        <v>74</v>
      </c>
      <c r="BQ1009" s="1" t="s">
        <v>74</v>
      </c>
      <c r="BR1009" s="1" t="s">
        <v>102</v>
      </c>
      <c r="BS1009" s="1" t="s">
        <v>18756</v>
      </c>
      <c r="BT1009" s="1" t="str">
        <f>HYPERLINK("https%3A%2F%2Fwww.webofscience.com%2Fwos%2Fwoscc%2Ffull-record%2FWOS:000447007200007","View Full Record in Web of Science")</f>
        <v>View Full Record in Web of Science</v>
      </c>
    </row>
    <row r="1010" spans="1:72" s="1" customFormat="1" x14ac:dyDescent="0.2">
      <c r="A1010" s="1" t="s">
        <v>72</v>
      </c>
      <c r="B1010" s="1" t="s">
        <v>18757</v>
      </c>
      <c r="C1010" s="1" t="s">
        <v>74</v>
      </c>
      <c r="D1010" s="1" t="s">
        <v>74</v>
      </c>
      <c r="E1010" s="1" t="s">
        <v>74</v>
      </c>
      <c r="F1010" s="1" t="s">
        <v>18758</v>
      </c>
      <c r="G1010" s="1" t="s">
        <v>74</v>
      </c>
      <c r="H1010" s="1" t="s">
        <v>74</v>
      </c>
      <c r="I1010" s="1" t="s">
        <v>18759</v>
      </c>
      <c r="J1010" s="1" t="s">
        <v>18760</v>
      </c>
      <c r="K1010" s="1" t="s">
        <v>74</v>
      </c>
      <c r="L1010" s="1" t="s">
        <v>74</v>
      </c>
      <c r="M1010" s="1" t="s">
        <v>78</v>
      </c>
      <c r="N1010" s="1" t="s">
        <v>482</v>
      </c>
      <c r="O1010" s="1" t="s">
        <v>18761</v>
      </c>
      <c r="P1010" s="1" t="s">
        <v>18762</v>
      </c>
      <c r="Q1010" s="1" t="s">
        <v>18763</v>
      </c>
      <c r="R1010" s="1" t="s">
        <v>18764</v>
      </c>
      <c r="S1010" s="1" t="s">
        <v>74</v>
      </c>
      <c r="T1010" s="1" t="s">
        <v>18765</v>
      </c>
      <c r="U1010" s="1" t="s">
        <v>18766</v>
      </c>
      <c r="V1010" s="1" t="s">
        <v>18767</v>
      </c>
      <c r="W1010" s="1" t="s">
        <v>18768</v>
      </c>
      <c r="X1010" s="1" t="s">
        <v>3568</v>
      </c>
      <c r="Y1010" s="1" t="s">
        <v>18769</v>
      </c>
      <c r="Z1010" s="1" t="s">
        <v>18770</v>
      </c>
      <c r="AA1010" s="1" t="s">
        <v>74</v>
      </c>
      <c r="AB1010" s="1" t="s">
        <v>18771</v>
      </c>
      <c r="AC1010" s="1" t="s">
        <v>74</v>
      </c>
      <c r="AD1010" s="1" t="s">
        <v>74</v>
      </c>
      <c r="AE1010" s="1" t="s">
        <v>74</v>
      </c>
      <c r="AF1010" s="1" t="s">
        <v>74</v>
      </c>
      <c r="AG1010" s="1">
        <v>37</v>
      </c>
      <c r="AH1010" s="1">
        <v>45</v>
      </c>
      <c r="AI1010" s="1">
        <v>47</v>
      </c>
      <c r="AJ1010" s="1">
        <v>1</v>
      </c>
      <c r="AK1010" s="1">
        <v>106</v>
      </c>
      <c r="AL1010" s="1" t="s">
        <v>259</v>
      </c>
      <c r="AM1010" s="1" t="s">
        <v>260</v>
      </c>
      <c r="AN1010" s="1" t="s">
        <v>261</v>
      </c>
      <c r="AO1010" s="1" t="s">
        <v>18772</v>
      </c>
      <c r="AP1010" s="1" t="s">
        <v>18773</v>
      </c>
      <c r="AQ1010" s="1" t="s">
        <v>74</v>
      </c>
      <c r="AR1010" s="1" t="s">
        <v>18774</v>
      </c>
      <c r="AS1010" s="1" t="s">
        <v>18775</v>
      </c>
      <c r="AT1010" s="1" t="s">
        <v>5209</v>
      </c>
      <c r="AU1010" s="1">
        <v>2013</v>
      </c>
      <c r="AV1010" s="1">
        <v>93</v>
      </c>
      <c r="AW1010" s="1">
        <v>1</v>
      </c>
      <c r="AX1010" s="1" t="s">
        <v>74</v>
      </c>
      <c r="AY1010" s="1" t="s">
        <v>74</v>
      </c>
      <c r="AZ1010" s="1" t="s">
        <v>570</v>
      </c>
      <c r="BA1010" s="1" t="s">
        <v>74</v>
      </c>
      <c r="BB1010" s="1">
        <v>9</v>
      </c>
      <c r="BC1010" s="1">
        <v>21</v>
      </c>
      <c r="BD1010" s="1" t="s">
        <v>74</v>
      </c>
      <c r="BE1010" s="1" t="s">
        <v>18776</v>
      </c>
      <c r="BF1010" s="1" t="str">
        <f>HYPERLINK("http://dx.doi.org/10.1016/j.carbpol.2012.08.110","http://dx.doi.org/10.1016/j.carbpol.2012.08.110")</f>
        <v>http://dx.doi.org/10.1016/j.carbpol.2012.08.110</v>
      </c>
      <c r="BG1010" s="1" t="s">
        <v>74</v>
      </c>
      <c r="BH1010" s="1" t="s">
        <v>74</v>
      </c>
      <c r="BI1010" s="1">
        <v>13</v>
      </c>
      <c r="BJ1010" s="1" t="s">
        <v>18777</v>
      </c>
      <c r="BK1010" s="1" t="s">
        <v>3093</v>
      </c>
      <c r="BL1010" s="1" t="s">
        <v>18778</v>
      </c>
      <c r="BM1010" s="1" t="s">
        <v>18779</v>
      </c>
      <c r="BN1010" s="1">
        <v>23465896</v>
      </c>
      <c r="BO1010" s="1" t="s">
        <v>74</v>
      </c>
      <c r="BP1010" s="1" t="s">
        <v>74</v>
      </c>
      <c r="BQ1010" s="1" t="s">
        <v>74</v>
      </c>
      <c r="BR1010" s="1" t="s">
        <v>102</v>
      </c>
      <c r="BS1010" s="1" t="s">
        <v>18780</v>
      </c>
      <c r="BT1010" s="1" t="str">
        <f>HYPERLINK("https%3A%2F%2Fwww.webofscience.com%2Fwos%2Fwoscc%2Ffull-record%2FWOS:000316512900004","View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Rolf, Benjamin</dc:creator>
  <cp:lastModifiedBy>Rolf, Benjamin</cp:lastModifiedBy>
  <dcterms:created xsi:type="dcterms:W3CDTF">2023-10-06T08:50:18Z</dcterms:created>
  <dcterms:modified xsi:type="dcterms:W3CDTF">2023-10-06T08:50:18Z</dcterms:modified>
</cp:coreProperties>
</file>