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Dokumente\GitHub\DAND_5_MachineLearningEnronData\final_project\"/>
    </mc:Choice>
  </mc:AlternateContent>
  <bookViews>
    <workbookView xWindow="0" yWindow="0" windowWidth="8616" windowHeight="5628"/>
  </bookViews>
  <sheets>
    <sheet name="data_dict" sheetId="1" r:id="rId1"/>
  </sheets>
  <calcPr calcId="152511"/>
  <fileRecoveryPr repairLoad="1"/>
</workbook>
</file>

<file path=xl/calcChain.xml><?xml version="1.0" encoding="utf-8"?>
<calcChain xmlns="http://schemas.openxmlformats.org/spreadsheetml/2006/main">
  <c r="AA2" i="1" l="1"/>
  <c r="AA3" i="1"/>
  <c r="AB3" i="1" s="1"/>
  <c r="AA4" i="1"/>
  <c r="AA5" i="1"/>
  <c r="AA6" i="1"/>
  <c r="AA7" i="1"/>
  <c r="AB7" i="1" s="1"/>
  <c r="AA8" i="1"/>
  <c r="AA9" i="1"/>
  <c r="AA10" i="1"/>
  <c r="AA11" i="1"/>
  <c r="AB11" i="1" s="1"/>
  <c r="AA12" i="1"/>
  <c r="AA13" i="1"/>
  <c r="AB13" i="1" s="1"/>
  <c r="AA14" i="1"/>
  <c r="AA15" i="1"/>
  <c r="AB15" i="1" s="1"/>
  <c r="AA16" i="1"/>
  <c r="AA17" i="1"/>
  <c r="AA18" i="1"/>
  <c r="AA19" i="1"/>
  <c r="AB19" i="1" s="1"/>
  <c r="AA20" i="1"/>
  <c r="AA21" i="1"/>
  <c r="AA22" i="1"/>
  <c r="AA23" i="1"/>
  <c r="AB23" i="1" s="1"/>
  <c r="AA24" i="1"/>
  <c r="AA25" i="1"/>
  <c r="AB25" i="1" s="1"/>
  <c r="AA26" i="1"/>
  <c r="AA27" i="1"/>
  <c r="AB27" i="1" s="1"/>
  <c r="AA28" i="1"/>
  <c r="AB28" i="1" s="1"/>
  <c r="AA29" i="1"/>
  <c r="AB29" i="1" s="1"/>
  <c r="AA30" i="1"/>
  <c r="AB30" i="1" s="1"/>
  <c r="AA31" i="1"/>
  <c r="AB31" i="1" s="1"/>
  <c r="AA32" i="1"/>
  <c r="AA33" i="1"/>
  <c r="AA34" i="1"/>
  <c r="AA35" i="1"/>
  <c r="AB35" i="1" s="1"/>
  <c r="AA36" i="1"/>
  <c r="AA37" i="1"/>
  <c r="AB37" i="1" s="1"/>
  <c r="AA38" i="1"/>
  <c r="AA39" i="1"/>
  <c r="AB39" i="1" s="1"/>
  <c r="AA40" i="1"/>
  <c r="AA41" i="1"/>
  <c r="AA42" i="1"/>
  <c r="AA43" i="1"/>
  <c r="AB43" i="1" s="1"/>
  <c r="AA44" i="1"/>
  <c r="AA45" i="1"/>
  <c r="AA46" i="1"/>
  <c r="AA47" i="1"/>
  <c r="AB47" i="1" s="1"/>
  <c r="AA48" i="1"/>
  <c r="AB48" i="1" s="1"/>
  <c r="AA49" i="1"/>
  <c r="AB49" i="1" s="1"/>
  <c r="AA50" i="1"/>
  <c r="AA51" i="1"/>
  <c r="AB51" i="1" s="1"/>
  <c r="AA52" i="1"/>
  <c r="AA53" i="1"/>
  <c r="AB53" i="1" s="1"/>
  <c r="AA54" i="1"/>
  <c r="AA55" i="1"/>
  <c r="AB55" i="1" s="1"/>
  <c r="AA56" i="1"/>
  <c r="AA57" i="1"/>
  <c r="AB57" i="1" s="1"/>
  <c r="AA58" i="1"/>
  <c r="AA59" i="1"/>
  <c r="AB59" i="1" s="1"/>
  <c r="AA60" i="1"/>
  <c r="AA61" i="1"/>
  <c r="AB61" i="1" s="1"/>
  <c r="AA62" i="1"/>
  <c r="AA63" i="1"/>
  <c r="AB63" i="1" s="1"/>
  <c r="AA64" i="1"/>
  <c r="AA65" i="1"/>
  <c r="AB65" i="1" s="1"/>
  <c r="AA66" i="1"/>
  <c r="AB66" i="1" s="1"/>
  <c r="AA67" i="1"/>
  <c r="AB67" i="1" s="1"/>
  <c r="AA68" i="1"/>
  <c r="AA69" i="1"/>
  <c r="AA70" i="1"/>
  <c r="AA71" i="1"/>
  <c r="AB71" i="1" s="1"/>
  <c r="AA72" i="1"/>
  <c r="AA73" i="1"/>
  <c r="AA74" i="1"/>
  <c r="AA75" i="1"/>
  <c r="AB75" i="1" s="1"/>
  <c r="AA76" i="1"/>
  <c r="AA77" i="1"/>
  <c r="AA78" i="1"/>
  <c r="AA79" i="1"/>
  <c r="AB79" i="1" s="1"/>
  <c r="AA80" i="1"/>
  <c r="AA81" i="1"/>
  <c r="AA82" i="1"/>
  <c r="AA83" i="1"/>
  <c r="AB83" i="1" s="1"/>
  <c r="AA84" i="1"/>
  <c r="AA85" i="1"/>
  <c r="AA86" i="1"/>
  <c r="AA87" i="1"/>
  <c r="AB87" i="1" s="1"/>
  <c r="AA88" i="1"/>
  <c r="AA89" i="1"/>
  <c r="AA90" i="1"/>
  <c r="AA91" i="1"/>
  <c r="AB91" i="1" s="1"/>
  <c r="AA92" i="1"/>
  <c r="AB92" i="1" s="1"/>
  <c r="AA93" i="1"/>
  <c r="AA94" i="1"/>
  <c r="AA95" i="1"/>
  <c r="AB95" i="1" s="1"/>
  <c r="AA96" i="1"/>
  <c r="AA97" i="1"/>
  <c r="AA98" i="1"/>
  <c r="AB98" i="1" s="1"/>
  <c r="AA99" i="1"/>
  <c r="AB99" i="1" s="1"/>
  <c r="AA100" i="1"/>
  <c r="AA101" i="1"/>
  <c r="AB101" i="1" s="1"/>
  <c r="AA102" i="1"/>
  <c r="AA103" i="1"/>
  <c r="AB103" i="1" s="1"/>
  <c r="AA104" i="1"/>
  <c r="AA105" i="1"/>
  <c r="AA106" i="1"/>
  <c r="AA107" i="1"/>
  <c r="AB107" i="1" s="1"/>
  <c r="AA108" i="1"/>
  <c r="AA109" i="1"/>
  <c r="AA110" i="1"/>
  <c r="AA111" i="1"/>
  <c r="AB111" i="1" s="1"/>
  <c r="AA112" i="1"/>
  <c r="AA113" i="1"/>
  <c r="AA114" i="1"/>
  <c r="AB114" i="1" s="1"/>
  <c r="AA115" i="1"/>
  <c r="AB115" i="1" s="1"/>
  <c r="AA116" i="1"/>
  <c r="AA117" i="1"/>
  <c r="AB117" i="1" s="1"/>
  <c r="AA118" i="1"/>
  <c r="AA119" i="1"/>
  <c r="AB119" i="1" s="1"/>
  <c r="AA120" i="1"/>
  <c r="AB120" i="1" s="1"/>
  <c r="AA121" i="1"/>
  <c r="AB121" i="1" s="1"/>
  <c r="AA122" i="1"/>
  <c r="AA123" i="1"/>
  <c r="AB123" i="1" s="1"/>
  <c r="AA124" i="1"/>
  <c r="AA125" i="1"/>
  <c r="AA126" i="1"/>
  <c r="AB126" i="1" s="1"/>
  <c r="AA127" i="1"/>
  <c r="AB127" i="1" s="1"/>
  <c r="AA128" i="1"/>
  <c r="AA129" i="1"/>
  <c r="AA130" i="1"/>
  <c r="AA131" i="1"/>
  <c r="AB131" i="1" s="1"/>
  <c r="AA132" i="1"/>
  <c r="AA133" i="1"/>
  <c r="AA134" i="1"/>
  <c r="AA135" i="1"/>
  <c r="AB135" i="1" s="1"/>
  <c r="AA136" i="1"/>
  <c r="AA137" i="1"/>
  <c r="AA138" i="1"/>
  <c r="AB138" i="1" s="1"/>
  <c r="AA139" i="1"/>
  <c r="AB139" i="1" s="1"/>
  <c r="AA140" i="1"/>
  <c r="AA141" i="1"/>
  <c r="AA142" i="1"/>
  <c r="AA143" i="1"/>
  <c r="AB143" i="1" s="1"/>
  <c r="AA144" i="1"/>
  <c r="AA145" i="1"/>
  <c r="AA146" i="1"/>
  <c r="AA147" i="1"/>
  <c r="AB147" i="1" s="1"/>
  <c r="T2" i="1"/>
  <c r="U2" i="1" s="1"/>
  <c r="T3" i="1"/>
  <c r="U3" i="1" s="1"/>
  <c r="T4" i="1"/>
  <c r="U4" i="1" s="1"/>
  <c r="T5" i="1"/>
  <c r="U5" i="1" s="1"/>
  <c r="T6" i="1"/>
  <c r="U6" i="1" s="1"/>
  <c r="T7" i="1"/>
  <c r="U7" i="1" s="1"/>
  <c r="T8" i="1"/>
  <c r="U8" i="1" s="1"/>
  <c r="T9" i="1"/>
  <c r="U9" i="1" s="1"/>
  <c r="T10" i="1"/>
  <c r="U10" i="1" s="1"/>
  <c r="T11" i="1"/>
  <c r="U11" i="1" s="1"/>
  <c r="T12" i="1"/>
  <c r="U12" i="1" s="1"/>
  <c r="T13" i="1"/>
  <c r="U13" i="1" s="1"/>
  <c r="T14" i="1"/>
  <c r="U14" i="1" s="1"/>
  <c r="T15" i="1"/>
  <c r="U15" i="1" s="1"/>
  <c r="T16" i="1"/>
  <c r="U16" i="1" s="1"/>
  <c r="T17" i="1"/>
  <c r="U17" i="1" s="1"/>
  <c r="T18" i="1"/>
  <c r="U18" i="1" s="1"/>
  <c r="T19" i="1"/>
  <c r="U19" i="1" s="1"/>
  <c r="T20" i="1"/>
  <c r="U20" i="1" s="1"/>
  <c r="T21" i="1"/>
  <c r="U21" i="1" s="1"/>
  <c r="T22" i="1"/>
  <c r="U22" i="1" s="1"/>
  <c r="T23" i="1"/>
  <c r="U23" i="1" s="1"/>
  <c r="T24" i="1"/>
  <c r="U24" i="1" s="1"/>
  <c r="T25" i="1"/>
  <c r="U25" i="1" s="1"/>
  <c r="T26" i="1"/>
  <c r="U26" i="1" s="1"/>
  <c r="T27" i="1"/>
  <c r="U27" i="1" s="1"/>
  <c r="T28" i="1"/>
  <c r="U28" i="1" s="1"/>
  <c r="T29" i="1"/>
  <c r="U29" i="1" s="1"/>
  <c r="T30" i="1"/>
  <c r="U30" i="1" s="1"/>
  <c r="T31" i="1"/>
  <c r="U31" i="1" s="1"/>
  <c r="T32" i="1"/>
  <c r="U32" i="1" s="1"/>
  <c r="T33" i="1"/>
  <c r="U33" i="1" s="1"/>
  <c r="T34" i="1"/>
  <c r="U34" i="1" s="1"/>
  <c r="T35" i="1"/>
  <c r="U35" i="1" s="1"/>
  <c r="T36" i="1"/>
  <c r="U36" i="1" s="1"/>
  <c r="T37" i="1"/>
  <c r="U37" i="1" s="1"/>
  <c r="T38" i="1"/>
  <c r="U38" i="1" s="1"/>
  <c r="T39" i="1"/>
  <c r="U39" i="1" s="1"/>
  <c r="T40" i="1"/>
  <c r="U40" i="1" s="1"/>
  <c r="T41" i="1"/>
  <c r="U41" i="1" s="1"/>
  <c r="T42" i="1"/>
  <c r="U42" i="1" s="1"/>
  <c r="T43" i="1"/>
  <c r="U43" i="1" s="1"/>
  <c r="T44" i="1"/>
  <c r="U44" i="1" s="1"/>
  <c r="T45" i="1"/>
  <c r="U45" i="1" s="1"/>
  <c r="T46" i="1"/>
  <c r="U46" i="1" s="1"/>
  <c r="T47" i="1"/>
  <c r="U47" i="1" s="1"/>
  <c r="T48" i="1"/>
  <c r="U48" i="1" s="1"/>
  <c r="T49" i="1"/>
  <c r="U49" i="1" s="1"/>
  <c r="T50" i="1"/>
  <c r="U50" i="1" s="1"/>
  <c r="T51" i="1"/>
  <c r="U51" i="1" s="1"/>
  <c r="T52" i="1"/>
  <c r="U52" i="1" s="1"/>
  <c r="T53" i="1"/>
  <c r="U53" i="1" s="1"/>
  <c r="T54" i="1"/>
  <c r="U54" i="1" s="1"/>
  <c r="T55" i="1"/>
  <c r="U55" i="1" s="1"/>
  <c r="T56" i="1"/>
  <c r="U56" i="1" s="1"/>
  <c r="T57" i="1"/>
  <c r="U57" i="1" s="1"/>
  <c r="T58" i="1"/>
  <c r="U58" i="1" s="1"/>
  <c r="T59" i="1"/>
  <c r="U59" i="1" s="1"/>
  <c r="T60" i="1"/>
  <c r="U60" i="1" s="1"/>
  <c r="T61" i="1"/>
  <c r="U61" i="1" s="1"/>
  <c r="T62" i="1"/>
  <c r="U62" i="1" s="1"/>
  <c r="T63" i="1"/>
  <c r="U63" i="1" s="1"/>
  <c r="T64" i="1"/>
  <c r="U64" i="1" s="1"/>
  <c r="T65" i="1"/>
  <c r="U65" i="1" s="1"/>
  <c r="T66" i="1"/>
  <c r="U66" i="1" s="1"/>
  <c r="T67" i="1"/>
  <c r="U67" i="1" s="1"/>
  <c r="T68" i="1"/>
  <c r="U68" i="1" s="1"/>
  <c r="T69" i="1"/>
  <c r="U69" i="1" s="1"/>
  <c r="T70" i="1"/>
  <c r="U70" i="1" s="1"/>
  <c r="T71" i="1"/>
  <c r="U71" i="1" s="1"/>
  <c r="T72" i="1"/>
  <c r="U72" i="1" s="1"/>
  <c r="T73" i="1"/>
  <c r="U73" i="1" s="1"/>
  <c r="T74" i="1"/>
  <c r="U74" i="1" s="1"/>
  <c r="T75" i="1"/>
  <c r="U75" i="1" s="1"/>
  <c r="T76" i="1"/>
  <c r="U76" i="1" s="1"/>
  <c r="T77" i="1"/>
  <c r="U77" i="1" s="1"/>
  <c r="T78" i="1"/>
  <c r="U78" i="1" s="1"/>
  <c r="T79" i="1"/>
  <c r="U79" i="1" s="1"/>
  <c r="T80" i="1"/>
  <c r="U80" i="1" s="1"/>
  <c r="T81" i="1"/>
  <c r="U81" i="1" s="1"/>
  <c r="T82" i="1"/>
  <c r="U82" i="1" s="1"/>
  <c r="T83" i="1"/>
  <c r="U83" i="1" s="1"/>
  <c r="T84" i="1"/>
  <c r="U84" i="1" s="1"/>
  <c r="T85" i="1"/>
  <c r="U85" i="1" s="1"/>
  <c r="T86" i="1"/>
  <c r="U86" i="1" s="1"/>
  <c r="T87" i="1"/>
  <c r="U87" i="1" s="1"/>
  <c r="T88" i="1"/>
  <c r="U88" i="1" s="1"/>
  <c r="T89" i="1"/>
  <c r="U89" i="1" s="1"/>
  <c r="T90" i="1"/>
  <c r="U90" i="1" s="1"/>
  <c r="T91" i="1"/>
  <c r="U91" i="1" s="1"/>
  <c r="T92" i="1"/>
  <c r="U92" i="1" s="1"/>
  <c r="T93" i="1"/>
  <c r="U93" i="1" s="1"/>
  <c r="T94" i="1"/>
  <c r="U94" i="1" s="1"/>
  <c r="T95" i="1"/>
  <c r="U95" i="1" s="1"/>
  <c r="T96" i="1"/>
  <c r="U96" i="1" s="1"/>
  <c r="T97" i="1"/>
  <c r="U97" i="1" s="1"/>
  <c r="T98" i="1"/>
  <c r="U98" i="1" s="1"/>
  <c r="T99" i="1"/>
  <c r="U99" i="1" s="1"/>
  <c r="T100" i="1"/>
  <c r="U100" i="1" s="1"/>
  <c r="T101" i="1"/>
  <c r="U101" i="1" s="1"/>
  <c r="T102" i="1"/>
  <c r="U102" i="1" s="1"/>
  <c r="T103" i="1"/>
  <c r="U103" i="1" s="1"/>
  <c r="T104" i="1"/>
  <c r="U104" i="1" s="1"/>
  <c r="T105" i="1"/>
  <c r="U105" i="1" s="1"/>
  <c r="T106" i="1"/>
  <c r="U106" i="1" s="1"/>
  <c r="T107" i="1"/>
  <c r="U107" i="1" s="1"/>
  <c r="T108" i="1"/>
  <c r="U108" i="1" s="1"/>
  <c r="T109" i="1"/>
  <c r="U109" i="1" s="1"/>
  <c r="T110" i="1"/>
  <c r="U110" i="1" s="1"/>
  <c r="T111" i="1"/>
  <c r="U111" i="1" s="1"/>
  <c r="T112" i="1"/>
  <c r="U112" i="1" s="1"/>
  <c r="T113" i="1"/>
  <c r="U113" i="1" s="1"/>
  <c r="T114" i="1"/>
  <c r="U114" i="1" s="1"/>
  <c r="T115" i="1"/>
  <c r="U115" i="1" s="1"/>
  <c r="T116" i="1"/>
  <c r="U116" i="1" s="1"/>
  <c r="T117" i="1"/>
  <c r="U117" i="1" s="1"/>
  <c r="T118" i="1"/>
  <c r="U118" i="1" s="1"/>
  <c r="T119" i="1"/>
  <c r="U119" i="1" s="1"/>
  <c r="T120" i="1"/>
  <c r="U120" i="1" s="1"/>
  <c r="T121" i="1"/>
  <c r="U121" i="1" s="1"/>
  <c r="T122" i="1"/>
  <c r="U122" i="1" s="1"/>
  <c r="T123" i="1"/>
  <c r="U123" i="1" s="1"/>
  <c r="T124" i="1"/>
  <c r="U124" i="1" s="1"/>
  <c r="T125" i="1"/>
  <c r="U125" i="1" s="1"/>
  <c r="T126" i="1"/>
  <c r="U126" i="1" s="1"/>
  <c r="T127" i="1"/>
  <c r="U127" i="1" s="1"/>
  <c r="T128" i="1"/>
  <c r="U128" i="1" s="1"/>
  <c r="T129" i="1"/>
  <c r="U129" i="1" s="1"/>
  <c r="T130" i="1"/>
  <c r="U130" i="1" s="1"/>
  <c r="T131" i="1"/>
  <c r="U131" i="1" s="1"/>
  <c r="T132" i="1"/>
  <c r="U132" i="1" s="1"/>
  <c r="T133" i="1"/>
  <c r="U133" i="1" s="1"/>
  <c r="T134" i="1"/>
  <c r="U134" i="1" s="1"/>
  <c r="T135" i="1"/>
  <c r="U135" i="1" s="1"/>
  <c r="T136" i="1"/>
  <c r="U136" i="1" s="1"/>
  <c r="T137" i="1"/>
  <c r="U137" i="1" s="1"/>
  <c r="T138" i="1"/>
  <c r="U138" i="1" s="1"/>
  <c r="T139" i="1"/>
  <c r="U139" i="1" s="1"/>
  <c r="T140" i="1"/>
  <c r="U140" i="1" s="1"/>
  <c r="T141" i="1"/>
  <c r="U141" i="1" s="1"/>
  <c r="T142" i="1"/>
  <c r="U142" i="1" s="1"/>
  <c r="T143" i="1"/>
  <c r="U143" i="1" s="1"/>
  <c r="T144" i="1"/>
  <c r="U144" i="1" s="1"/>
  <c r="T145" i="1"/>
  <c r="U145" i="1" s="1"/>
  <c r="T146" i="1"/>
  <c r="U146" i="1" s="1"/>
  <c r="T147" i="1"/>
  <c r="U147" i="1" s="1"/>
  <c r="C149" i="1"/>
  <c r="D149" i="1"/>
  <c r="E149" i="1"/>
  <c r="F149" i="1"/>
  <c r="G149" i="1"/>
  <c r="H149" i="1"/>
  <c r="J149" i="1"/>
  <c r="K149" i="1"/>
  <c r="L149" i="1"/>
  <c r="M149" i="1"/>
  <c r="N149" i="1"/>
  <c r="O149" i="1"/>
  <c r="P149" i="1"/>
  <c r="Q149" i="1"/>
  <c r="R149" i="1"/>
  <c r="S149" i="1"/>
  <c r="W149" i="1"/>
  <c r="X149" i="1"/>
  <c r="Y149" i="1"/>
  <c r="Z149" i="1"/>
  <c r="C150" i="1"/>
  <c r="D150" i="1"/>
  <c r="E150" i="1"/>
  <c r="F150" i="1"/>
  <c r="G150" i="1"/>
  <c r="H150" i="1"/>
  <c r="J150" i="1"/>
  <c r="K150" i="1"/>
  <c r="L150" i="1"/>
  <c r="M150" i="1"/>
  <c r="N150" i="1"/>
  <c r="O150" i="1"/>
  <c r="P150" i="1"/>
  <c r="Q150" i="1"/>
  <c r="R150" i="1"/>
  <c r="S150" i="1"/>
  <c r="W150" i="1"/>
  <c r="X150" i="1"/>
  <c r="Y150" i="1"/>
  <c r="Z150" i="1"/>
  <c r="B149" i="1"/>
  <c r="B150" i="1"/>
  <c r="AB129" i="1" l="1"/>
  <c r="AB97" i="1"/>
  <c r="AB33" i="1"/>
  <c r="AB125" i="1"/>
  <c r="AB93" i="1"/>
  <c r="AB145" i="1"/>
  <c r="AB113" i="1"/>
  <c r="AB81" i="1"/>
  <c r="AB17" i="1"/>
  <c r="AB141" i="1"/>
  <c r="AB109" i="1"/>
  <c r="AB77" i="1"/>
  <c r="AB45" i="1"/>
  <c r="AB137" i="1"/>
  <c r="AB105" i="1"/>
  <c r="AB89" i="1"/>
  <c r="AB73" i="1"/>
  <c r="AB41" i="1"/>
  <c r="AB9" i="1"/>
  <c r="AB133" i="1"/>
  <c r="AB85" i="1"/>
  <c r="AB69" i="1"/>
  <c r="AB21" i="1"/>
  <c r="AB5" i="1"/>
  <c r="AB144" i="1"/>
  <c r="AB140" i="1"/>
  <c r="AB136" i="1"/>
  <c r="AB132" i="1"/>
  <c r="AB128" i="1"/>
  <c r="AB124" i="1"/>
  <c r="AB116" i="1"/>
  <c r="AB112" i="1"/>
  <c r="AB108" i="1"/>
  <c r="AB104" i="1"/>
  <c r="AB100" i="1"/>
  <c r="AB96" i="1"/>
  <c r="AB88" i="1"/>
  <c r="AB84" i="1"/>
  <c r="AB80" i="1"/>
  <c r="AB76" i="1"/>
  <c r="AB72" i="1"/>
  <c r="AB68" i="1"/>
  <c r="AB64" i="1"/>
  <c r="AB60" i="1"/>
  <c r="AB56" i="1"/>
  <c r="AB52" i="1"/>
  <c r="AB44" i="1"/>
  <c r="AB40" i="1"/>
  <c r="AB36" i="1"/>
  <c r="AB32" i="1"/>
  <c r="AB24" i="1"/>
  <c r="AB20" i="1"/>
  <c r="AB16" i="1"/>
  <c r="AB12" i="1"/>
  <c r="AB8" i="1"/>
  <c r="AB4" i="1"/>
  <c r="AB146" i="1"/>
  <c r="AB142" i="1"/>
  <c r="AB134" i="1"/>
  <c r="AB130" i="1"/>
  <c r="AB122" i="1"/>
  <c r="AB118" i="1"/>
  <c r="AB110" i="1"/>
  <c r="AB106" i="1"/>
  <c r="AB102" i="1"/>
  <c r="AB94" i="1"/>
  <c r="AB90" i="1"/>
  <c r="AB86" i="1"/>
  <c r="AB82" i="1"/>
  <c r="AB78" i="1"/>
  <c r="AB74" i="1"/>
  <c r="AB70" i="1"/>
  <c r="AB62" i="1"/>
  <c r="AB58" i="1"/>
  <c r="AB54" i="1"/>
  <c r="AB50" i="1"/>
  <c r="AB46" i="1"/>
  <c r="AB42" i="1"/>
  <c r="AB38" i="1"/>
  <c r="AB34" i="1"/>
  <c r="AB26" i="1"/>
  <c r="AB22" i="1"/>
  <c r="AB18" i="1"/>
  <c r="AB14" i="1"/>
  <c r="AB10" i="1"/>
  <c r="AB6" i="1"/>
  <c r="AB2" i="1"/>
</calcChain>
</file>

<file path=xl/comments1.xml><?xml version="1.0" encoding="utf-8"?>
<comments xmlns="http://schemas.openxmlformats.org/spreadsheetml/2006/main">
  <authors>
    <author>Benjamin Söllner</author>
  </authors>
  <commentList>
    <comment ref="N26" authorId="0" shapeId="0">
      <text>
        <r>
          <rPr>
            <sz val="9"/>
            <color indexed="81"/>
            <rFont val="Segoe UI"/>
            <family val="2"/>
          </rPr>
          <t xml:space="preserve">signature error? -&gt; </t>
        </r>
        <r>
          <rPr>
            <b/>
            <sz val="9"/>
            <color indexed="81"/>
            <rFont val="Segoe UI"/>
            <family val="2"/>
          </rPr>
          <t>multiply with -1</t>
        </r>
      </text>
    </comment>
    <comment ref="R26" authorId="0" shapeId="0">
      <text>
        <r>
          <rPr>
            <sz val="9"/>
            <color indexed="81"/>
            <rFont val="Segoe UI"/>
            <family val="2"/>
          </rPr>
          <t xml:space="preserve">same as "exercised_stock_options", maybe duplicated manual entry? -&gt; </t>
        </r>
        <r>
          <rPr>
            <b/>
            <sz val="9"/>
            <color indexed="81"/>
            <rFont val="Segoe UI"/>
            <family val="2"/>
          </rPr>
          <t>remove value</t>
        </r>
      </text>
    </comment>
    <comment ref="Z26" authorId="0" shapeId="0">
      <text>
        <r>
          <rPr>
            <sz val="9"/>
            <color indexed="81"/>
            <rFont val="Segoe UI"/>
            <family val="2"/>
          </rPr>
          <t xml:space="preserve">signature error and copy-paste error from previous cell? </t>
        </r>
        <r>
          <rPr>
            <b/>
            <sz val="9"/>
            <color indexed="81"/>
            <rFont val="Segoe UI"/>
            <family val="2"/>
          </rPr>
          <t>-&gt; re-calculate as well</t>
        </r>
      </text>
    </comment>
    <comment ref="P120" authorId="0" shapeId="0">
      <text>
        <r>
          <rPr>
            <sz val="9"/>
            <color indexed="81"/>
            <rFont val="Segoe UI"/>
            <family val="2"/>
          </rPr>
          <t xml:space="preserve">same as "director_fees", maybe duplicate manual entry </t>
        </r>
        <r>
          <rPr>
            <b/>
            <sz val="9"/>
            <color indexed="81"/>
            <rFont val="Segoe UI"/>
            <family val="2"/>
          </rPr>
          <t xml:space="preserve">-&gt; set to total_payments-director_fees
</t>
        </r>
      </text>
    </comment>
  </commentList>
</comments>
</file>

<file path=xl/sharedStrings.xml><?xml version="1.0" encoding="utf-8"?>
<sst xmlns="http://schemas.openxmlformats.org/spreadsheetml/2006/main" count="1792" uniqueCount="291">
  <si>
    <t>PERSON</t>
  </si>
  <si>
    <t>salary</t>
  </si>
  <si>
    <t>to_messages</t>
  </si>
  <si>
    <t>deferral_payments</t>
  </si>
  <si>
    <t>total_payments</t>
  </si>
  <si>
    <t>exercised_stock_options</t>
  </si>
  <si>
    <t>bonus</t>
  </si>
  <si>
    <t>restricted_stock</t>
  </si>
  <si>
    <t>shared_receipt_with_poi</t>
  </si>
  <si>
    <t>restricted_stock_deferred</t>
  </si>
  <si>
    <t>total_stock_value</t>
  </si>
  <si>
    <t>expenses</t>
  </si>
  <si>
    <t>loan_advances</t>
  </si>
  <si>
    <t>from_messages</t>
  </si>
  <si>
    <t>other</t>
  </si>
  <si>
    <t>from_this_person_to_poi</t>
  </si>
  <si>
    <t>poi</t>
  </si>
  <si>
    <t>director_fees</t>
  </si>
  <si>
    <t>deferred_income</t>
  </si>
  <si>
    <t>long_term_incentive</t>
  </si>
  <si>
    <t>email_address</t>
  </si>
  <si>
    <t>from_poi_to_this_person</t>
  </si>
  <si>
    <t>METTS MARK</t>
  </si>
  <si>
    <t>NaN</t>
  </si>
  <si>
    <t>False</t>
  </si>
  <si>
    <t>mark.metts@enron.com</t>
  </si>
  <si>
    <t>BAXTER JOHN C</t>
  </si>
  <si>
    <t>ELLIOTT STEVEN</t>
  </si>
  <si>
    <t>steven.elliott@enron.com</t>
  </si>
  <si>
    <t>CORDES WILLIAM R</t>
  </si>
  <si>
    <t>bill.cordes@enron.com</t>
  </si>
  <si>
    <t>HANNON KEVIN P</t>
  </si>
  <si>
    <t>True</t>
  </si>
  <si>
    <t>kevin.hannon@enron.com</t>
  </si>
  <si>
    <t>MORDAUNT KRISTINA M</t>
  </si>
  <si>
    <t>kristina.mordaunt@enron.com</t>
  </si>
  <si>
    <t>MEYER ROCKFORD G</t>
  </si>
  <si>
    <t>rockford.meyer@enron.com</t>
  </si>
  <si>
    <t>MCMAHON JEFFREY</t>
  </si>
  <si>
    <t>jeffrey.mcmahon@enron.com</t>
  </si>
  <si>
    <t>HORTON STANLEY C</t>
  </si>
  <si>
    <t>stanley.horton@enron.com</t>
  </si>
  <si>
    <t>PIPER GREGORY F</t>
  </si>
  <si>
    <t>greg.piper@enron.com</t>
  </si>
  <si>
    <t>HUMPHREY GENE E</t>
  </si>
  <si>
    <t>gene.humphrey@enron.com</t>
  </si>
  <si>
    <t>UMANOFF ADAM S</t>
  </si>
  <si>
    <t>adam.umanoff@enron.com</t>
  </si>
  <si>
    <t>BLACHMAN JEREMY M</t>
  </si>
  <si>
    <t>jeremy.blachman@enron.com</t>
  </si>
  <si>
    <t>SUNDE MARTIN</t>
  </si>
  <si>
    <t>marty.sunde@enron.com</t>
  </si>
  <si>
    <t>GIBBS DANA R</t>
  </si>
  <si>
    <t>dana.gibbs@enron.com</t>
  </si>
  <si>
    <t>LOWRY CHARLES P</t>
  </si>
  <si>
    <t>COLWELL WESLEY</t>
  </si>
  <si>
    <t>wes.colwell@enron.com</t>
  </si>
  <si>
    <t>MULLER MARK S</t>
  </si>
  <si>
    <t>s..muller@enron.com</t>
  </si>
  <si>
    <t>JACKSON CHARLENE R</t>
  </si>
  <si>
    <t>charlene.jackson@enron.com</t>
  </si>
  <si>
    <t>WESTFAHL RICHARD K</t>
  </si>
  <si>
    <t>dick.westfahl@enron.com</t>
  </si>
  <si>
    <t>WALTERS GARETH W</t>
  </si>
  <si>
    <t>WALLS JR ROBERT H</t>
  </si>
  <si>
    <t>rob.walls@enron.com</t>
  </si>
  <si>
    <t>KITCHEN LOUISE</t>
  </si>
  <si>
    <t>louise.kitchen@enron.com</t>
  </si>
  <si>
    <t>CHAN RONNIE</t>
  </si>
  <si>
    <t>BELFER ROBERT</t>
  </si>
  <si>
    <t>SHANKMAN JEFFREY A</t>
  </si>
  <si>
    <t>jeffrey.shankman@enron.com</t>
  </si>
  <si>
    <t>WODRASKA JOHN</t>
  </si>
  <si>
    <t>john.wodraska@enron.com</t>
  </si>
  <si>
    <t>BERGSIEKER RICHARD P</t>
  </si>
  <si>
    <t>rick.bergsieker@enron.com</t>
  </si>
  <si>
    <t>URQUHART JOHN A</t>
  </si>
  <si>
    <t>BIBI PHILIPPE A</t>
  </si>
  <si>
    <t>philippe.bibi@enron.com</t>
  </si>
  <si>
    <t>RIEKER PAULA H</t>
  </si>
  <si>
    <t>paula.rieker@enron.com</t>
  </si>
  <si>
    <t>WHALEY DAVID A</t>
  </si>
  <si>
    <t>BECK SALLY W</t>
  </si>
  <si>
    <t>sally.beck@enron.com</t>
  </si>
  <si>
    <t>HAUG DAVID L</t>
  </si>
  <si>
    <t>david.haug@enron.com</t>
  </si>
  <si>
    <t>ECHOLS JOHN B</t>
  </si>
  <si>
    <t>john.echols@enron.com</t>
  </si>
  <si>
    <t>MENDELSOHN JOHN</t>
  </si>
  <si>
    <t>HICKERSON GARY J</t>
  </si>
  <si>
    <t>gary.hickerson@enron.com</t>
  </si>
  <si>
    <t>CLINE KENNETH W</t>
  </si>
  <si>
    <t>LEWIS RICHARD</t>
  </si>
  <si>
    <t>richard.lewis@enron.com</t>
  </si>
  <si>
    <t>HAYES ROBERT E</t>
  </si>
  <si>
    <t>robert.hayes@enron.com</t>
  </si>
  <si>
    <t>MCCARTY DANNY J</t>
  </si>
  <si>
    <t>danny.mccarty@enron.com</t>
  </si>
  <si>
    <t>KOPPER MICHAEL J</t>
  </si>
  <si>
    <t>michael.kopper@enron.com</t>
  </si>
  <si>
    <t>LEFF DANIEL P</t>
  </si>
  <si>
    <t>dan.leff@enron.com</t>
  </si>
  <si>
    <t>LAVORATO JOHN J</t>
  </si>
  <si>
    <t>john.lavorato@enron.com</t>
  </si>
  <si>
    <t>BERBERIAN DAVID</t>
  </si>
  <si>
    <t>david.berberian@enron.com</t>
  </si>
  <si>
    <t>DETMERING TIMOTHY J</t>
  </si>
  <si>
    <t>timothy.detmering@enron.com</t>
  </si>
  <si>
    <t>WAKEHAM JOHN</t>
  </si>
  <si>
    <t>POWERS WILLIAM</t>
  </si>
  <si>
    <t>ken.powers@enron.com</t>
  </si>
  <si>
    <t>GOLD JOSEPH</t>
  </si>
  <si>
    <t>joe.gold@enron.com</t>
  </si>
  <si>
    <t>BANNANTINE JAMES M</t>
  </si>
  <si>
    <t>james.bannantine@enron.com</t>
  </si>
  <si>
    <t>DUNCAN JOHN H</t>
  </si>
  <si>
    <t>SHAPIRO RICHARD S</t>
  </si>
  <si>
    <t>richard.shapiro@enron.com</t>
  </si>
  <si>
    <t>SHERRIFF JOHN R</t>
  </si>
  <si>
    <t>john.sherriff@enron.com</t>
  </si>
  <si>
    <t>SHELBY REX</t>
  </si>
  <si>
    <t>rex.shelby@enron.com</t>
  </si>
  <si>
    <t>LEMAISTRE CHARLES</t>
  </si>
  <si>
    <t>DEFFNER JOSEPH M</t>
  </si>
  <si>
    <t>joseph.deffner@enron.com</t>
  </si>
  <si>
    <t>KISHKILL JOSEPH G</t>
  </si>
  <si>
    <t>joe.kishkill@enron.com</t>
  </si>
  <si>
    <t>WHALLEY LAWRENCE G</t>
  </si>
  <si>
    <t>greg.whalley@enron.com</t>
  </si>
  <si>
    <t>MCCONNELL MICHAEL S</t>
  </si>
  <si>
    <t>mike.mcconnell@enron.com</t>
  </si>
  <si>
    <t>PIRO JIM</t>
  </si>
  <si>
    <t>jim.piro@enron.com</t>
  </si>
  <si>
    <t>DELAINEY DAVID W</t>
  </si>
  <si>
    <t>david.delainey@enron.com</t>
  </si>
  <si>
    <t>SULLIVAN-SHAKLOVITZ COLLEEN</t>
  </si>
  <si>
    <t>WROBEL BRUCE</t>
  </si>
  <si>
    <t>LINDHOLM TOD A</t>
  </si>
  <si>
    <t>tod.lindholm@enron.com</t>
  </si>
  <si>
    <t>MEYER JEROME J</t>
  </si>
  <si>
    <t>LAY KENNETH L</t>
  </si>
  <si>
    <t>kenneth.lay@enron.com</t>
  </si>
  <si>
    <t>BUTTS ROBERT H</t>
  </si>
  <si>
    <t>bob.butts@enron.com</t>
  </si>
  <si>
    <t>OLSON CINDY K</t>
  </si>
  <si>
    <t>cindy.olson@enron.com</t>
  </si>
  <si>
    <t>MCDONALD REBECCA</t>
  </si>
  <si>
    <t>rebecca.mcdonald@enron.com</t>
  </si>
  <si>
    <t>CUMBERLAND MICHAEL S</t>
  </si>
  <si>
    <t>GAHN ROBERT S</t>
  </si>
  <si>
    <t>MCCLELLAN GEORGE</t>
  </si>
  <si>
    <t>george.mcclellan@enron.com</t>
  </si>
  <si>
    <t>HERMANN ROBERT J</t>
  </si>
  <si>
    <t>robert.hermann@enron.com</t>
  </si>
  <si>
    <t>SCRIMSHAW MATTHEW</t>
  </si>
  <si>
    <t>matthew.scrimshaw@enron.com</t>
  </si>
  <si>
    <t>GATHMANN WILLIAM D</t>
  </si>
  <si>
    <t>HAEDICKE MARK E</t>
  </si>
  <si>
    <t>mark.haedicke@enron.com</t>
  </si>
  <si>
    <t>BOWEN JR RAYMOND M</t>
  </si>
  <si>
    <t>raymond.bowen@enron.com</t>
  </si>
  <si>
    <t>GILLIS JOHN</t>
  </si>
  <si>
    <t>FITZGERALD JAY L</t>
  </si>
  <si>
    <t>jay.fitzgerald@enron.com</t>
  </si>
  <si>
    <t>MORAN MICHAEL P</t>
  </si>
  <si>
    <t>michael.moran@enron.com</t>
  </si>
  <si>
    <t>REDMOND BRIAN L</t>
  </si>
  <si>
    <t>brian.redmond@enron.com</t>
  </si>
  <si>
    <t>BAZELIDES PHILIP J</t>
  </si>
  <si>
    <t>BELDEN TIMOTHY N</t>
  </si>
  <si>
    <t>tim.belden@enron.com</t>
  </si>
  <si>
    <t>DURAN WILLIAM D</t>
  </si>
  <si>
    <t>w.duran@enron.com</t>
  </si>
  <si>
    <t>THORN TERENCE H</t>
  </si>
  <si>
    <t>terence.thorn@enron.com</t>
  </si>
  <si>
    <t>FASTOW ANDREW S</t>
  </si>
  <si>
    <t>andrew.fastow@enron.com</t>
  </si>
  <si>
    <t>FOY JOE</t>
  </si>
  <si>
    <t>tracy.foy@enron.com</t>
  </si>
  <si>
    <t>CALGER CHRISTOPHER F</t>
  </si>
  <si>
    <t>christopher.calger@enron.com</t>
  </si>
  <si>
    <t>RICE KENNETH D</t>
  </si>
  <si>
    <t>ken.rice@enron.com</t>
  </si>
  <si>
    <t>KAMINSKI WINCENTY J</t>
  </si>
  <si>
    <t>vince.kaminski@enron.com</t>
  </si>
  <si>
    <t>LOCKHART EUGENE E</t>
  </si>
  <si>
    <t>COX DAVID</t>
  </si>
  <si>
    <t>chip.cox@enron.com</t>
  </si>
  <si>
    <t>OVERDYKE JR JERE C</t>
  </si>
  <si>
    <t>jere.overdyke@enron.com</t>
  </si>
  <si>
    <t>PEREIRA PAULO V. FERRAZ</t>
  </si>
  <si>
    <t>STABLER FRANK</t>
  </si>
  <si>
    <t>frank.stabler@enron.com</t>
  </si>
  <si>
    <t>SKILLING JEFFREY K</t>
  </si>
  <si>
    <t>jeff.skilling@enron.com</t>
  </si>
  <si>
    <t>BLAKE JR. NORMAN P</t>
  </si>
  <si>
    <t>SHERRICK JEFFREY B</t>
  </si>
  <si>
    <t>jeffrey.sherrick@enron.com</t>
  </si>
  <si>
    <t>PRENTICE JAMES</t>
  </si>
  <si>
    <t>james.prentice@enron.com</t>
  </si>
  <si>
    <t>GRAY RODNEY</t>
  </si>
  <si>
    <t>PICKERING MARK R</t>
  </si>
  <si>
    <t>mark.pickering@enron.com</t>
  </si>
  <si>
    <t>THE TRAVEL AGENCY IN THE PARK</t>
  </si>
  <si>
    <t>NOLES JAMES L</t>
  </si>
  <si>
    <t>KEAN STEVEN J</t>
  </si>
  <si>
    <t>steven.kean@enron.com</t>
  </si>
  <si>
    <t>TOTAL</t>
  </si>
  <si>
    <t>FOWLER PEGGY</t>
  </si>
  <si>
    <t>kulvinder.fowler@enron.com</t>
  </si>
  <si>
    <t>WASAFF GEORGE</t>
  </si>
  <si>
    <t>george.wasaff@enron.com</t>
  </si>
  <si>
    <t>WHITE JR THOMAS E</t>
  </si>
  <si>
    <t>thomas.white@enron.com</t>
  </si>
  <si>
    <t>CHRISTODOULOU DIOMEDES</t>
  </si>
  <si>
    <t>diomedes.christodoulou@enron.com</t>
  </si>
  <si>
    <t>ALLEN PHILLIP K</t>
  </si>
  <si>
    <t>phillip.allen@enron.com</t>
  </si>
  <si>
    <t>SHARP VICTORIA T</t>
  </si>
  <si>
    <t>vicki.sharp@enron.com</t>
  </si>
  <si>
    <t>JAEDICKE ROBERT</t>
  </si>
  <si>
    <t>WINOKUR JR. HERBERT S</t>
  </si>
  <si>
    <t>BROWN MICHAEL</t>
  </si>
  <si>
    <t>michael.brown@enron.com</t>
  </si>
  <si>
    <t>BADUM JAMES P</t>
  </si>
  <si>
    <t>HUGHES JAMES A</t>
  </si>
  <si>
    <t>james.hughes@enron.com</t>
  </si>
  <si>
    <t>REYNOLDS LAWRENCE</t>
  </si>
  <si>
    <t>DIMICHELE RICHARD G</t>
  </si>
  <si>
    <t>richard.dimichele@enron.com</t>
  </si>
  <si>
    <t>BHATNAGAR SANJAY</t>
  </si>
  <si>
    <t>sanjay.bhatnagar@enron.com</t>
  </si>
  <si>
    <t>CARTER REBECCA C</t>
  </si>
  <si>
    <t>rebecca.carter@enron.com</t>
  </si>
  <si>
    <t>BUCHANAN HAROLD G</t>
  </si>
  <si>
    <t>john.buchanan@enron.com</t>
  </si>
  <si>
    <t>YEAP SOON</t>
  </si>
  <si>
    <t>MURRAY JULIA H</t>
  </si>
  <si>
    <t>julia.murray@enron.com</t>
  </si>
  <si>
    <t>GARLAND C KEVIN</t>
  </si>
  <si>
    <t>kevin.garland@enron.com</t>
  </si>
  <si>
    <t>DODSON KEITH</t>
  </si>
  <si>
    <t>keith.dodson@enron.com</t>
  </si>
  <si>
    <t>YEAGER F SCOTT</t>
  </si>
  <si>
    <t>scott.yeager@enron.com</t>
  </si>
  <si>
    <t>HIRKO JOSEPH</t>
  </si>
  <si>
    <t>joe.hirko@enron.com</t>
  </si>
  <si>
    <t>DIETRICH JANET R</t>
  </si>
  <si>
    <t>janet.dietrich@enron.com</t>
  </si>
  <si>
    <t>DERRICK JR. JAMES V</t>
  </si>
  <si>
    <t>james.derrick@enron.com</t>
  </si>
  <si>
    <t>FREVERT MARK A</t>
  </si>
  <si>
    <t>mark.frevert@enron.com</t>
  </si>
  <si>
    <t>PAI LOU L</t>
  </si>
  <si>
    <t>lou.pai@enron.com</t>
  </si>
  <si>
    <t>BAY FRANKLIN R</t>
  </si>
  <si>
    <t>frank.bay@enron.com</t>
  </si>
  <si>
    <t>HAYSLETT RODERICK J</t>
  </si>
  <si>
    <t>rod.hayslett@enron.com</t>
  </si>
  <si>
    <t>FUGH JOHN L</t>
  </si>
  <si>
    <t>FALLON JAMES B</t>
  </si>
  <si>
    <t>jim.fallon@enron.com</t>
  </si>
  <si>
    <t>KOENIG MARK E</t>
  </si>
  <si>
    <t>mark.koenig@enron.com</t>
  </si>
  <si>
    <t>SAVAGE FRANK</t>
  </si>
  <si>
    <t>IZZO LAWRENCE L</t>
  </si>
  <si>
    <t>larry.izzo@enron.com</t>
  </si>
  <si>
    <t>TILNEY ELIZABETH A</t>
  </si>
  <si>
    <t>elizabeth.tilney@enron.com</t>
  </si>
  <si>
    <t>MARTIN AMANDA K</t>
  </si>
  <si>
    <t>a..martin@enron.com</t>
  </si>
  <si>
    <t>BUY RICHARD B</t>
  </si>
  <si>
    <t>rick.buy@enron.com</t>
  </si>
  <si>
    <t>GRAMM WENDY L</t>
  </si>
  <si>
    <t>CAUSEY RICHARD A</t>
  </si>
  <si>
    <t>richard.causey@enron.com</t>
  </si>
  <si>
    <t>TAYLOR MITCHELL S</t>
  </si>
  <si>
    <t>mitchell.taylor@enron.com</t>
  </si>
  <si>
    <t>DONAHUE JR JEFFREY M</t>
  </si>
  <si>
    <t>jeff.donahue@enron.com</t>
  </si>
  <si>
    <t>GLISAN JR BEN F</t>
  </si>
  <si>
    <t>ben.glisan@enron.com</t>
  </si>
  <si>
    <t>fraction of NaNs</t>
  </si>
  <si>
    <t>field</t>
  </si>
  <si>
    <t>total_stock_value_calc</t>
  </si>
  <si>
    <t>total_payments_calc</t>
  </si>
  <si>
    <t>total_payments_resolution</t>
  </si>
  <si>
    <t xml:space="preserve"> </t>
  </si>
  <si>
    <t xml:space="preserve">  </t>
  </si>
  <si>
    <t>total_stock_value_resolution</t>
  </si>
  <si>
    <t xml:space="preserve">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</si>
</sst>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€_-;\-* #,##0.00\ _€_-;_-* &quot;-&quot;??\ _€_-;_-@_-"/>
    <numFmt numFmtId="164" formatCode="_-* #,##0.0000\ _€_-;\-* #,##0.0000\ _€_-;_-* &quot;-&quot;??\ _€_-;_-@_-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9">
    <xf numFmtId="0" fontId="0" fillId="0" borderId="0" xfId="0"/>
    <xf numFmtId="0" fontId="0" fillId="33" borderId="0" xfId="0" applyFill="1"/>
    <xf numFmtId="164" fontId="0" fillId="33" borderId="0" xfId="1" applyNumberFormat="1" applyFont="1" applyFill="1"/>
    <xf numFmtId="0" fontId="16" fillId="33" borderId="0" xfId="0" applyFont="1" applyFill="1"/>
    <xf numFmtId="0" fontId="0" fillId="0" borderId="0" xfId="0" applyAlignment="1">
      <alignment horizontal="center" vertical="center" wrapText="1"/>
    </xf>
    <xf numFmtId="0" fontId="0" fillId="38" borderId="0" xfId="0" applyFill="1" applyAlignment="1">
      <alignment horizontal="center" vertical="center" wrapText="1"/>
    </xf>
    <xf numFmtId="0" fontId="0" fillId="37" borderId="0" xfId="0" applyFill="1" applyAlignment="1">
      <alignment horizontal="center" vertical="center" wrapText="1"/>
    </xf>
    <xf numFmtId="0" fontId="0" fillId="34" borderId="0" xfId="0" applyFill="1" applyAlignment="1">
      <alignment horizontal="center" vertical="center" wrapText="1"/>
    </xf>
    <xf numFmtId="0" fontId="0" fillId="36" borderId="0" xfId="0" applyFill="1" applyAlignment="1">
      <alignment horizontal="center" vertical="center" wrapText="1"/>
    </xf>
    <xf numFmtId="0" fontId="0" fillId="35" borderId="0" xfId="0" applyFill="1" applyAlignment="1">
      <alignment horizontal="center" vertical="center" wrapText="1"/>
    </xf>
    <xf numFmtId="0" fontId="0" fillId="39" borderId="0" xfId="0" applyFill="1" applyAlignment="1">
      <alignment horizontal="center" vertical="center" wrapText="1"/>
    </xf>
    <xf numFmtId="0" fontId="0" fillId="40" borderId="0" xfId="0" applyFill="1" applyAlignment="1">
      <alignment horizontal="center" vertical="center" wrapText="1"/>
    </xf>
    <xf numFmtId="0" fontId="0" fillId="41" borderId="0" xfId="0" applyFill="1"/>
    <xf numFmtId="0" fontId="0" fillId="0" borderId="0" xfId="0" applyFill="1" applyAlignment="1">
      <alignment horizontal="center" vertical="center" wrapText="1"/>
    </xf>
    <xf numFmtId="0" fontId="0" fillId="0" borderId="0" xfId="0" applyFill="1"/>
    <xf numFmtId="0" fontId="0" fillId="0" borderId="0" xfId="0" applyFill="1" applyAlignment="1">
      <alignment horizontal="center"/>
    </xf>
    <xf numFmtId="164" fontId="0" fillId="0" borderId="0" xfId="1" applyNumberFormat="1" applyFont="1" applyFill="1"/>
    <xf numFmtId="0" fontId="16" fillId="39" borderId="0" xfId="0" applyFont="1" applyFill="1" applyAlignment="1">
      <alignment horizontal="center" vertical="center" wrapText="1"/>
    </xf>
    <xf numFmtId="0" fontId="16" fillId="0" borderId="0" xfId="0" applyFont="1"/>
  </cellXfs>
  <cellStyles count="43">
    <cellStyle name="20 % - Akzent1" xfId="20" builtinId="30" customBuiltin="1"/>
    <cellStyle name="20 % - Akzent2" xfId="24" builtinId="34" customBuiltin="1"/>
    <cellStyle name="20 % - Akzent3" xfId="28" builtinId="38" customBuiltin="1"/>
    <cellStyle name="20 % - Akzent4" xfId="32" builtinId="42" customBuiltin="1"/>
    <cellStyle name="20 % - Akzent5" xfId="36" builtinId="46" customBuiltin="1"/>
    <cellStyle name="20 % - Akzent6" xfId="40" builtinId="50" customBuiltin="1"/>
    <cellStyle name="40 % - Akzent1" xfId="21" builtinId="31" customBuiltin="1"/>
    <cellStyle name="40 % - Akzent2" xfId="25" builtinId="35" customBuiltin="1"/>
    <cellStyle name="40 % - Akzent3" xfId="29" builtinId="39" customBuiltin="1"/>
    <cellStyle name="40 % - Akzent4" xfId="33" builtinId="43" customBuiltin="1"/>
    <cellStyle name="40 % - Akzent5" xfId="37" builtinId="47" customBuiltin="1"/>
    <cellStyle name="40 % - Akzent6" xfId="41" builtinId="51" customBuiltin="1"/>
    <cellStyle name="60 % - Akzent1" xfId="22" builtinId="32" customBuiltin="1"/>
    <cellStyle name="60 % - Akzent2" xfId="26" builtinId="36" customBuiltin="1"/>
    <cellStyle name="60 % - Akzent3" xfId="30" builtinId="40" customBuiltin="1"/>
    <cellStyle name="60 % - Akzent4" xfId="34" builtinId="44" customBuiltin="1"/>
    <cellStyle name="60 % - Akzent5" xfId="38" builtinId="48" customBuiltin="1"/>
    <cellStyle name="60 % - Akzent6" xfId="42" builtinId="52" customBuiltin="1"/>
    <cellStyle name="Akzent1" xfId="19" builtinId="29" customBuiltin="1"/>
    <cellStyle name="Akzent2" xfId="23" builtinId="33" customBuiltin="1"/>
    <cellStyle name="Akzent3" xfId="27" builtinId="37" customBuiltin="1"/>
    <cellStyle name="Akzent4" xfId="31" builtinId="41" customBuiltin="1"/>
    <cellStyle name="Akzent5" xfId="35" builtinId="45" customBuiltin="1"/>
    <cellStyle name="Akzent6" xfId="39" builtinId="49" customBuiltin="1"/>
    <cellStyle name="Ausgabe" xfId="11" builtinId="21" customBuiltin="1"/>
    <cellStyle name="Berechnung" xfId="12" builtinId="22" customBuiltin="1"/>
    <cellStyle name="Eingabe" xfId="10" builtinId="20" customBuiltin="1"/>
    <cellStyle name="Ergebnis" xfId="18" builtinId="25" customBuiltin="1"/>
    <cellStyle name="Erklärender Text" xfId="17" builtinId="53" customBuiltin="1"/>
    <cellStyle name="Gut" xfId="7" builtinId="26" customBuiltin="1"/>
    <cellStyle name="Komma" xfId="1" builtinId="3"/>
    <cellStyle name="Neutral" xfId="9" builtinId="28" customBuiltin="1"/>
    <cellStyle name="Notiz" xfId="16" builtinId="10" customBuiltin="1"/>
    <cellStyle name="Schlecht" xfId="8" builtinId="27" customBuiltin="1"/>
    <cellStyle name="Standard" xfId="0" builtinId="0"/>
    <cellStyle name="Überschrift" xfId="2" builtinId="15" customBuiltin="1"/>
    <cellStyle name="Überschrift 1" xfId="3" builtinId="16" customBuiltin="1"/>
    <cellStyle name="Überschrift 2" xfId="4" builtinId="17" customBuiltin="1"/>
    <cellStyle name="Überschrift 3" xfId="5" builtinId="18" customBuiltin="1"/>
    <cellStyle name="Überschrift 4" xfId="6" builtinId="19" customBuiltin="1"/>
    <cellStyle name="Verknüpfte Zelle" xfId="13" builtinId="24" customBuiltin="1"/>
    <cellStyle name="Warnender Text" xfId="15" builtinId="11" customBuiltin="1"/>
    <cellStyle name="Zelle überprüfen" xfId="14" builtinId="23" customBuiltin="1"/>
  </cellStyles>
  <dxfs count="8">
    <dxf>
      <font>
        <b/>
      </font>
      <numFmt numFmtId="0" formatCode="General"/>
      <fill>
        <patternFill patternType="solid">
          <fgColor indexed="64"/>
          <bgColor theme="0" tint="-0.14999847407452621"/>
        </patternFill>
      </fill>
    </dxf>
    <dxf>
      <numFmt numFmtId="0" formatCode="General"/>
      <fill>
        <patternFill patternType="solid">
          <fgColor indexed="64"/>
          <bgColor theme="0" tint="-0.14999847407452621"/>
        </patternFill>
      </fill>
    </dxf>
    <dxf>
      <fill>
        <patternFill patternType="none">
          <fgColor indexed="64"/>
          <bgColor auto="1"/>
        </patternFill>
      </fill>
    </dxf>
    <dxf>
      <font>
        <b/>
      </font>
      <numFmt numFmtId="0" formatCode="General"/>
      <fill>
        <patternFill patternType="solid">
          <fgColor indexed="64"/>
          <bgColor theme="0" tint="-0.14999847407452621"/>
        </patternFill>
      </fill>
    </dxf>
    <dxf>
      <numFmt numFmtId="0" formatCode="General"/>
      <fill>
        <patternFill patternType="solid">
          <fgColor indexed="64"/>
          <bgColor theme="0" tint="-0.14999847407452621"/>
        </patternFill>
      </fill>
    </dxf>
    <dxf>
      <fill>
        <patternFill>
          <fgColor indexed="64"/>
          <bgColor theme="0" tint="-4.9989318521683403E-2"/>
        </patternFill>
      </fill>
    </dxf>
    <dxf>
      <alignment horizontal="center" vertical="center" textRotation="0" wrapText="1" indent="0" justifyLastLine="0" shrinkToFit="0" readingOrder="0"/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le1" displayName="Tabelle1" ref="A1:AC147" totalsRowShown="0" headerRowDxfId="6">
  <autoFilter ref="A1:AC147">
    <filterColumn colId="1">
      <filters>
        <filter val="True"/>
      </filters>
    </filterColumn>
  </autoFilter>
  <tableColumns count="29">
    <tableColumn id="1" name="PERSON"/>
    <tableColumn id="17" name="poi"/>
    <tableColumn id="22" name="from_poi_to_this_person"/>
    <tableColumn id="14" name="from_messages"/>
    <tableColumn id="3" name="to_messages"/>
    <tableColumn id="9" name="shared_receipt_with_poi"/>
    <tableColumn id="16" name="from_this_person_to_poi"/>
    <tableColumn id="21" name="email_address"/>
    <tableColumn id="30" name=" "/>
    <tableColumn id="2" name="salary"/>
    <tableColumn id="7" name="bonus"/>
    <tableColumn id="20" name="long_term_incentive"/>
    <tableColumn id="19" name="deferred_income"/>
    <tableColumn id="4" name="deferral_payments"/>
    <tableColumn id="13" name="loan_advances"/>
    <tableColumn id="15" name="other"/>
    <tableColumn id="12" name="expenses"/>
    <tableColumn id="18" name="director_fees"/>
    <tableColumn id="5" name="total_payments" dataDxfId="5"/>
    <tableColumn id="23" name="total_payments_calc" dataDxfId="4">
      <calculatedColumnFormula>IF(COUNT(Tabelle1[[#This Row],[salary]:[director_fees]])=0,"NaN",SUM(Tabelle1[[#This Row],[salary]:[director_fees]]))</calculatedColumnFormula>
    </tableColumn>
    <tableColumn id="28" name="total_payments_resolution" dataDxfId="3">
      <calculatedColumnFormula>IF(AND(Tabelle1[[#This Row],[total_payments_calc]]&lt;&gt;Tabelle1[[#This Row],[total_payments]]),IF(Tabelle1[[#This Row],[total_payments]]="NaN","recalculate total","one-off/hardcoded"),"")</calculatedColumnFormula>
    </tableColumn>
    <tableColumn id="29" name="  " dataDxfId="2"/>
    <tableColumn id="6" name="exercised_stock_options"/>
    <tableColumn id="8" name="restricted_stock"/>
    <tableColumn id="10" name="restricted_stock_deferred"/>
    <tableColumn id="11" name="total_stock_value"/>
    <tableColumn id="24" name="total_stock_value_calc" dataDxfId="1">
      <calculatedColumnFormula>IF(COUNT(Tabelle1[[#This Row],[exercised_stock_options]:[restricted_stock_deferred]])=0,"NaN",SUM(Tabelle1[[#This Row],[exercised_stock_options]:[restricted_stock_deferred]]))</calculatedColumnFormula>
    </tableColumn>
    <tableColumn id="31" name="total_stock_value_resolution" dataDxfId="0">
      <calculatedColumnFormula>IF(AND(Tabelle1[[#This Row],[total_stock_value_calc]]&lt;&gt;Tabelle1[[#This Row],[total_stock_value]]),IF(Tabelle1[[#This Row],[total_stock_value]]="NaN","recalculate total","one-off/hardcoded"),"")</calculatedColumnFormula>
    </tableColumn>
    <tableColumn id="32" name="   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150"/>
  <sheetViews>
    <sheetView showGridLines="0" tabSelected="1" zoomScale="70" zoomScaleNormal="70" workbookViewId="0">
      <pane xSplit="2" ySplit="1" topLeftCell="N2" activePane="bottomRight" state="frozen"/>
      <selection pane="topRight" activeCell="C1" sqref="C1"/>
      <selection pane="bottomLeft" activeCell="A2" sqref="A2"/>
      <selection pane="bottomRight" activeCell="O84" sqref="O84"/>
    </sheetView>
  </sheetViews>
  <sheetFormatPr baseColWidth="10" defaultRowHeight="14.4" outlineLevelCol="1" x14ac:dyDescent="0.3"/>
  <cols>
    <col min="1" max="1" width="29.33203125" customWidth="1"/>
    <col min="2" max="2" width="9" customWidth="1"/>
    <col min="3" max="5" width="11.5546875" hidden="1" customWidth="1" outlineLevel="1"/>
    <col min="6" max="6" width="13.6640625" hidden="1" customWidth="1" outlineLevel="1"/>
    <col min="7" max="8" width="11.5546875" hidden="1" customWidth="1" outlineLevel="1"/>
    <col min="9" max="9" width="3.6640625" customWidth="1" collapsed="1"/>
    <col min="10" max="11" width="11.5546875" customWidth="1" outlineLevel="1"/>
    <col min="12" max="12" width="16.109375" customWidth="1" outlineLevel="1"/>
    <col min="13" max="13" width="18.77734375" customWidth="1" outlineLevel="1"/>
    <col min="14" max="20" width="11.5546875" customWidth="1" outlineLevel="1"/>
    <col min="21" max="21" width="19.33203125" customWidth="1" outlineLevel="1"/>
    <col min="22" max="22" width="5.109375" style="18" customWidth="1"/>
    <col min="23" max="23" width="16.109375" style="14" customWidth="1" outlineLevel="1"/>
    <col min="24" max="25" width="16.109375" customWidth="1" outlineLevel="1"/>
    <col min="26" max="27" width="11.5546875" outlineLevel="1"/>
    <col min="28" max="28" width="22.33203125" customWidth="1" outlineLevel="1"/>
    <col min="29" max="29" width="5.33203125" style="14" customWidth="1"/>
    <col min="30" max="30" width="18.6640625" style="14" customWidth="1"/>
    <col min="31" max="31" width="3" style="14" customWidth="1"/>
    <col min="32" max="32" width="11.5546875" style="14"/>
    <col min="35" max="35" width="11.5546875" style="14"/>
    <col min="36" max="36" width="11.5546875" style="15"/>
  </cols>
  <sheetData>
    <row r="1" spans="1:36" s="4" customFormat="1" ht="56.4" customHeight="1" x14ac:dyDescent="0.3">
      <c r="A1" s="4" t="s">
        <v>0</v>
      </c>
      <c r="B1" s="4" t="s">
        <v>16</v>
      </c>
      <c r="C1" s="5" t="s">
        <v>21</v>
      </c>
      <c r="D1" s="5" t="s">
        <v>13</v>
      </c>
      <c r="E1" s="5" t="s">
        <v>2</v>
      </c>
      <c r="F1" s="5" t="s">
        <v>8</v>
      </c>
      <c r="G1" s="5" t="s">
        <v>15</v>
      </c>
      <c r="H1" s="5" t="s">
        <v>20</v>
      </c>
      <c r="I1" s="13" t="s">
        <v>287</v>
      </c>
      <c r="J1" s="6" t="s">
        <v>1</v>
      </c>
      <c r="K1" s="6" t="s">
        <v>6</v>
      </c>
      <c r="L1" s="6" t="s">
        <v>19</v>
      </c>
      <c r="M1" s="6" t="s">
        <v>18</v>
      </c>
      <c r="N1" s="6" t="s">
        <v>3</v>
      </c>
      <c r="O1" s="6" t="s">
        <v>12</v>
      </c>
      <c r="P1" s="6" t="s">
        <v>14</v>
      </c>
      <c r="Q1" s="6" t="s">
        <v>11</v>
      </c>
      <c r="R1" s="6" t="s">
        <v>17</v>
      </c>
      <c r="S1" s="7" t="s">
        <v>4</v>
      </c>
      <c r="T1" s="10" t="s">
        <v>285</v>
      </c>
      <c r="U1" s="17" t="s">
        <v>286</v>
      </c>
      <c r="V1" s="13" t="s">
        <v>288</v>
      </c>
      <c r="W1" s="8" t="s">
        <v>5</v>
      </c>
      <c r="X1" s="8" t="s">
        <v>7</v>
      </c>
      <c r="Y1" s="8" t="s">
        <v>9</v>
      </c>
      <c r="Z1" s="9" t="s">
        <v>10</v>
      </c>
      <c r="AA1" s="11" t="s">
        <v>284</v>
      </c>
      <c r="AB1" s="11" t="s">
        <v>289</v>
      </c>
      <c r="AC1" s="4" t="s">
        <v>290</v>
      </c>
    </row>
    <row r="2" spans="1:36" hidden="1" x14ac:dyDescent="0.3">
      <c r="A2" t="s">
        <v>22</v>
      </c>
      <c r="B2" t="s">
        <v>24</v>
      </c>
      <c r="C2">
        <v>38</v>
      </c>
      <c r="D2">
        <v>29</v>
      </c>
      <c r="E2">
        <v>807</v>
      </c>
      <c r="F2">
        <v>702</v>
      </c>
      <c r="G2">
        <v>1</v>
      </c>
      <c r="H2" t="s">
        <v>25</v>
      </c>
      <c r="J2">
        <v>365788</v>
      </c>
      <c r="K2">
        <v>600000</v>
      </c>
      <c r="L2" t="s">
        <v>23</v>
      </c>
      <c r="M2" t="s">
        <v>23</v>
      </c>
      <c r="N2" t="s">
        <v>23</v>
      </c>
      <c r="O2" t="s">
        <v>23</v>
      </c>
      <c r="P2">
        <v>1740</v>
      </c>
      <c r="Q2">
        <v>94299</v>
      </c>
      <c r="R2" t="s">
        <v>23</v>
      </c>
      <c r="S2" s="12">
        <v>1061827</v>
      </c>
      <c r="T2" s="1">
        <f>IF(COUNT(Tabelle1[[#This Row],[salary]:[director_fees]])=0,"NaN",SUM(Tabelle1[[#This Row],[salary]:[director_fees]]))</f>
        <v>1061827</v>
      </c>
      <c r="U2" s="3" t="str">
        <f>IF(AND(Tabelle1[[#This Row],[total_payments_calc]]&lt;&gt;Tabelle1[[#This Row],[total_payments]]),IF(Tabelle1[[#This Row],[total_payments]]="NaN","recalculate total","one-off/hardcoded"),"")</f>
        <v/>
      </c>
      <c r="V2" s="14"/>
      <c r="W2" t="s">
        <v>23</v>
      </c>
      <c r="X2">
        <v>585062</v>
      </c>
      <c r="Y2" t="s">
        <v>23</v>
      </c>
      <c r="Z2">
        <v>585062</v>
      </c>
      <c r="AA2" s="1">
        <f>IF(COUNT(Tabelle1[[#This Row],[exercised_stock_options]:[restricted_stock_deferred]])=0,"NaN",SUM(Tabelle1[[#This Row],[exercised_stock_options]:[restricted_stock_deferred]]))</f>
        <v>585062</v>
      </c>
      <c r="AB2" s="3" t="str">
        <f>IF(AND(Tabelle1[[#This Row],[total_stock_value_calc]]&lt;&gt;Tabelle1[[#This Row],[total_stock_value]]),IF(Tabelle1[[#This Row],[total_stock_value]]="NaN","recalculate total","one-off/hardcoded"),"")</f>
        <v/>
      </c>
      <c r="AC2"/>
      <c r="AD2"/>
      <c r="AE2"/>
      <c r="AF2"/>
      <c r="AI2"/>
      <c r="AJ2"/>
    </row>
    <row r="3" spans="1:36" hidden="1" x14ac:dyDescent="0.3">
      <c r="A3" t="s">
        <v>26</v>
      </c>
      <c r="B3" t="s">
        <v>24</v>
      </c>
      <c r="C3" t="s">
        <v>23</v>
      </c>
      <c r="D3" t="s">
        <v>23</v>
      </c>
      <c r="E3" t="s">
        <v>23</v>
      </c>
      <c r="F3" t="s">
        <v>23</v>
      </c>
      <c r="G3" t="s">
        <v>23</v>
      </c>
      <c r="H3" t="s">
        <v>23</v>
      </c>
      <c r="J3">
        <v>267102</v>
      </c>
      <c r="K3">
        <v>1200000</v>
      </c>
      <c r="L3">
        <v>1586055</v>
      </c>
      <c r="M3">
        <v>-1386055</v>
      </c>
      <c r="N3">
        <v>1295738</v>
      </c>
      <c r="O3" t="s">
        <v>23</v>
      </c>
      <c r="P3">
        <v>2660303</v>
      </c>
      <c r="Q3">
        <v>11200</v>
      </c>
      <c r="R3" t="s">
        <v>23</v>
      </c>
      <c r="S3" s="12">
        <v>5634343</v>
      </c>
      <c r="T3" s="1">
        <f>IF(COUNT(Tabelle1[[#This Row],[salary]:[director_fees]])=0,"NaN",SUM(Tabelle1[[#This Row],[salary]:[director_fees]]))</f>
        <v>5634343</v>
      </c>
      <c r="U3" s="3" t="str">
        <f>IF(AND(Tabelle1[[#This Row],[total_payments_calc]]&lt;&gt;Tabelle1[[#This Row],[total_payments]]),IF(Tabelle1[[#This Row],[total_payments]]="NaN","recalculate total","one-off/hardcoded"),"")</f>
        <v/>
      </c>
      <c r="V3" s="14"/>
      <c r="W3">
        <v>6680544</v>
      </c>
      <c r="X3">
        <v>3942714</v>
      </c>
      <c r="Y3" t="s">
        <v>23</v>
      </c>
      <c r="Z3">
        <v>10623258</v>
      </c>
      <c r="AA3" s="1">
        <f>IF(COUNT(Tabelle1[[#This Row],[exercised_stock_options]:[restricted_stock_deferred]])=0,"NaN",SUM(Tabelle1[[#This Row],[exercised_stock_options]:[restricted_stock_deferred]]))</f>
        <v>10623258</v>
      </c>
      <c r="AB3" s="3" t="str">
        <f>IF(AND(Tabelle1[[#This Row],[total_stock_value_calc]]&lt;&gt;Tabelle1[[#This Row],[total_stock_value]]),IF(Tabelle1[[#This Row],[total_stock_value]]="NaN","recalculate total","one-off/hardcoded"),"")</f>
        <v/>
      </c>
      <c r="AC3"/>
      <c r="AD3"/>
      <c r="AE3"/>
      <c r="AF3"/>
      <c r="AI3"/>
      <c r="AJ3"/>
    </row>
    <row r="4" spans="1:36" hidden="1" x14ac:dyDescent="0.3">
      <c r="A4" t="s">
        <v>27</v>
      </c>
      <c r="B4" t="s">
        <v>24</v>
      </c>
      <c r="C4" t="s">
        <v>23</v>
      </c>
      <c r="D4" t="s">
        <v>23</v>
      </c>
      <c r="E4" t="s">
        <v>23</v>
      </c>
      <c r="F4" t="s">
        <v>23</v>
      </c>
      <c r="G4" t="s">
        <v>23</v>
      </c>
      <c r="H4" t="s">
        <v>28</v>
      </c>
      <c r="J4">
        <v>170941</v>
      </c>
      <c r="K4">
        <v>350000</v>
      </c>
      <c r="L4" t="s">
        <v>23</v>
      </c>
      <c r="M4">
        <v>-400729</v>
      </c>
      <c r="N4" t="s">
        <v>23</v>
      </c>
      <c r="O4" t="s">
        <v>23</v>
      </c>
      <c r="P4">
        <v>12961</v>
      </c>
      <c r="Q4">
        <v>78552</v>
      </c>
      <c r="R4" t="s">
        <v>23</v>
      </c>
      <c r="S4" s="12">
        <v>211725</v>
      </c>
      <c r="T4" s="1">
        <f>IF(COUNT(Tabelle1[[#This Row],[salary]:[director_fees]])=0,"NaN",SUM(Tabelle1[[#This Row],[salary]:[director_fees]]))</f>
        <v>211725</v>
      </c>
      <c r="U4" s="3" t="str">
        <f>IF(AND(Tabelle1[[#This Row],[total_payments_calc]]&lt;&gt;Tabelle1[[#This Row],[total_payments]]),IF(Tabelle1[[#This Row],[total_payments]]="NaN","recalculate total","one-off/hardcoded"),"")</f>
        <v/>
      </c>
      <c r="V4" s="14"/>
      <c r="W4">
        <v>4890344</v>
      </c>
      <c r="X4">
        <v>1788391</v>
      </c>
      <c r="Y4" t="s">
        <v>23</v>
      </c>
      <c r="Z4">
        <v>6678735</v>
      </c>
      <c r="AA4" s="1">
        <f>IF(COUNT(Tabelle1[[#This Row],[exercised_stock_options]:[restricted_stock_deferred]])=0,"NaN",SUM(Tabelle1[[#This Row],[exercised_stock_options]:[restricted_stock_deferred]]))</f>
        <v>6678735</v>
      </c>
      <c r="AB4" s="3" t="str">
        <f>IF(AND(Tabelle1[[#This Row],[total_stock_value_calc]]&lt;&gt;Tabelle1[[#This Row],[total_stock_value]]),IF(Tabelle1[[#This Row],[total_stock_value]]="NaN","recalculate total","one-off/hardcoded"),"")</f>
        <v/>
      </c>
      <c r="AC4"/>
      <c r="AD4"/>
      <c r="AE4"/>
      <c r="AF4"/>
      <c r="AI4"/>
      <c r="AJ4"/>
    </row>
    <row r="5" spans="1:36" hidden="1" x14ac:dyDescent="0.3">
      <c r="A5" t="s">
        <v>29</v>
      </c>
      <c r="B5" t="s">
        <v>24</v>
      </c>
      <c r="C5">
        <v>10</v>
      </c>
      <c r="D5">
        <v>12</v>
      </c>
      <c r="E5">
        <v>764</v>
      </c>
      <c r="F5">
        <v>58</v>
      </c>
      <c r="G5">
        <v>0</v>
      </c>
      <c r="H5" t="s">
        <v>30</v>
      </c>
      <c r="J5" t="s">
        <v>23</v>
      </c>
      <c r="K5" t="s">
        <v>23</v>
      </c>
      <c r="L5" t="s">
        <v>23</v>
      </c>
      <c r="M5" t="s">
        <v>23</v>
      </c>
      <c r="N5" t="s">
        <v>23</v>
      </c>
      <c r="O5" t="s">
        <v>23</v>
      </c>
      <c r="P5" t="s">
        <v>23</v>
      </c>
      <c r="Q5" t="s">
        <v>23</v>
      </c>
      <c r="R5" t="s">
        <v>23</v>
      </c>
      <c r="S5" s="12" t="s">
        <v>23</v>
      </c>
      <c r="T5" s="1" t="str">
        <f>IF(COUNT(Tabelle1[[#This Row],[salary]:[director_fees]])=0,"NaN",SUM(Tabelle1[[#This Row],[salary]:[director_fees]]))</f>
        <v>NaN</v>
      </c>
      <c r="U5" s="3" t="str">
        <f>IF(AND(Tabelle1[[#This Row],[total_payments_calc]]&lt;&gt;Tabelle1[[#This Row],[total_payments]]),IF(Tabelle1[[#This Row],[total_payments]]="NaN","recalculate total","one-off/hardcoded"),"")</f>
        <v/>
      </c>
      <c r="V5" s="14"/>
      <c r="W5">
        <v>651850</v>
      </c>
      <c r="X5">
        <v>386335</v>
      </c>
      <c r="Y5" t="s">
        <v>23</v>
      </c>
      <c r="Z5" s="12">
        <v>1038185</v>
      </c>
      <c r="AA5" s="1">
        <f>IF(COUNT(Tabelle1[[#This Row],[exercised_stock_options]:[restricted_stock_deferred]])=0,"NaN",SUM(Tabelle1[[#This Row],[exercised_stock_options]:[restricted_stock_deferred]]))</f>
        <v>1038185</v>
      </c>
      <c r="AB5" s="3" t="str">
        <f>IF(AND(Tabelle1[[#This Row],[total_stock_value_calc]]&lt;&gt;Tabelle1[[#This Row],[total_stock_value]]),IF(Tabelle1[[#This Row],[total_stock_value]]="NaN","recalculate total","one-off/hardcoded"),"")</f>
        <v/>
      </c>
      <c r="AC5"/>
      <c r="AD5"/>
      <c r="AE5"/>
      <c r="AF5"/>
      <c r="AI5"/>
      <c r="AJ5"/>
    </row>
    <row r="6" spans="1:36" x14ac:dyDescent="0.3">
      <c r="A6" t="s">
        <v>31</v>
      </c>
      <c r="B6" t="s">
        <v>32</v>
      </c>
      <c r="C6">
        <v>32</v>
      </c>
      <c r="D6">
        <v>32</v>
      </c>
      <c r="E6">
        <v>1045</v>
      </c>
      <c r="F6">
        <v>1035</v>
      </c>
      <c r="G6">
        <v>21</v>
      </c>
      <c r="H6" t="s">
        <v>33</v>
      </c>
      <c r="J6">
        <v>243293</v>
      </c>
      <c r="K6">
        <v>1500000</v>
      </c>
      <c r="L6">
        <v>1617011</v>
      </c>
      <c r="M6">
        <v>-3117011</v>
      </c>
      <c r="N6" t="s">
        <v>23</v>
      </c>
      <c r="O6" t="s">
        <v>23</v>
      </c>
      <c r="P6">
        <v>11350</v>
      </c>
      <c r="Q6">
        <v>34039</v>
      </c>
      <c r="R6" t="s">
        <v>23</v>
      </c>
      <c r="S6" s="12">
        <v>288682</v>
      </c>
      <c r="T6" s="1">
        <f>IF(COUNT(Tabelle1[[#This Row],[salary]:[director_fees]])=0,"NaN",SUM(Tabelle1[[#This Row],[salary]:[director_fees]]))</f>
        <v>288682</v>
      </c>
      <c r="U6" s="3" t="str">
        <f>IF(AND(Tabelle1[[#This Row],[total_payments_calc]]&lt;&gt;Tabelle1[[#This Row],[total_payments]]),IF(Tabelle1[[#This Row],[total_payments]]="NaN","recalculate total","one-off/hardcoded"),"")</f>
        <v/>
      </c>
      <c r="V6" s="14"/>
      <c r="W6">
        <v>5538001</v>
      </c>
      <c r="X6">
        <v>853064</v>
      </c>
      <c r="Y6" t="s">
        <v>23</v>
      </c>
      <c r="Z6">
        <v>6391065</v>
      </c>
      <c r="AA6" s="1">
        <f>IF(COUNT(Tabelle1[[#This Row],[exercised_stock_options]:[restricted_stock_deferred]])=0,"NaN",SUM(Tabelle1[[#This Row],[exercised_stock_options]:[restricted_stock_deferred]]))</f>
        <v>6391065</v>
      </c>
      <c r="AB6" s="3" t="str">
        <f>IF(AND(Tabelle1[[#This Row],[total_stock_value_calc]]&lt;&gt;Tabelle1[[#This Row],[total_stock_value]]),IF(Tabelle1[[#This Row],[total_stock_value]]="NaN","recalculate total","one-off/hardcoded"),"")</f>
        <v/>
      </c>
      <c r="AC6"/>
      <c r="AD6"/>
      <c r="AE6"/>
      <c r="AF6"/>
      <c r="AI6"/>
      <c r="AJ6"/>
    </row>
    <row r="7" spans="1:36" hidden="1" x14ac:dyDescent="0.3">
      <c r="A7" t="s">
        <v>34</v>
      </c>
      <c r="B7" t="s">
        <v>24</v>
      </c>
      <c r="C7" t="s">
        <v>23</v>
      </c>
      <c r="D7" t="s">
        <v>23</v>
      </c>
      <c r="E7" t="s">
        <v>23</v>
      </c>
      <c r="F7" t="s">
        <v>23</v>
      </c>
      <c r="G7" t="s">
        <v>23</v>
      </c>
      <c r="H7" t="s">
        <v>35</v>
      </c>
      <c r="J7">
        <v>267093</v>
      </c>
      <c r="K7">
        <v>325000</v>
      </c>
      <c r="L7" t="s">
        <v>23</v>
      </c>
      <c r="M7" t="s">
        <v>23</v>
      </c>
      <c r="N7" t="s">
        <v>23</v>
      </c>
      <c r="O7" t="s">
        <v>23</v>
      </c>
      <c r="P7">
        <v>1411</v>
      </c>
      <c r="Q7">
        <v>35018</v>
      </c>
      <c r="R7" t="s">
        <v>23</v>
      </c>
      <c r="S7" s="12">
        <v>628522</v>
      </c>
      <c r="T7" s="1">
        <f>IF(COUNT(Tabelle1[[#This Row],[salary]:[director_fees]])=0,"NaN",SUM(Tabelle1[[#This Row],[salary]:[director_fees]]))</f>
        <v>628522</v>
      </c>
      <c r="U7" s="3" t="str">
        <f>IF(AND(Tabelle1[[#This Row],[total_payments_calc]]&lt;&gt;Tabelle1[[#This Row],[total_payments]]),IF(Tabelle1[[#This Row],[total_payments]]="NaN","recalculate total","one-off/hardcoded"),"")</f>
        <v/>
      </c>
      <c r="V7" s="14"/>
      <c r="W7" t="s">
        <v>23</v>
      </c>
      <c r="X7">
        <v>208510</v>
      </c>
      <c r="Y7" t="s">
        <v>23</v>
      </c>
      <c r="Z7">
        <v>208510</v>
      </c>
      <c r="AA7" s="1">
        <f>IF(COUNT(Tabelle1[[#This Row],[exercised_stock_options]:[restricted_stock_deferred]])=0,"NaN",SUM(Tabelle1[[#This Row],[exercised_stock_options]:[restricted_stock_deferred]]))</f>
        <v>208510</v>
      </c>
      <c r="AB7" s="3" t="str">
        <f>IF(AND(Tabelle1[[#This Row],[total_stock_value_calc]]&lt;&gt;Tabelle1[[#This Row],[total_stock_value]]),IF(Tabelle1[[#This Row],[total_stock_value]]="NaN","recalculate total","one-off/hardcoded"),"")</f>
        <v/>
      </c>
      <c r="AC7"/>
      <c r="AD7"/>
      <c r="AE7"/>
      <c r="AF7"/>
      <c r="AI7"/>
      <c r="AJ7"/>
    </row>
    <row r="8" spans="1:36" hidden="1" x14ac:dyDescent="0.3">
      <c r="A8" t="s">
        <v>36</v>
      </c>
      <c r="B8" t="s">
        <v>24</v>
      </c>
      <c r="C8">
        <v>0</v>
      </c>
      <c r="D8">
        <v>28</v>
      </c>
      <c r="E8">
        <v>232</v>
      </c>
      <c r="F8">
        <v>22</v>
      </c>
      <c r="G8">
        <v>0</v>
      </c>
      <c r="H8" t="s">
        <v>37</v>
      </c>
      <c r="J8" t="s">
        <v>23</v>
      </c>
      <c r="K8" t="s">
        <v>23</v>
      </c>
      <c r="L8" t="s">
        <v>23</v>
      </c>
      <c r="M8" t="s">
        <v>23</v>
      </c>
      <c r="N8">
        <v>1848227</v>
      </c>
      <c r="O8" t="s">
        <v>23</v>
      </c>
      <c r="P8" t="s">
        <v>23</v>
      </c>
      <c r="Q8" t="s">
        <v>23</v>
      </c>
      <c r="R8" t="s">
        <v>23</v>
      </c>
      <c r="S8" s="12">
        <v>1848227</v>
      </c>
      <c r="T8" s="1">
        <f>IF(COUNT(Tabelle1[[#This Row],[salary]:[director_fees]])=0,"NaN",SUM(Tabelle1[[#This Row],[salary]:[director_fees]]))</f>
        <v>1848227</v>
      </c>
      <c r="U8" s="3" t="str">
        <f>IF(AND(Tabelle1[[#This Row],[total_payments_calc]]&lt;&gt;Tabelle1[[#This Row],[total_payments]]),IF(Tabelle1[[#This Row],[total_payments]]="NaN","recalculate total","one-off/hardcoded"),"")</f>
        <v/>
      </c>
      <c r="V8" s="14"/>
      <c r="W8">
        <v>493489</v>
      </c>
      <c r="X8">
        <v>462384</v>
      </c>
      <c r="Y8" t="s">
        <v>23</v>
      </c>
      <c r="Z8">
        <v>955873</v>
      </c>
      <c r="AA8" s="1">
        <f>IF(COUNT(Tabelle1[[#This Row],[exercised_stock_options]:[restricted_stock_deferred]])=0,"NaN",SUM(Tabelle1[[#This Row],[exercised_stock_options]:[restricted_stock_deferred]]))</f>
        <v>955873</v>
      </c>
      <c r="AB8" s="3" t="str">
        <f>IF(AND(Tabelle1[[#This Row],[total_stock_value_calc]]&lt;&gt;Tabelle1[[#This Row],[total_stock_value]]),IF(Tabelle1[[#This Row],[total_stock_value]]="NaN","recalculate total","one-off/hardcoded"),"")</f>
        <v/>
      </c>
      <c r="AC8"/>
      <c r="AD8"/>
      <c r="AE8"/>
      <c r="AF8"/>
      <c r="AI8"/>
      <c r="AJ8"/>
    </row>
    <row r="9" spans="1:36" hidden="1" x14ac:dyDescent="0.3">
      <c r="A9" t="s">
        <v>38</v>
      </c>
      <c r="B9" t="s">
        <v>24</v>
      </c>
      <c r="C9">
        <v>58</v>
      </c>
      <c r="D9">
        <v>48</v>
      </c>
      <c r="E9">
        <v>2355</v>
      </c>
      <c r="F9">
        <v>2228</v>
      </c>
      <c r="G9">
        <v>26</v>
      </c>
      <c r="H9" t="s">
        <v>39</v>
      </c>
      <c r="J9">
        <v>370448</v>
      </c>
      <c r="K9">
        <v>2600000</v>
      </c>
      <c r="L9">
        <v>694862</v>
      </c>
      <c r="M9" t="s">
        <v>23</v>
      </c>
      <c r="N9" t="s">
        <v>23</v>
      </c>
      <c r="O9" t="s">
        <v>23</v>
      </c>
      <c r="P9">
        <v>297353</v>
      </c>
      <c r="Q9">
        <v>137108</v>
      </c>
      <c r="R9" t="s">
        <v>23</v>
      </c>
      <c r="S9" s="12">
        <v>4099771</v>
      </c>
      <c r="T9" s="1">
        <f>IF(COUNT(Tabelle1[[#This Row],[salary]:[director_fees]])=0,"NaN",SUM(Tabelle1[[#This Row],[salary]:[director_fees]]))</f>
        <v>4099771</v>
      </c>
      <c r="U9" s="3" t="str">
        <f>IF(AND(Tabelle1[[#This Row],[total_payments_calc]]&lt;&gt;Tabelle1[[#This Row],[total_payments]]),IF(Tabelle1[[#This Row],[total_payments]]="NaN","recalculate total","one-off/hardcoded"),"")</f>
        <v/>
      </c>
      <c r="V9" s="14"/>
      <c r="W9">
        <v>1104054</v>
      </c>
      <c r="X9">
        <v>558801</v>
      </c>
      <c r="Y9" t="s">
        <v>23</v>
      </c>
      <c r="Z9">
        <v>1662855</v>
      </c>
      <c r="AA9" s="1">
        <f>IF(COUNT(Tabelle1[[#This Row],[exercised_stock_options]:[restricted_stock_deferred]])=0,"NaN",SUM(Tabelle1[[#This Row],[exercised_stock_options]:[restricted_stock_deferred]]))</f>
        <v>1662855</v>
      </c>
      <c r="AB9" s="3" t="str">
        <f>IF(AND(Tabelle1[[#This Row],[total_stock_value_calc]]&lt;&gt;Tabelle1[[#This Row],[total_stock_value]]),IF(Tabelle1[[#This Row],[total_stock_value]]="NaN","recalculate total","one-off/hardcoded"),"")</f>
        <v/>
      </c>
      <c r="AC9"/>
      <c r="AD9"/>
      <c r="AE9"/>
      <c r="AF9"/>
      <c r="AI9"/>
      <c r="AJ9"/>
    </row>
    <row r="10" spans="1:36" hidden="1" x14ac:dyDescent="0.3">
      <c r="A10" t="s">
        <v>40</v>
      </c>
      <c r="B10" t="s">
        <v>24</v>
      </c>
      <c r="C10">
        <v>44</v>
      </c>
      <c r="D10">
        <v>1073</v>
      </c>
      <c r="E10">
        <v>2350</v>
      </c>
      <c r="F10">
        <v>1074</v>
      </c>
      <c r="G10">
        <v>15</v>
      </c>
      <c r="H10" t="s">
        <v>41</v>
      </c>
      <c r="J10" t="s">
        <v>23</v>
      </c>
      <c r="K10" t="s">
        <v>23</v>
      </c>
      <c r="L10" t="s">
        <v>23</v>
      </c>
      <c r="M10" t="s">
        <v>23</v>
      </c>
      <c r="N10">
        <v>3131860</v>
      </c>
      <c r="O10" t="s">
        <v>23</v>
      </c>
      <c r="P10" t="s">
        <v>23</v>
      </c>
      <c r="Q10" t="s">
        <v>23</v>
      </c>
      <c r="R10" t="s">
        <v>23</v>
      </c>
      <c r="S10" s="12">
        <v>3131860</v>
      </c>
      <c r="T10" s="1">
        <f>IF(COUNT(Tabelle1[[#This Row],[salary]:[director_fees]])=0,"NaN",SUM(Tabelle1[[#This Row],[salary]:[director_fees]]))</f>
        <v>3131860</v>
      </c>
      <c r="U10" s="3" t="str">
        <f>IF(AND(Tabelle1[[#This Row],[total_payments_calc]]&lt;&gt;Tabelle1[[#This Row],[total_payments]]),IF(Tabelle1[[#This Row],[total_payments]]="NaN","recalculate total","one-off/hardcoded"),"")</f>
        <v/>
      </c>
      <c r="V10" s="14"/>
      <c r="W10">
        <v>5210569</v>
      </c>
      <c r="X10">
        <v>2046079</v>
      </c>
      <c r="Y10" t="s">
        <v>23</v>
      </c>
      <c r="Z10">
        <v>7256648</v>
      </c>
      <c r="AA10" s="1">
        <f>IF(COUNT(Tabelle1[[#This Row],[exercised_stock_options]:[restricted_stock_deferred]])=0,"NaN",SUM(Tabelle1[[#This Row],[exercised_stock_options]:[restricted_stock_deferred]]))</f>
        <v>7256648</v>
      </c>
      <c r="AB10" s="3" t="str">
        <f>IF(AND(Tabelle1[[#This Row],[total_stock_value_calc]]&lt;&gt;Tabelle1[[#This Row],[total_stock_value]]),IF(Tabelle1[[#This Row],[total_stock_value]]="NaN","recalculate total","one-off/hardcoded"),"")</f>
        <v/>
      </c>
      <c r="AC10"/>
      <c r="AD10"/>
      <c r="AE10"/>
      <c r="AF10"/>
      <c r="AI10"/>
      <c r="AJ10"/>
    </row>
    <row r="11" spans="1:36" hidden="1" x14ac:dyDescent="0.3">
      <c r="A11" t="s">
        <v>42</v>
      </c>
      <c r="B11" t="s">
        <v>24</v>
      </c>
      <c r="C11">
        <v>61</v>
      </c>
      <c r="D11">
        <v>222</v>
      </c>
      <c r="E11">
        <v>1238</v>
      </c>
      <c r="F11">
        <v>742</v>
      </c>
      <c r="G11">
        <v>48</v>
      </c>
      <c r="H11" t="s">
        <v>43</v>
      </c>
      <c r="J11">
        <v>197091</v>
      </c>
      <c r="K11">
        <v>400000</v>
      </c>
      <c r="L11" t="s">
        <v>23</v>
      </c>
      <c r="M11">
        <v>-33333</v>
      </c>
      <c r="N11">
        <v>1130036</v>
      </c>
      <c r="O11" t="s">
        <v>23</v>
      </c>
      <c r="P11">
        <v>778</v>
      </c>
      <c r="Q11">
        <v>43057</v>
      </c>
      <c r="R11" t="s">
        <v>23</v>
      </c>
      <c r="S11" s="12">
        <v>1737629</v>
      </c>
      <c r="T11" s="1">
        <f>IF(COUNT(Tabelle1[[#This Row],[salary]:[director_fees]])=0,"NaN",SUM(Tabelle1[[#This Row],[salary]:[director_fees]]))</f>
        <v>1737629</v>
      </c>
      <c r="U11" s="3" t="str">
        <f>IF(AND(Tabelle1[[#This Row],[total_payments_calc]]&lt;&gt;Tabelle1[[#This Row],[total_payments]]),IF(Tabelle1[[#This Row],[total_payments]]="NaN","recalculate total","one-off/hardcoded"),"")</f>
        <v/>
      </c>
      <c r="V11" s="14"/>
      <c r="W11">
        <v>880290</v>
      </c>
      <c r="X11">
        <v>409554</v>
      </c>
      <c r="Y11">
        <v>-409554</v>
      </c>
      <c r="Z11">
        <v>880290</v>
      </c>
      <c r="AA11" s="1">
        <f>IF(COUNT(Tabelle1[[#This Row],[exercised_stock_options]:[restricted_stock_deferred]])=0,"NaN",SUM(Tabelle1[[#This Row],[exercised_stock_options]:[restricted_stock_deferred]]))</f>
        <v>880290</v>
      </c>
      <c r="AB11" s="3" t="str">
        <f>IF(AND(Tabelle1[[#This Row],[total_stock_value_calc]]&lt;&gt;Tabelle1[[#This Row],[total_stock_value]]),IF(Tabelle1[[#This Row],[total_stock_value]]="NaN","recalculate total","one-off/hardcoded"),"")</f>
        <v/>
      </c>
      <c r="AC11"/>
      <c r="AD11"/>
      <c r="AE11"/>
      <c r="AF11"/>
      <c r="AI11"/>
      <c r="AJ11"/>
    </row>
    <row r="12" spans="1:36" hidden="1" x14ac:dyDescent="0.3">
      <c r="A12" t="s">
        <v>44</v>
      </c>
      <c r="B12" t="s">
        <v>24</v>
      </c>
      <c r="C12">
        <v>10</v>
      </c>
      <c r="D12">
        <v>17</v>
      </c>
      <c r="E12">
        <v>128</v>
      </c>
      <c r="F12">
        <v>119</v>
      </c>
      <c r="G12">
        <v>17</v>
      </c>
      <c r="H12" t="s">
        <v>45</v>
      </c>
      <c r="J12">
        <v>130724</v>
      </c>
      <c r="K12" t="s">
        <v>23</v>
      </c>
      <c r="L12" t="s">
        <v>23</v>
      </c>
      <c r="M12" t="s">
        <v>23</v>
      </c>
      <c r="N12">
        <v>2964506</v>
      </c>
      <c r="O12" t="s">
        <v>23</v>
      </c>
      <c r="P12" t="s">
        <v>23</v>
      </c>
      <c r="Q12">
        <v>4994</v>
      </c>
      <c r="R12" t="s">
        <v>23</v>
      </c>
      <c r="S12" s="12">
        <v>3100224</v>
      </c>
      <c r="T12" s="1">
        <f>IF(COUNT(Tabelle1[[#This Row],[salary]:[director_fees]])=0,"NaN",SUM(Tabelle1[[#This Row],[salary]:[director_fees]]))</f>
        <v>3100224</v>
      </c>
      <c r="U12" s="3" t="str">
        <f>IF(AND(Tabelle1[[#This Row],[total_payments_calc]]&lt;&gt;Tabelle1[[#This Row],[total_payments]]),IF(Tabelle1[[#This Row],[total_payments]]="NaN","recalculate total","one-off/hardcoded"),"")</f>
        <v/>
      </c>
      <c r="V12" s="14"/>
      <c r="W12">
        <v>2282768</v>
      </c>
      <c r="X12" t="s">
        <v>23</v>
      </c>
      <c r="Y12" t="s">
        <v>23</v>
      </c>
      <c r="Z12">
        <v>2282768</v>
      </c>
      <c r="AA12" s="1">
        <f>IF(COUNT(Tabelle1[[#This Row],[exercised_stock_options]:[restricted_stock_deferred]])=0,"NaN",SUM(Tabelle1[[#This Row],[exercised_stock_options]:[restricted_stock_deferred]]))</f>
        <v>2282768</v>
      </c>
      <c r="AB12" s="3" t="str">
        <f>IF(AND(Tabelle1[[#This Row],[total_stock_value_calc]]&lt;&gt;Tabelle1[[#This Row],[total_stock_value]]),IF(Tabelle1[[#This Row],[total_stock_value]]="NaN","recalculate total","one-off/hardcoded"),"")</f>
        <v/>
      </c>
      <c r="AC12"/>
      <c r="AD12"/>
      <c r="AE12"/>
      <c r="AF12"/>
      <c r="AI12"/>
      <c r="AJ12"/>
    </row>
    <row r="13" spans="1:36" hidden="1" x14ac:dyDescent="0.3">
      <c r="A13" t="s">
        <v>46</v>
      </c>
      <c r="B13" t="s">
        <v>24</v>
      </c>
      <c r="C13">
        <v>12</v>
      </c>
      <c r="D13">
        <v>18</v>
      </c>
      <c r="E13">
        <v>111</v>
      </c>
      <c r="F13">
        <v>41</v>
      </c>
      <c r="G13">
        <v>0</v>
      </c>
      <c r="H13" t="s">
        <v>47</v>
      </c>
      <c r="J13">
        <v>288589</v>
      </c>
      <c r="K13">
        <v>788750</v>
      </c>
      <c r="L13" t="s">
        <v>23</v>
      </c>
      <c r="M13" t="s">
        <v>23</v>
      </c>
      <c r="N13" t="s">
        <v>23</v>
      </c>
      <c r="O13" t="s">
        <v>23</v>
      </c>
      <c r="P13" t="s">
        <v>23</v>
      </c>
      <c r="Q13">
        <v>53122</v>
      </c>
      <c r="R13" t="s">
        <v>23</v>
      </c>
      <c r="S13" s="12">
        <v>1130461</v>
      </c>
      <c r="T13" s="1">
        <f>IF(COUNT(Tabelle1[[#This Row],[salary]:[director_fees]])=0,"NaN",SUM(Tabelle1[[#This Row],[salary]:[director_fees]]))</f>
        <v>1130461</v>
      </c>
      <c r="U13" s="3" t="str">
        <f>IF(AND(Tabelle1[[#This Row],[total_payments_calc]]&lt;&gt;Tabelle1[[#This Row],[total_payments]]),IF(Tabelle1[[#This Row],[total_payments]]="NaN","recalculate total","one-off/hardcoded"),"")</f>
        <v/>
      </c>
      <c r="V13" s="14"/>
      <c r="W13" t="s">
        <v>23</v>
      </c>
      <c r="X13" t="s">
        <v>23</v>
      </c>
      <c r="Y13" t="s">
        <v>23</v>
      </c>
      <c r="Z13" t="s">
        <v>23</v>
      </c>
      <c r="AA13" s="1" t="str">
        <f>IF(COUNT(Tabelle1[[#This Row],[exercised_stock_options]:[restricted_stock_deferred]])=0,"NaN",SUM(Tabelle1[[#This Row],[exercised_stock_options]:[restricted_stock_deferred]]))</f>
        <v>NaN</v>
      </c>
      <c r="AB13" s="3" t="str">
        <f>IF(AND(Tabelle1[[#This Row],[total_stock_value_calc]]&lt;&gt;Tabelle1[[#This Row],[total_stock_value]]),IF(Tabelle1[[#This Row],[total_stock_value]]="NaN","recalculate total","one-off/hardcoded"),"")</f>
        <v/>
      </c>
      <c r="AC13"/>
      <c r="AD13"/>
      <c r="AE13"/>
      <c r="AF13"/>
      <c r="AI13"/>
      <c r="AJ13"/>
    </row>
    <row r="14" spans="1:36" hidden="1" x14ac:dyDescent="0.3">
      <c r="A14" t="s">
        <v>48</v>
      </c>
      <c r="B14" t="s">
        <v>24</v>
      </c>
      <c r="C14">
        <v>25</v>
      </c>
      <c r="D14">
        <v>14</v>
      </c>
      <c r="E14">
        <v>2475</v>
      </c>
      <c r="F14">
        <v>2326</v>
      </c>
      <c r="G14">
        <v>2</v>
      </c>
      <c r="H14" t="s">
        <v>49</v>
      </c>
      <c r="J14">
        <v>248546</v>
      </c>
      <c r="K14">
        <v>850000</v>
      </c>
      <c r="L14">
        <v>831809</v>
      </c>
      <c r="M14" t="s">
        <v>23</v>
      </c>
      <c r="N14" t="s">
        <v>23</v>
      </c>
      <c r="O14" t="s">
        <v>23</v>
      </c>
      <c r="P14">
        <v>272</v>
      </c>
      <c r="Q14">
        <v>84208</v>
      </c>
      <c r="R14" t="s">
        <v>23</v>
      </c>
      <c r="S14" s="12">
        <v>2014835</v>
      </c>
      <c r="T14" s="1">
        <f>IF(COUNT(Tabelle1[[#This Row],[salary]:[director_fees]])=0,"NaN",SUM(Tabelle1[[#This Row],[salary]:[director_fees]]))</f>
        <v>2014835</v>
      </c>
      <c r="U14" s="3" t="str">
        <f>IF(AND(Tabelle1[[#This Row],[total_payments_calc]]&lt;&gt;Tabelle1[[#This Row],[total_payments]]),IF(Tabelle1[[#This Row],[total_payments]]="NaN","recalculate total","one-off/hardcoded"),"")</f>
        <v/>
      </c>
      <c r="V14" s="14"/>
      <c r="W14">
        <v>765313</v>
      </c>
      <c r="X14">
        <v>189041</v>
      </c>
      <c r="Y14" t="s">
        <v>23</v>
      </c>
      <c r="Z14">
        <v>954354</v>
      </c>
      <c r="AA14" s="1">
        <f>IF(COUNT(Tabelle1[[#This Row],[exercised_stock_options]:[restricted_stock_deferred]])=0,"NaN",SUM(Tabelle1[[#This Row],[exercised_stock_options]:[restricted_stock_deferred]]))</f>
        <v>954354</v>
      </c>
      <c r="AB14" s="3" t="str">
        <f>IF(AND(Tabelle1[[#This Row],[total_stock_value_calc]]&lt;&gt;Tabelle1[[#This Row],[total_stock_value]]),IF(Tabelle1[[#This Row],[total_stock_value]]="NaN","recalculate total","one-off/hardcoded"),"")</f>
        <v/>
      </c>
      <c r="AC14"/>
      <c r="AD14"/>
      <c r="AE14"/>
      <c r="AF14"/>
      <c r="AI14"/>
      <c r="AJ14"/>
    </row>
    <row r="15" spans="1:36" hidden="1" x14ac:dyDescent="0.3">
      <c r="A15" t="s">
        <v>50</v>
      </c>
      <c r="B15" t="s">
        <v>24</v>
      </c>
      <c r="C15">
        <v>37</v>
      </c>
      <c r="D15">
        <v>38</v>
      </c>
      <c r="E15">
        <v>2647</v>
      </c>
      <c r="F15">
        <v>2565</v>
      </c>
      <c r="G15">
        <v>13</v>
      </c>
      <c r="H15" t="s">
        <v>51</v>
      </c>
      <c r="J15">
        <v>257486</v>
      </c>
      <c r="K15">
        <v>700000</v>
      </c>
      <c r="L15">
        <v>476451</v>
      </c>
      <c r="M15" t="s">
        <v>23</v>
      </c>
      <c r="N15" t="s">
        <v>23</v>
      </c>
      <c r="O15" t="s">
        <v>23</v>
      </c>
      <c r="P15">
        <v>111122</v>
      </c>
      <c r="Q15" t="s">
        <v>23</v>
      </c>
      <c r="R15" t="s">
        <v>23</v>
      </c>
      <c r="S15" s="12">
        <v>1545059</v>
      </c>
      <c r="T15" s="1">
        <f>IF(COUNT(Tabelle1[[#This Row],[salary]:[director_fees]])=0,"NaN",SUM(Tabelle1[[#This Row],[salary]:[director_fees]]))</f>
        <v>1545059</v>
      </c>
      <c r="U15" s="3" t="str">
        <f>IF(AND(Tabelle1[[#This Row],[total_payments_calc]]&lt;&gt;Tabelle1[[#This Row],[total_payments]]),IF(Tabelle1[[#This Row],[total_payments]]="NaN","recalculate total","one-off/hardcoded"),"")</f>
        <v/>
      </c>
      <c r="V15" s="14"/>
      <c r="W15" t="s">
        <v>23</v>
      </c>
      <c r="X15">
        <v>698920</v>
      </c>
      <c r="Y15" t="s">
        <v>23</v>
      </c>
      <c r="Z15">
        <v>698920</v>
      </c>
      <c r="AA15" s="1">
        <f>IF(COUNT(Tabelle1[[#This Row],[exercised_stock_options]:[restricted_stock_deferred]])=0,"NaN",SUM(Tabelle1[[#This Row],[exercised_stock_options]:[restricted_stock_deferred]]))</f>
        <v>698920</v>
      </c>
      <c r="AB15" s="3" t="str">
        <f>IF(AND(Tabelle1[[#This Row],[total_stock_value_calc]]&lt;&gt;Tabelle1[[#This Row],[total_stock_value]]),IF(Tabelle1[[#This Row],[total_stock_value]]="NaN","recalculate total","one-off/hardcoded"),"")</f>
        <v/>
      </c>
      <c r="AC15"/>
      <c r="AD15"/>
      <c r="AE15"/>
      <c r="AF15"/>
      <c r="AI15"/>
      <c r="AJ15"/>
    </row>
    <row r="16" spans="1:36" hidden="1" x14ac:dyDescent="0.3">
      <c r="A16" t="s">
        <v>52</v>
      </c>
      <c r="B16" t="s">
        <v>24</v>
      </c>
      <c r="C16">
        <v>0</v>
      </c>
      <c r="D16">
        <v>12</v>
      </c>
      <c r="E16">
        <v>169</v>
      </c>
      <c r="F16">
        <v>23</v>
      </c>
      <c r="G16">
        <v>0</v>
      </c>
      <c r="H16" t="s">
        <v>53</v>
      </c>
      <c r="J16" t="s">
        <v>23</v>
      </c>
      <c r="K16" t="s">
        <v>23</v>
      </c>
      <c r="L16">
        <v>461912</v>
      </c>
      <c r="M16" t="s">
        <v>23</v>
      </c>
      <c r="N16">
        <v>504610</v>
      </c>
      <c r="O16" t="s">
        <v>23</v>
      </c>
      <c r="P16" t="s">
        <v>23</v>
      </c>
      <c r="Q16" t="s">
        <v>23</v>
      </c>
      <c r="R16" t="s">
        <v>23</v>
      </c>
      <c r="S16" s="12">
        <v>966522</v>
      </c>
      <c r="T16" s="1">
        <f>IF(COUNT(Tabelle1[[#This Row],[salary]:[director_fees]])=0,"NaN",SUM(Tabelle1[[#This Row],[salary]:[director_fees]]))</f>
        <v>966522</v>
      </c>
      <c r="U16" s="3" t="str">
        <f>IF(AND(Tabelle1[[#This Row],[total_payments_calc]]&lt;&gt;Tabelle1[[#This Row],[total_payments]]),IF(Tabelle1[[#This Row],[total_payments]]="NaN","recalculate total","one-off/hardcoded"),"")</f>
        <v/>
      </c>
      <c r="V16" s="14"/>
      <c r="W16">
        <v>2218275</v>
      </c>
      <c r="X16" t="s">
        <v>23</v>
      </c>
      <c r="Y16" t="s">
        <v>23</v>
      </c>
      <c r="Z16">
        <v>2218275</v>
      </c>
      <c r="AA16" s="1">
        <f>IF(COUNT(Tabelle1[[#This Row],[exercised_stock_options]:[restricted_stock_deferred]])=0,"NaN",SUM(Tabelle1[[#This Row],[exercised_stock_options]:[restricted_stock_deferred]]))</f>
        <v>2218275</v>
      </c>
      <c r="AB16" s="3" t="str">
        <f>IF(AND(Tabelle1[[#This Row],[total_stock_value_calc]]&lt;&gt;Tabelle1[[#This Row],[total_stock_value]]),IF(Tabelle1[[#This Row],[total_stock_value]]="NaN","recalculate total","one-off/hardcoded"),"")</f>
        <v/>
      </c>
      <c r="AC16"/>
      <c r="AD16"/>
      <c r="AE16"/>
      <c r="AF16"/>
      <c r="AI16"/>
      <c r="AJ16"/>
    </row>
    <row r="17" spans="1:36" hidden="1" x14ac:dyDescent="0.3">
      <c r="A17" t="s">
        <v>54</v>
      </c>
      <c r="B17" t="s">
        <v>24</v>
      </c>
      <c r="C17" t="s">
        <v>23</v>
      </c>
      <c r="D17" t="s">
        <v>23</v>
      </c>
      <c r="E17" t="s">
        <v>23</v>
      </c>
      <c r="F17" t="s">
        <v>23</v>
      </c>
      <c r="G17" t="s">
        <v>23</v>
      </c>
      <c r="H17" t="s">
        <v>23</v>
      </c>
      <c r="J17" t="s">
        <v>23</v>
      </c>
      <c r="K17" t="s">
        <v>23</v>
      </c>
      <c r="L17" t="s">
        <v>23</v>
      </c>
      <c r="M17" t="s">
        <v>23</v>
      </c>
      <c r="N17" t="s">
        <v>23</v>
      </c>
      <c r="O17" t="s">
        <v>23</v>
      </c>
      <c r="P17" t="s">
        <v>23</v>
      </c>
      <c r="Q17" t="s">
        <v>23</v>
      </c>
      <c r="R17" t="s">
        <v>23</v>
      </c>
      <c r="S17" s="12" t="s">
        <v>23</v>
      </c>
      <c r="T17" s="1" t="str">
        <f>IF(COUNT(Tabelle1[[#This Row],[salary]:[director_fees]])=0,"NaN",SUM(Tabelle1[[#This Row],[salary]:[director_fees]]))</f>
        <v>NaN</v>
      </c>
      <c r="U17" s="3" t="str">
        <f>IF(AND(Tabelle1[[#This Row],[total_payments_calc]]&lt;&gt;Tabelle1[[#This Row],[total_payments]]),IF(Tabelle1[[#This Row],[total_payments]]="NaN","recalculate total","one-off/hardcoded"),"")</f>
        <v/>
      </c>
      <c r="V17" s="14"/>
      <c r="W17">
        <v>372205</v>
      </c>
      <c r="X17">
        <v>153686</v>
      </c>
      <c r="Y17">
        <v>-153686</v>
      </c>
      <c r="Z17" s="12">
        <v>372205</v>
      </c>
      <c r="AA17" s="1">
        <f>IF(COUNT(Tabelle1[[#This Row],[exercised_stock_options]:[restricted_stock_deferred]])=0,"NaN",SUM(Tabelle1[[#This Row],[exercised_stock_options]:[restricted_stock_deferred]]))</f>
        <v>372205</v>
      </c>
      <c r="AB17" s="3" t="str">
        <f>IF(AND(Tabelle1[[#This Row],[total_stock_value_calc]]&lt;&gt;Tabelle1[[#This Row],[total_stock_value]]),IF(Tabelle1[[#This Row],[total_stock_value]]="NaN","recalculate total","one-off/hardcoded"),"")</f>
        <v/>
      </c>
      <c r="AC17"/>
      <c r="AD17"/>
      <c r="AE17"/>
      <c r="AF17"/>
      <c r="AI17"/>
      <c r="AJ17"/>
    </row>
    <row r="18" spans="1:36" x14ac:dyDescent="0.3">
      <c r="A18" t="s">
        <v>55</v>
      </c>
      <c r="B18" t="s">
        <v>32</v>
      </c>
      <c r="C18">
        <v>240</v>
      </c>
      <c r="D18">
        <v>40</v>
      </c>
      <c r="E18">
        <v>1758</v>
      </c>
      <c r="F18">
        <v>1132</v>
      </c>
      <c r="G18">
        <v>11</v>
      </c>
      <c r="H18" t="s">
        <v>56</v>
      </c>
      <c r="J18">
        <v>288542</v>
      </c>
      <c r="K18">
        <v>1200000</v>
      </c>
      <c r="L18" t="s">
        <v>23</v>
      </c>
      <c r="M18">
        <v>-144062</v>
      </c>
      <c r="N18">
        <v>27610</v>
      </c>
      <c r="O18" t="s">
        <v>23</v>
      </c>
      <c r="P18">
        <v>101740</v>
      </c>
      <c r="Q18">
        <v>16514</v>
      </c>
      <c r="R18" t="s">
        <v>23</v>
      </c>
      <c r="S18" s="12">
        <v>1490344</v>
      </c>
      <c r="T18" s="1">
        <f>IF(COUNT(Tabelle1[[#This Row],[salary]:[director_fees]])=0,"NaN",SUM(Tabelle1[[#This Row],[salary]:[director_fees]]))</f>
        <v>1490344</v>
      </c>
      <c r="U18" s="3" t="str">
        <f>IF(AND(Tabelle1[[#This Row],[total_payments_calc]]&lt;&gt;Tabelle1[[#This Row],[total_payments]]),IF(Tabelle1[[#This Row],[total_payments]]="NaN","recalculate total","one-off/hardcoded"),"")</f>
        <v/>
      </c>
      <c r="V18" s="14"/>
      <c r="W18" t="s">
        <v>23</v>
      </c>
      <c r="X18">
        <v>698242</v>
      </c>
      <c r="Y18" t="s">
        <v>23</v>
      </c>
      <c r="Z18">
        <v>698242</v>
      </c>
      <c r="AA18" s="1">
        <f>IF(COUNT(Tabelle1[[#This Row],[exercised_stock_options]:[restricted_stock_deferred]])=0,"NaN",SUM(Tabelle1[[#This Row],[exercised_stock_options]:[restricted_stock_deferred]]))</f>
        <v>698242</v>
      </c>
      <c r="AB18" s="3" t="str">
        <f>IF(AND(Tabelle1[[#This Row],[total_stock_value_calc]]&lt;&gt;Tabelle1[[#This Row],[total_stock_value]]),IF(Tabelle1[[#This Row],[total_stock_value]]="NaN","recalculate total","one-off/hardcoded"),"")</f>
        <v/>
      </c>
      <c r="AC18"/>
      <c r="AD18"/>
      <c r="AE18"/>
      <c r="AF18"/>
      <c r="AI18"/>
      <c r="AJ18"/>
    </row>
    <row r="19" spans="1:36" hidden="1" x14ac:dyDescent="0.3">
      <c r="A19" t="s">
        <v>57</v>
      </c>
      <c r="B19" t="s">
        <v>24</v>
      </c>
      <c r="C19">
        <v>12</v>
      </c>
      <c r="D19">
        <v>16</v>
      </c>
      <c r="E19">
        <v>136</v>
      </c>
      <c r="F19">
        <v>114</v>
      </c>
      <c r="G19">
        <v>0</v>
      </c>
      <c r="H19" t="s">
        <v>58</v>
      </c>
      <c r="J19">
        <v>251654</v>
      </c>
      <c r="K19">
        <v>1100000</v>
      </c>
      <c r="L19">
        <v>1725545</v>
      </c>
      <c r="M19">
        <v>-719000</v>
      </c>
      <c r="N19">
        <v>842924</v>
      </c>
      <c r="O19" t="s">
        <v>23</v>
      </c>
      <c r="P19">
        <v>947</v>
      </c>
      <c r="Q19" t="s">
        <v>23</v>
      </c>
      <c r="R19" t="s">
        <v>23</v>
      </c>
      <c r="S19" s="12">
        <v>3202070</v>
      </c>
      <c r="T19" s="1">
        <f>IF(COUNT(Tabelle1[[#This Row],[salary]:[director_fees]])=0,"NaN",SUM(Tabelle1[[#This Row],[salary]:[director_fees]]))</f>
        <v>3202070</v>
      </c>
      <c r="U19" s="3" t="str">
        <f>IF(AND(Tabelle1[[#This Row],[total_payments_calc]]&lt;&gt;Tabelle1[[#This Row],[total_payments]]),IF(Tabelle1[[#This Row],[total_payments]]="NaN","recalculate total","one-off/hardcoded"),"")</f>
        <v/>
      </c>
      <c r="V19" s="14"/>
      <c r="W19">
        <v>1056320</v>
      </c>
      <c r="X19">
        <v>360528</v>
      </c>
      <c r="Y19" t="s">
        <v>23</v>
      </c>
      <c r="Z19">
        <v>1416848</v>
      </c>
      <c r="AA19" s="1">
        <f>IF(COUNT(Tabelle1[[#This Row],[exercised_stock_options]:[restricted_stock_deferred]])=0,"NaN",SUM(Tabelle1[[#This Row],[exercised_stock_options]:[restricted_stock_deferred]]))</f>
        <v>1416848</v>
      </c>
      <c r="AB19" s="3" t="str">
        <f>IF(AND(Tabelle1[[#This Row],[total_stock_value_calc]]&lt;&gt;Tabelle1[[#This Row],[total_stock_value]]),IF(Tabelle1[[#This Row],[total_stock_value]]="NaN","recalculate total","one-off/hardcoded"),"")</f>
        <v/>
      </c>
      <c r="AC19"/>
      <c r="AD19"/>
      <c r="AE19"/>
      <c r="AF19"/>
      <c r="AI19"/>
      <c r="AJ19"/>
    </row>
    <row r="20" spans="1:36" hidden="1" x14ac:dyDescent="0.3">
      <c r="A20" t="s">
        <v>59</v>
      </c>
      <c r="B20" t="s">
        <v>24</v>
      </c>
      <c r="C20">
        <v>25</v>
      </c>
      <c r="D20">
        <v>56</v>
      </c>
      <c r="E20">
        <v>258</v>
      </c>
      <c r="F20">
        <v>117</v>
      </c>
      <c r="G20">
        <v>19</v>
      </c>
      <c r="H20" t="s">
        <v>60</v>
      </c>
      <c r="J20">
        <v>288558</v>
      </c>
      <c r="K20">
        <v>250000</v>
      </c>
      <c r="L20" t="s">
        <v>23</v>
      </c>
      <c r="M20" t="s">
        <v>23</v>
      </c>
      <c r="N20" t="s">
        <v>23</v>
      </c>
      <c r="O20" t="s">
        <v>23</v>
      </c>
      <c r="P20">
        <v>2435</v>
      </c>
      <c r="Q20">
        <v>10181</v>
      </c>
      <c r="R20" t="s">
        <v>23</v>
      </c>
      <c r="S20" s="12">
        <v>551174</v>
      </c>
      <c r="T20" s="1">
        <f>IF(COUNT(Tabelle1[[#This Row],[salary]:[director_fees]])=0,"NaN",SUM(Tabelle1[[#This Row],[salary]:[director_fees]]))</f>
        <v>551174</v>
      </c>
      <c r="U20" s="3" t="str">
        <f>IF(AND(Tabelle1[[#This Row],[total_payments_calc]]&lt;&gt;Tabelle1[[#This Row],[total_payments]]),IF(Tabelle1[[#This Row],[total_payments]]="NaN","recalculate total","one-off/hardcoded"),"")</f>
        <v/>
      </c>
      <c r="V20" s="14"/>
      <c r="W20">
        <v>185063</v>
      </c>
      <c r="X20">
        <v>540672</v>
      </c>
      <c r="Y20" t="s">
        <v>23</v>
      </c>
      <c r="Z20">
        <v>725735</v>
      </c>
      <c r="AA20" s="1">
        <f>IF(COUNT(Tabelle1[[#This Row],[exercised_stock_options]:[restricted_stock_deferred]])=0,"NaN",SUM(Tabelle1[[#This Row],[exercised_stock_options]:[restricted_stock_deferred]]))</f>
        <v>725735</v>
      </c>
      <c r="AB20" s="3" t="str">
        <f>IF(AND(Tabelle1[[#This Row],[total_stock_value_calc]]&lt;&gt;Tabelle1[[#This Row],[total_stock_value]]),IF(Tabelle1[[#This Row],[total_stock_value]]="NaN","recalculate total","one-off/hardcoded"),"")</f>
        <v/>
      </c>
      <c r="AC20"/>
      <c r="AD20"/>
      <c r="AE20"/>
      <c r="AF20"/>
      <c r="AI20"/>
      <c r="AJ20"/>
    </row>
    <row r="21" spans="1:36" hidden="1" x14ac:dyDescent="0.3">
      <c r="A21" t="s">
        <v>61</v>
      </c>
      <c r="B21" t="s">
        <v>24</v>
      </c>
      <c r="C21" t="s">
        <v>23</v>
      </c>
      <c r="D21" t="s">
        <v>23</v>
      </c>
      <c r="E21" t="s">
        <v>23</v>
      </c>
      <c r="F21" t="s">
        <v>23</v>
      </c>
      <c r="G21" t="s">
        <v>23</v>
      </c>
      <c r="H21" t="s">
        <v>62</v>
      </c>
      <c r="J21">
        <v>63744</v>
      </c>
      <c r="K21" t="s">
        <v>23</v>
      </c>
      <c r="L21">
        <v>256191</v>
      </c>
      <c r="M21">
        <v>-10800</v>
      </c>
      <c r="N21" t="s">
        <v>23</v>
      </c>
      <c r="O21" t="s">
        <v>23</v>
      </c>
      <c r="P21">
        <v>401130</v>
      </c>
      <c r="Q21">
        <v>51870</v>
      </c>
      <c r="R21" t="s">
        <v>23</v>
      </c>
      <c r="S21" s="12">
        <v>762135</v>
      </c>
      <c r="T21" s="1">
        <f>IF(COUNT(Tabelle1[[#This Row],[salary]:[director_fees]])=0,"NaN",SUM(Tabelle1[[#This Row],[salary]:[director_fees]]))</f>
        <v>762135</v>
      </c>
      <c r="U21" s="3" t="str">
        <f>IF(AND(Tabelle1[[#This Row],[total_payments_calc]]&lt;&gt;Tabelle1[[#This Row],[total_payments]]),IF(Tabelle1[[#This Row],[total_payments]]="NaN","recalculate total","one-off/hardcoded"),"")</f>
        <v/>
      </c>
      <c r="V21" s="14"/>
      <c r="W21" t="s">
        <v>23</v>
      </c>
      <c r="X21">
        <v>384930</v>
      </c>
      <c r="Y21" t="s">
        <v>23</v>
      </c>
      <c r="Z21">
        <v>384930</v>
      </c>
      <c r="AA21" s="1">
        <f>IF(COUNT(Tabelle1[[#This Row],[exercised_stock_options]:[restricted_stock_deferred]])=0,"NaN",SUM(Tabelle1[[#This Row],[exercised_stock_options]:[restricted_stock_deferred]]))</f>
        <v>384930</v>
      </c>
      <c r="AB21" s="3" t="str">
        <f>IF(AND(Tabelle1[[#This Row],[total_stock_value_calc]]&lt;&gt;Tabelle1[[#This Row],[total_stock_value]]),IF(Tabelle1[[#This Row],[total_stock_value]]="NaN","recalculate total","one-off/hardcoded"),"")</f>
        <v/>
      </c>
      <c r="AC21"/>
      <c r="AD21"/>
      <c r="AE21"/>
      <c r="AF21"/>
      <c r="AI21"/>
      <c r="AJ21"/>
    </row>
    <row r="22" spans="1:36" hidden="1" x14ac:dyDescent="0.3">
      <c r="A22" t="s">
        <v>63</v>
      </c>
      <c r="B22" t="s">
        <v>24</v>
      </c>
      <c r="C22" t="s">
        <v>23</v>
      </c>
      <c r="D22" t="s">
        <v>23</v>
      </c>
      <c r="E22" t="s">
        <v>23</v>
      </c>
      <c r="F22" t="s">
        <v>23</v>
      </c>
      <c r="G22" t="s">
        <v>23</v>
      </c>
      <c r="H22" t="s">
        <v>23</v>
      </c>
      <c r="J22" t="s">
        <v>23</v>
      </c>
      <c r="K22" t="s">
        <v>23</v>
      </c>
      <c r="L22" t="s">
        <v>23</v>
      </c>
      <c r="M22" t="s">
        <v>23</v>
      </c>
      <c r="N22">
        <v>53625</v>
      </c>
      <c r="O22" t="s">
        <v>23</v>
      </c>
      <c r="P22" t="s">
        <v>23</v>
      </c>
      <c r="Q22">
        <v>33785</v>
      </c>
      <c r="R22" t="s">
        <v>23</v>
      </c>
      <c r="S22" s="12">
        <v>87410</v>
      </c>
      <c r="T22" s="1">
        <f>IF(COUNT(Tabelle1[[#This Row],[salary]:[director_fees]])=0,"NaN",SUM(Tabelle1[[#This Row],[salary]:[director_fees]]))</f>
        <v>87410</v>
      </c>
      <c r="U22" s="3" t="str">
        <f>IF(AND(Tabelle1[[#This Row],[total_payments_calc]]&lt;&gt;Tabelle1[[#This Row],[total_payments]]),IF(Tabelle1[[#This Row],[total_payments]]="NaN","recalculate total","one-off/hardcoded"),"")</f>
        <v/>
      </c>
      <c r="V22" s="14"/>
      <c r="W22">
        <v>1030329</v>
      </c>
      <c r="X22" t="s">
        <v>23</v>
      </c>
      <c r="Y22" t="s">
        <v>23</v>
      </c>
      <c r="Z22">
        <v>1030329</v>
      </c>
      <c r="AA22" s="1">
        <f>IF(COUNT(Tabelle1[[#This Row],[exercised_stock_options]:[restricted_stock_deferred]])=0,"NaN",SUM(Tabelle1[[#This Row],[exercised_stock_options]:[restricted_stock_deferred]]))</f>
        <v>1030329</v>
      </c>
      <c r="AB22" s="3" t="str">
        <f>IF(AND(Tabelle1[[#This Row],[total_stock_value_calc]]&lt;&gt;Tabelle1[[#This Row],[total_stock_value]]),IF(Tabelle1[[#This Row],[total_stock_value]]="NaN","recalculate total","one-off/hardcoded"),"")</f>
        <v/>
      </c>
      <c r="AC22"/>
      <c r="AD22"/>
      <c r="AE22"/>
      <c r="AF22"/>
      <c r="AI22"/>
      <c r="AJ22"/>
    </row>
    <row r="23" spans="1:36" hidden="1" x14ac:dyDescent="0.3">
      <c r="A23" t="s">
        <v>64</v>
      </c>
      <c r="B23" t="s">
        <v>24</v>
      </c>
      <c r="C23">
        <v>17</v>
      </c>
      <c r="D23">
        <v>146</v>
      </c>
      <c r="E23">
        <v>671</v>
      </c>
      <c r="F23">
        <v>215</v>
      </c>
      <c r="G23">
        <v>0</v>
      </c>
      <c r="H23" t="s">
        <v>65</v>
      </c>
      <c r="J23">
        <v>357091</v>
      </c>
      <c r="K23">
        <v>850000</v>
      </c>
      <c r="L23">
        <v>540751</v>
      </c>
      <c r="M23" t="s">
        <v>23</v>
      </c>
      <c r="N23" t="s">
        <v>23</v>
      </c>
      <c r="O23" t="s">
        <v>23</v>
      </c>
      <c r="P23">
        <v>2</v>
      </c>
      <c r="Q23">
        <v>50936</v>
      </c>
      <c r="R23" t="s">
        <v>23</v>
      </c>
      <c r="S23" s="12">
        <v>1798780</v>
      </c>
      <c r="T23" s="1">
        <f>IF(COUNT(Tabelle1[[#This Row],[salary]:[director_fees]])=0,"NaN",SUM(Tabelle1[[#This Row],[salary]:[director_fees]]))</f>
        <v>1798780</v>
      </c>
      <c r="U23" s="3" t="str">
        <f>IF(AND(Tabelle1[[#This Row],[total_payments_calc]]&lt;&gt;Tabelle1[[#This Row],[total_payments]]),IF(Tabelle1[[#This Row],[total_payments]]="NaN","recalculate total","one-off/hardcoded"),"")</f>
        <v/>
      </c>
      <c r="V23" s="14"/>
      <c r="W23">
        <v>4346544</v>
      </c>
      <c r="X23">
        <v>1552453</v>
      </c>
      <c r="Y23" t="s">
        <v>23</v>
      </c>
      <c r="Z23">
        <v>5898997</v>
      </c>
      <c r="AA23" s="1">
        <f>IF(COUNT(Tabelle1[[#This Row],[exercised_stock_options]:[restricted_stock_deferred]])=0,"NaN",SUM(Tabelle1[[#This Row],[exercised_stock_options]:[restricted_stock_deferred]]))</f>
        <v>5898997</v>
      </c>
      <c r="AB23" s="3" t="str">
        <f>IF(AND(Tabelle1[[#This Row],[total_stock_value_calc]]&lt;&gt;Tabelle1[[#This Row],[total_stock_value]]),IF(Tabelle1[[#This Row],[total_stock_value]]="NaN","recalculate total","one-off/hardcoded"),"")</f>
        <v/>
      </c>
      <c r="AC23"/>
      <c r="AD23"/>
      <c r="AE23"/>
      <c r="AF23"/>
      <c r="AI23"/>
      <c r="AJ23"/>
    </row>
    <row r="24" spans="1:36" hidden="1" x14ac:dyDescent="0.3">
      <c r="A24" t="s">
        <v>66</v>
      </c>
      <c r="B24" t="s">
        <v>24</v>
      </c>
      <c r="C24">
        <v>251</v>
      </c>
      <c r="D24">
        <v>1728</v>
      </c>
      <c r="E24">
        <v>8305</v>
      </c>
      <c r="F24">
        <v>3669</v>
      </c>
      <c r="G24">
        <v>194</v>
      </c>
      <c r="H24" t="s">
        <v>67</v>
      </c>
      <c r="J24">
        <v>271442</v>
      </c>
      <c r="K24">
        <v>3100000</v>
      </c>
      <c r="L24" t="s">
        <v>23</v>
      </c>
      <c r="M24" t="s">
        <v>23</v>
      </c>
      <c r="N24" t="s">
        <v>23</v>
      </c>
      <c r="O24" t="s">
        <v>23</v>
      </c>
      <c r="P24">
        <v>93925</v>
      </c>
      <c r="Q24">
        <v>5774</v>
      </c>
      <c r="R24" t="s">
        <v>23</v>
      </c>
      <c r="S24" s="12">
        <v>3471141</v>
      </c>
      <c r="T24" s="1">
        <f>IF(COUNT(Tabelle1[[#This Row],[salary]:[director_fees]])=0,"NaN",SUM(Tabelle1[[#This Row],[salary]:[director_fees]]))</f>
        <v>3471141</v>
      </c>
      <c r="U24" s="3" t="str">
        <f>IF(AND(Tabelle1[[#This Row],[total_payments_calc]]&lt;&gt;Tabelle1[[#This Row],[total_payments]]),IF(Tabelle1[[#This Row],[total_payments]]="NaN","recalculate total","one-off/hardcoded"),"")</f>
        <v/>
      </c>
      <c r="V24" s="14"/>
      <c r="W24">
        <v>81042</v>
      </c>
      <c r="X24">
        <v>466101</v>
      </c>
      <c r="Y24" t="s">
        <v>23</v>
      </c>
      <c r="Z24">
        <v>547143</v>
      </c>
      <c r="AA24" s="1">
        <f>IF(COUNT(Tabelle1[[#This Row],[exercised_stock_options]:[restricted_stock_deferred]])=0,"NaN",SUM(Tabelle1[[#This Row],[exercised_stock_options]:[restricted_stock_deferred]]))</f>
        <v>547143</v>
      </c>
      <c r="AB24" s="3" t="str">
        <f>IF(AND(Tabelle1[[#This Row],[total_stock_value_calc]]&lt;&gt;Tabelle1[[#This Row],[total_stock_value]]),IF(Tabelle1[[#This Row],[total_stock_value]]="NaN","recalculate total","one-off/hardcoded"),"")</f>
        <v/>
      </c>
      <c r="AC24"/>
      <c r="AD24"/>
      <c r="AE24"/>
      <c r="AF24"/>
      <c r="AI24"/>
      <c r="AJ24"/>
    </row>
    <row r="25" spans="1:36" hidden="1" x14ac:dyDescent="0.3">
      <c r="A25" t="s">
        <v>68</v>
      </c>
      <c r="B25" t="s">
        <v>24</v>
      </c>
      <c r="C25" t="s">
        <v>23</v>
      </c>
      <c r="D25" t="s">
        <v>23</v>
      </c>
      <c r="E25" t="s">
        <v>23</v>
      </c>
      <c r="F25" t="s">
        <v>23</v>
      </c>
      <c r="G25" t="s">
        <v>23</v>
      </c>
      <c r="H25" t="s">
        <v>23</v>
      </c>
      <c r="J25" t="s">
        <v>23</v>
      </c>
      <c r="K25" t="s">
        <v>23</v>
      </c>
      <c r="L25" t="s">
        <v>23</v>
      </c>
      <c r="M25">
        <v>-98784</v>
      </c>
      <c r="N25" t="s">
        <v>23</v>
      </c>
      <c r="O25" t="s">
        <v>23</v>
      </c>
      <c r="P25" t="s">
        <v>23</v>
      </c>
      <c r="Q25" t="s">
        <v>23</v>
      </c>
      <c r="R25">
        <v>98784</v>
      </c>
      <c r="S25" s="12" t="s">
        <v>23</v>
      </c>
      <c r="T25" s="1">
        <f>IF(COUNT(Tabelle1[[#This Row],[salary]:[director_fees]])=0,"NaN",SUM(Tabelle1[[#This Row],[salary]:[director_fees]]))</f>
        <v>0</v>
      </c>
      <c r="U25" s="3" t="str">
        <f>IF(AND(Tabelle1[[#This Row],[total_payments_calc]]&lt;&gt;Tabelle1[[#This Row],[total_payments]]),IF(Tabelle1[[#This Row],[total_payments]]="NaN","recalculate total","one-off/hardcoded"),"")</f>
        <v>recalculate total</v>
      </c>
      <c r="V25" s="14"/>
      <c r="W25" t="s">
        <v>23</v>
      </c>
      <c r="X25">
        <v>32460</v>
      </c>
      <c r="Y25">
        <v>-32460</v>
      </c>
      <c r="Z25" s="12" t="s">
        <v>23</v>
      </c>
      <c r="AA25" s="1">
        <f>IF(COUNT(Tabelle1[[#This Row],[exercised_stock_options]:[restricted_stock_deferred]])=0,"NaN",SUM(Tabelle1[[#This Row],[exercised_stock_options]:[restricted_stock_deferred]]))</f>
        <v>0</v>
      </c>
      <c r="AB25" s="3" t="str">
        <f>IF(AND(Tabelle1[[#This Row],[total_stock_value_calc]]&lt;&gt;Tabelle1[[#This Row],[total_stock_value]]),IF(Tabelle1[[#This Row],[total_stock_value]]="NaN","recalculate total","one-off/hardcoded"),"")</f>
        <v>recalculate total</v>
      </c>
      <c r="AC25"/>
      <c r="AD25"/>
      <c r="AE25"/>
      <c r="AF25"/>
      <c r="AI25"/>
      <c r="AJ25"/>
    </row>
    <row r="26" spans="1:36" hidden="1" x14ac:dyDescent="0.3">
      <c r="A26" t="s">
        <v>69</v>
      </c>
      <c r="B26" t="s">
        <v>24</v>
      </c>
      <c r="C26" t="s">
        <v>23</v>
      </c>
      <c r="D26" t="s">
        <v>23</v>
      </c>
      <c r="E26" t="s">
        <v>23</v>
      </c>
      <c r="F26" t="s">
        <v>23</v>
      </c>
      <c r="G26" t="s">
        <v>23</v>
      </c>
      <c r="H26" t="s">
        <v>23</v>
      </c>
      <c r="J26" t="s">
        <v>23</v>
      </c>
      <c r="K26" t="s">
        <v>23</v>
      </c>
      <c r="L26" t="s">
        <v>23</v>
      </c>
      <c r="M26" t="s">
        <v>23</v>
      </c>
      <c r="N26">
        <v>-102500</v>
      </c>
      <c r="O26" t="s">
        <v>23</v>
      </c>
      <c r="P26" t="s">
        <v>23</v>
      </c>
      <c r="Q26" t="s">
        <v>23</v>
      </c>
      <c r="R26">
        <v>3285</v>
      </c>
      <c r="S26" s="12">
        <v>102500</v>
      </c>
      <c r="T26" s="1">
        <f>IF(COUNT(Tabelle1[[#This Row],[salary]:[director_fees]])=0,"NaN",SUM(Tabelle1[[#This Row],[salary]:[director_fees]]))</f>
        <v>-99215</v>
      </c>
      <c r="U26" s="3" t="str">
        <f>IF(AND(Tabelle1[[#This Row],[total_payments_calc]]&lt;&gt;Tabelle1[[#This Row],[total_payments]]),IF(Tabelle1[[#This Row],[total_payments]]="NaN","recalculate total","one-off/hardcoded"),"")</f>
        <v>one-off/hardcoded</v>
      </c>
      <c r="V26" s="14"/>
      <c r="W26">
        <v>3285</v>
      </c>
      <c r="X26" t="s">
        <v>23</v>
      </c>
      <c r="Y26">
        <v>44093</v>
      </c>
      <c r="Z26" s="12">
        <v>-44093</v>
      </c>
      <c r="AA26" s="1">
        <f>IF(COUNT(Tabelle1[[#This Row],[exercised_stock_options]:[restricted_stock_deferred]])=0,"NaN",SUM(Tabelle1[[#This Row],[exercised_stock_options]:[restricted_stock_deferred]]))</f>
        <v>47378</v>
      </c>
      <c r="AB26" s="3" t="str">
        <f>IF(AND(Tabelle1[[#This Row],[total_stock_value_calc]]&lt;&gt;Tabelle1[[#This Row],[total_stock_value]]),IF(Tabelle1[[#This Row],[total_stock_value]]="NaN","recalculate total","one-off/hardcoded"),"")</f>
        <v>one-off/hardcoded</v>
      </c>
      <c r="AC26"/>
      <c r="AD26"/>
      <c r="AE26"/>
      <c r="AF26"/>
      <c r="AI26"/>
      <c r="AJ26"/>
    </row>
    <row r="27" spans="1:36" hidden="1" x14ac:dyDescent="0.3">
      <c r="A27" t="s">
        <v>70</v>
      </c>
      <c r="B27" t="s">
        <v>24</v>
      </c>
      <c r="C27">
        <v>94</v>
      </c>
      <c r="D27">
        <v>2681</v>
      </c>
      <c r="E27">
        <v>3221</v>
      </c>
      <c r="F27">
        <v>1730</v>
      </c>
      <c r="G27">
        <v>83</v>
      </c>
      <c r="H27" t="s">
        <v>71</v>
      </c>
      <c r="J27">
        <v>304110</v>
      </c>
      <c r="K27">
        <v>2000000</v>
      </c>
      <c r="L27">
        <v>554422</v>
      </c>
      <c r="M27" t="s">
        <v>23</v>
      </c>
      <c r="N27" t="s">
        <v>23</v>
      </c>
      <c r="O27" t="s">
        <v>23</v>
      </c>
      <c r="P27">
        <v>1191</v>
      </c>
      <c r="Q27">
        <v>178979</v>
      </c>
      <c r="R27" t="s">
        <v>23</v>
      </c>
      <c r="S27" s="12">
        <v>3038702</v>
      </c>
      <c r="T27" s="1">
        <f>IF(COUNT(Tabelle1[[#This Row],[salary]:[director_fees]])=0,"NaN",SUM(Tabelle1[[#This Row],[salary]:[director_fees]]))</f>
        <v>3038702</v>
      </c>
      <c r="U27" s="3" t="str">
        <f>IF(AND(Tabelle1[[#This Row],[total_payments_calc]]&lt;&gt;Tabelle1[[#This Row],[total_payments]]),IF(Tabelle1[[#This Row],[total_payments]]="NaN","recalculate total","one-off/hardcoded"),"")</f>
        <v/>
      </c>
      <c r="V27" s="14"/>
      <c r="W27">
        <v>1441898</v>
      </c>
      <c r="X27">
        <v>630137</v>
      </c>
      <c r="Y27" t="s">
        <v>23</v>
      </c>
      <c r="Z27">
        <v>2072035</v>
      </c>
      <c r="AA27" s="1">
        <f>IF(COUNT(Tabelle1[[#This Row],[exercised_stock_options]:[restricted_stock_deferred]])=0,"NaN",SUM(Tabelle1[[#This Row],[exercised_stock_options]:[restricted_stock_deferred]]))</f>
        <v>2072035</v>
      </c>
      <c r="AB27" s="3" t="str">
        <f>IF(AND(Tabelle1[[#This Row],[total_stock_value_calc]]&lt;&gt;Tabelle1[[#This Row],[total_stock_value]]),IF(Tabelle1[[#This Row],[total_stock_value]]="NaN","recalculate total","one-off/hardcoded"),"")</f>
        <v/>
      </c>
      <c r="AC27"/>
      <c r="AD27"/>
      <c r="AE27"/>
      <c r="AF27"/>
      <c r="AI27"/>
      <c r="AJ27"/>
    </row>
    <row r="28" spans="1:36" hidden="1" x14ac:dyDescent="0.3">
      <c r="A28" t="s">
        <v>72</v>
      </c>
      <c r="B28" t="s">
        <v>24</v>
      </c>
      <c r="C28" t="s">
        <v>23</v>
      </c>
      <c r="D28" t="s">
        <v>23</v>
      </c>
      <c r="E28" t="s">
        <v>23</v>
      </c>
      <c r="F28" t="s">
        <v>23</v>
      </c>
      <c r="G28" t="s">
        <v>23</v>
      </c>
      <c r="H28" t="s">
        <v>73</v>
      </c>
      <c r="J28" t="s">
        <v>23</v>
      </c>
      <c r="K28" t="s">
        <v>23</v>
      </c>
      <c r="L28" t="s">
        <v>23</v>
      </c>
      <c r="M28" t="s">
        <v>23</v>
      </c>
      <c r="N28" t="s">
        <v>23</v>
      </c>
      <c r="O28" t="s">
        <v>23</v>
      </c>
      <c r="P28">
        <v>189583</v>
      </c>
      <c r="Q28" t="s">
        <v>23</v>
      </c>
      <c r="R28" t="s">
        <v>23</v>
      </c>
      <c r="S28" s="12">
        <v>189583</v>
      </c>
      <c r="T28" s="1">
        <f>IF(COUNT(Tabelle1[[#This Row],[salary]:[director_fees]])=0,"NaN",SUM(Tabelle1[[#This Row],[salary]:[director_fees]]))</f>
        <v>189583</v>
      </c>
      <c r="U28" s="3" t="str">
        <f>IF(AND(Tabelle1[[#This Row],[total_payments_calc]]&lt;&gt;Tabelle1[[#This Row],[total_payments]]),IF(Tabelle1[[#This Row],[total_payments]]="NaN","recalculate total","one-off/hardcoded"),"")</f>
        <v/>
      </c>
      <c r="V28" s="14"/>
      <c r="W28" t="s">
        <v>23</v>
      </c>
      <c r="X28" t="s">
        <v>23</v>
      </c>
      <c r="Y28" t="s">
        <v>23</v>
      </c>
      <c r="Z28" t="s">
        <v>23</v>
      </c>
      <c r="AA28" s="1" t="str">
        <f>IF(COUNT(Tabelle1[[#This Row],[exercised_stock_options]:[restricted_stock_deferred]])=0,"NaN",SUM(Tabelle1[[#This Row],[exercised_stock_options]:[restricted_stock_deferred]]))</f>
        <v>NaN</v>
      </c>
      <c r="AB28" s="3" t="str">
        <f>IF(AND(Tabelle1[[#This Row],[total_stock_value_calc]]&lt;&gt;Tabelle1[[#This Row],[total_stock_value]]),IF(Tabelle1[[#This Row],[total_stock_value]]="NaN","recalculate total","one-off/hardcoded"),"")</f>
        <v/>
      </c>
      <c r="AC28"/>
      <c r="AD28"/>
      <c r="AE28"/>
      <c r="AF28"/>
      <c r="AI28"/>
      <c r="AJ28"/>
    </row>
    <row r="29" spans="1:36" hidden="1" x14ac:dyDescent="0.3">
      <c r="A29" t="s">
        <v>74</v>
      </c>
      <c r="B29" t="s">
        <v>24</v>
      </c>
      <c r="C29">
        <v>4</v>
      </c>
      <c r="D29">
        <v>59</v>
      </c>
      <c r="E29">
        <v>383</v>
      </c>
      <c r="F29">
        <v>233</v>
      </c>
      <c r="G29">
        <v>0</v>
      </c>
      <c r="H29" t="s">
        <v>75</v>
      </c>
      <c r="J29">
        <v>187922</v>
      </c>
      <c r="K29">
        <v>250000</v>
      </c>
      <c r="L29">
        <v>180250</v>
      </c>
      <c r="M29">
        <v>-485813</v>
      </c>
      <c r="N29" t="s">
        <v>23</v>
      </c>
      <c r="O29" t="s">
        <v>23</v>
      </c>
      <c r="P29">
        <v>427316</v>
      </c>
      <c r="Q29">
        <v>59175</v>
      </c>
      <c r="R29" t="s">
        <v>23</v>
      </c>
      <c r="S29" s="12">
        <v>618850</v>
      </c>
      <c r="T29" s="1">
        <f>IF(COUNT(Tabelle1[[#This Row],[salary]:[director_fees]])=0,"NaN",SUM(Tabelle1[[#This Row],[salary]:[director_fees]]))</f>
        <v>618850</v>
      </c>
      <c r="U29" s="3" t="str">
        <f>IF(AND(Tabelle1[[#This Row],[total_payments_calc]]&lt;&gt;Tabelle1[[#This Row],[total_payments]]),IF(Tabelle1[[#This Row],[total_payments]]="NaN","recalculate total","one-off/hardcoded"),"")</f>
        <v/>
      </c>
      <c r="V29" s="14"/>
      <c r="W29" t="s">
        <v>23</v>
      </c>
      <c r="X29">
        <v>659249</v>
      </c>
      <c r="Y29" t="s">
        <v>23</v>
      </c>
      <c r="Z29">
        <v>659249</v>
      </c>
      <c r="AA29" s="1">
        <f>IF(COUNT(Tabelle1[[#This Row],[exercised_stock_options]:[restricted_stock_deferred]])=0,"NaN",SUM(Tabelle1[[#This Row],[exercised_stock_options]:[restricted_stock_deferred]]))</f>
        <v>659249</v>
      </c>
      <c r="AB29" s="3" t="str">
        <f>IF(AND(Tabelle1[[#This Row],[total_stock_value_calc]]&lt;&gt;Tabelle1[[#This Row],[total_stock_value]]),IF(Tabelle1[[#This Row],[total_stock_value]]="NaN","recalculate total","one-off/hardcoded"),"")</f>
        <v/>
      </c>
      <c r="AC29"/>
      <c r="AD29"/>
      <c r="AE29"/>
      <c r="AF29"/>
      <c r="AI29"/>
      <c r="AJ29"/>
    </row>
    <row r="30" spans="1:36" hidden="1" x14ac:dyDescent="0.3">
      <c r="A30" t="s">
        <v>76</v>
      </c>
      <c r="B30" t="s">
        <v>24</v>
      </c>
      <c r="C30" t="s">
        <v>23</v>
      </c>
      <c r="D30" t="s">
        <v>23</v>
      </c>
      <c r="E30" t="s">
        <v>23</v>
      </c>
      <c r="F30" t="s">
        <v>23</v>
      </c>
      <c r="G30" t="s">
        <v>23</v>
      </c>
      <c r="H30" t="s">
        <v>23</v>
      </c>
      <c r="J30" t="s">
        <v>23</v>
      </c>
      <c r="K30" t="s">
        <v>23</v>
      </c>
      <c r="L30" t="s">
        <v>23</v>
      </c>
      <c r="M30">
        <v>-36666</v>
      </c>
      <c r="N30" t="s">
        <v>23</v>
      </c>
      <c r="O30" t="s">
        <v>23</v>
      </c>
      <c r="P30" t="s">
        <v>23</v>
      </c>
      <c r="Q30">
        <v>228656</v>
      </c>
      <c r="R30">
        <v>36666</v>
      </c>
      <c r="S30" s="12">
        <v>228656</v>
      </c>
      <c r="T30" s="1">
        <f>IF(COUNT(Tabelle1[[#This Row],[salary]:[director_fees]])=0,"NaN",SUM(Tabelle1[[#This Row],[salary]:[director_fees]]))</f>
        <v>228656</v>
      </c>
      <c r="U30" s="3" t="str">
        <f>IF(AND(Tabelle1[[#This Row],[total_payments_calc]]&lt;&gt;Tabelle1[[#This Row],[total_payments]]),IF(Tabelle1[[#This Row],[total_payments]]="NaN","recalculate total","one-off/hardcoded"),"")</f>
        <v/>
      </c>
      <c r="V30" s="14"/>
      <c r="W30" t="s">
        <v>23</v>
      </c>
      <c r="X30" t="s">
        <v>23</v>
      </c>
      <c r="Y30" t="s">
        <v>23</v>
      </c>
      <c r="Z30" t="s">
        <v>23</v>
      </c>
      <c r="AA30" s="1" t="str">
        <f>IF(COUNT(Tabelle1[[#This Row],[exercised_stock_options]:[restricted_stock_deferred]])=0,"NaN",SUM(Tabelle1[[#This Row],[exercised_stock_options]:[restricted_stock_deferred]]))</f>
        <v>NaN</v>
      </c>
      <c r="AB30" s="3" t="str">
        <f>IF(AND(Tabelle1[[#This Row],[total_stock_value_calc]]&lt;&gt;Tabelle1[[#This Row],[total_stock_value]]),IF(Tabelle1[[#This Row],[total_stock_value]]="NaN","recalculate total","one-off/hardcoded"),"")</f>
        <v/>
      </c>
      <c r="AC30"/>
      <c r="AD30"/>
      <c r="AE30"/>
      <c r="AF30"/>
      <c r="AI30"/>
      <c r="AJ30"/>
    </row>
    <row r="31" spans="1:36" hidden="1" x14ac:dyDescent="0.3">
      <c r="A31" t="s">
        <v>77</v>
      </c>
      <c r="B31" t="s">
        <v>24</v>
      </c>
      <c r="C31">
        <v>23</v>
      </c>
      <c r="D31">
        <v>40</v>
      </c>
      <c r="E31">
        <v>1607</v>
      </c>
      <c r="F31">
        <v>1336</v>
      </c>
      <c r="G31">
        <v>8</v>
      </c>
      <c r="H31" t="s">
        <v>78</v>
      </c>
      <c r="J31">
        <v>213625</v>
      </c>
      <c r="K31">
        <v>1000000</v>
      </c>
      <c r="L31">
        <v>369721</v>
      </c>
      <c r="M31" t="s">
        <v>23</v>
      </c>
      <c r="N31" t="s">
        <v>23</v>
      </c>
      <c r="O31" t="s">
        <v>23</v>
      </c>
      <c r="P31">
        <v>425688</v>
      </c>
      <c r="Q31">
        <v>38559</v>
      </c>
      <c r="R31" t="s">
        <v>23</v>
      </c>
      <c r="S31" s="12">
        <v>2047593</v>
      </c>
      <c r="T31" s="1">
        <f>IF(COUNT(Tabelle1[[#This Row],[salary]:[director_fees]])=0,"NaN",SUM(Tabelle1[[#This Row],[salary]:[director_fees]]))</f>
        <v>2047593</v>
      </c>
      <c r="U31" s="3" t="str">
        <f>IF(AND(Tabelle1[[#This Row],[total_payments_calc]]&lt;&gt;Tabelle1[[#This Row],[total_payments]]),IF(Tabelle1[[#This Row],[total_payments]]="NaN","recalculate total","one-off/hardcoded"),"")</f>
        <v/>
      </c>
      <c r="V31" s="14"/>
      <c r="W31">
        <v>1465734</v>
      </c>
      <c r="X31">
        <v>378082</v>
      </c>
      <c r="Y31" t="s">
        <v>23</v>
      </c>
      <c r="Z31">
        <v>1843816</v>
      </c>
      <c r="AA31" s="1">
        <f>IF(COUNT(Tabelle1[[#This Row],[exercised_stock_options]:[restricted_stock_deferred]])=0,"NaN",SUM(Tabelle1[[#This Row],[exercised_stock_options]:[restricted_stock_deferred]]))</f>
        <v>1843816</v>
      </c>
      <c r="AB31" s="3" t="str">
        <f>IF(AND(Tabelle1[[#This Row],[total_stock_value_calc]]&lt;&gt;Tabelle1[[#This Row],[total_stock_value]]),IF(Tabelle1[[#This Row],[total_stock_value]]="NaN","recalculate total","one-off/hardcoded"),"")</f>
        <v/>
      </c>
      <c r="AC31"/>
      <c r="AD31"/>
      <c r="AE31"/>
      <c r="AF31"/>
      <c r="AI31"/>
      <c r="AJ31"/>
    </row>
    <row r="32" spans="1:36" x14ac:dyDescent="0.3">
      <c r="A32" t="s">
        <v>79</v>
      </c>
      <c r="B32" t="s">
        <v>32</v>
      </c>
      <c r="C32">
        <v>35</v>
      </c>
      <c r="D32">
        <v>82</v>
      </c>
      <c r="E32">
        <v>1328</v>
      </c>
      <c r="F32">
        <v>1258</v>
      </c>
      <c r="G32">
        <v>48</v>
      </c>
      <c r="H32" t="s">
        <v>80</v>
      </c>
      <c r="J32">
        <v>249201</v>
      </c>
      <c r="K32">
        <v>700000</v>
      </c>
      <c r="L32" t="s">
        <v>23</v>
      </c>
      <c r="M32">
        <v>-100000</v>
      </c>
      <c r="N32">
        <v>214678</v>
      </c>
      <c r="O32" t="s">
        <v>23</v>
      </c>
      <c r="P32">
        <v>1950</v>
      </c>
      <c r="Q32">
        <v>33271</v>
      </c>
      <c r="R32" t="s">
        <v>23</v>
      </c>
      <c r="S32" s="12">
        <v>1099100</v>
      </c>
      <c r="T32" s="1">
        <f>IF(COUNT(Tabelle1[[#This Row],[salary]:[director_fees]])=0,"NaN",SUM(Tabelle1[[#This Row],[salary]:[director_fees]]))</f>
        <v>1099100</v>
      </c>
      <c r="U32" s="3" t="str">
        <f>IF(AND(Tabelle1[[#This Row],[total_payments_calc]]&lt;&gt;Tabelle1[[#This Row],[total_payments]]),IF(Tabelle1[[#This Row],[total_payments]]="NaN","recalculate total","one-off/hardcoded"),"")</f>
        <v/>
      </c>
      <c r="V32" s="14"/>
      <c r="W32">
        <v>1635238</v>
      </c>
      <c r="X32">
        <v>283649</v>
      </c>
      <c r="Y32" t="s">
        <v>23</v>
      </c>
      <c r="Z32">
        <v>1918887</v>
      </c>
      <c r="AA32" s="1">
        <f>IF(COUNT(Tabelle1[[#This Row],[exercised_stock_options]:[restricted_stock_deferred]])=0,"NaN",SUM(Tabelle1[[#This Row],[exercised_stock_options]:[restricted_stock_deferred]]))</f>
        <v>1918887</v>
      </c>
      <c r="AB32" s="3" t="str">
        <f>IF(AND(Tabelle1[[#This Row],[total_stock_value_calc]]&lt;&gt;Tabelle1[[#This Row],[total_stock_value]]),IF(Tabelle1[[#This Row],[total_stock_value]]="NaN","recalculate total","one-off/hardcoded"),"")</f>
        <v/>
      </c>
      <c r="AC32"/>
      <c r="AD32"/>
      <c r="AE32"/>
      <c r="AF32"/>
      <c r="AI32"/>
      <c r="AJ32"/>
    </row>
    <row r="33" spans="1:36" hidden="1" x14ac:dyDescent="0.3">
      <c r="A33" t="s">
        <v>81</v>
      </c>
      <c r="B33" t="s">
        <v>24</v>
      </c>
      <c r="C33" t="s">
        <v>23</v>
      </c>
      <c r="D33" t="s">
        <v>23</v>
      </c>
      <c r="E33" t="s">
        <v>23</v>
      </c>
      <c r="F33" t="s">
        <v>23</v>
      </c>
      <c r="G33" t="s">
        <v>23</v>
      </c>
      <c r="H33" t="s">
        <v>23</v>
      </c>
      <c r="J33" t="s">
        <v>23</v>
      </c>
      <c r="K33" t="s">
        <v>23</v>
      </c>
      <c r="L33" t="s">
        <v>23</v>
      </c>
      <c r="M33" t="s">
        <v>23</v>
      </c>
      <c r="N33" t="s">
        <v>23</v>
      </c>
      <c r="O33" t="s">
        <v>23</v>
      </c>
      <c r="P33" t="s">
        <v>23</v>
      </c>
      <c r="Q33" t="s">
        <v>23</v>
      </c>
      <c r="R33" t="s">
        <v>23</v>
      </c>
      <c r="S33" s="12" t="s">
        <v>23</v>
      </c>
      <c r="T33" s="1" t="str">
        <f>IF(COUNT(Tabelle1[[#This Row],[salary]:[director_fees]])=0,"NaN",SUM(Tabelle1[[#This Row],[salary]:[director_fees]]))</f>
        <v>NaN</v>
      </c>
      <c r="U33" s="3" t="str">
        <f>IF(AND(Tabelle1[[#This Row],[total_payments_calc]]&lt;&gt;Tabelle1[[#This Row],[total_payments]]),IF(Tabelle1[[#This Row],[total_payments]]="NaN","recalculate total","one-off/hardcoded"),"")</f>
        <v/>
      </c>
      <c r="V33" s="14"/>
      <c r="W33">
        <v>98718</v>
      </c>
      <c r="X33" t="s">
        <v>23</v>
      </c>
      <c r="Y33" t="s">
        <v>23</v>
      </c>
      <c r="Z33" s="12">
        <v>98718</v>
      </c>
      <c r="AA33" s="1">
        <f>IF(COUNT(Tabelle1[[#This Row],[exercised_stock_options]:[restricted_stock_deferred]])=0,"NaN",SUM(Tabelle1[[#This Row],[exercised_stock_options]:[restricted_stock_deferred]]))</f>
        <v>98718</v>
      </c>
      <c r="AB33" s="3" t="str">
        <f>IF(AND(Tabelle1[[#This Row],[total_stock_value_calc]]&lt;&gt;Tabelle1[[#This Row],[total_stock_value]]),IF(Tabelle1[[#This Row],[total_stock_value]]="NaN","recalculate total","one-off/hardcoded"),"")</f>
        <v/>
      </c>
      <c r="AC33"/>
      <c r="AD33"/>
      <c r="AE33"/>
      <c r="AF33"/>
      <c r="AI33"/>
      <c r="AJ33"/>
    </row>
    <row r="34" spans="1:36" hidden="1" x14ac:dyDescent="0.3">
      <c r="A34" t="s">
        <v>82</v>
      </c>
      <c r="B34" t="s">
        <v>24</v>
      </c>
      <c r="C34">
        <v>144</v>
      </c>
      <c r="D34">
        <v>4343</v>
      </c>
      <c r="E34">
        <v>7315</v>
      </c>
      <c r="F34">
        <v>2639</v>
      </c>
      <c r="G34">
        <v>386</v>
      </c>
      <c r="H34" t="s">
        <v>83</v>
      </c>
      <c r="J34">
        <v>231330</v>
      </c>
      <c r="K34">
        <v>700000</v>
      </c>
      <c r="L34" t="s">
        <v>23</v>
      </c>
      <c r="M34" t="s">
        <v>23</v>
      </c>
      <c r="N34" t="s">
        <v>23</v>
      </c>
      <c r="O34" t="s">
        <v>23</v>
      </c>
      <c r="P34">
        <v>566</v>
      </c>
      <c r="Q34">
        <v>37172</v>
      </c>
      <c r="R34" t="s">
        <v>23</v>
      </c>
      <c r="S34" s="12">
        <v>969068</v>
      </c>
      <c r="T34" s="1">
        <f>IF(COUNT(Tabelle1[[#This Row],[salary]:[director_fees]])=0,"NaN",SUM(Tabelle1[[#This Row],[salary]:[director_fees]]))</f>
        <v>969068</v>
      </c>
      <c r="U34" s="3" t="str">
        <f>IF(AND(Tabelle1[[#This Row],[total_payments_calc]]&lt;&gt;Tabelle1[[#This Row],[total_payments]]),IF(Tabelle1[[#This Row],[total_payments]]="NaN","recalculate total","one-off/hardcoded"),"")</f>
        <v/>
      </c>
      <c r="V34" s="14"/>
      <c r="W34" t="s">
        <v>23</v>
      </c>
      <c r="X34">
        <v>126027</v>
      </c>
      <c r="Y34" t="s">
        <v>23</v>
      </c>
      <c r="Z34">
        <v>126027</v>
      </c>
      <c r="AA34" s="1">
        <f>IF(COUNT(Tabelle1[[#This Row],[exercised_stock_options]:[restricted_stock_deferred]])=0,"NaN",SUM(Tabelle1[[#This Row],[exercised_stock_options]:[restricted_stock_deferred]]))</f>
        <v>126027</v>
      </c>
      <c r="AB34" s="3" t="str">
        <f>IF(AND(Tabelle1[[#This Row],[total_stock_value_calc]]&lt;&gt;Tabelle1[[#This Row],[total_stock_value]]),IF(Tabelle1[[#This Row],[total_stock_value]]="NaN","recalculate total","one-off/hardcoded"),"")</f>
        <v/>
      </c>
      <c r="AC34"/>
      <c r="AD34"/>
      <c r="AE34"/>
      <c r="AF34"/>
      <c r="AI34"/>
      <c r="AJ34"/>
    </row>
    <row r="35" spans="1:36" hidden="1" x14ac:dyDescent="0.3">
      <c r="A35" t="s">
        <v>84</v>
      </c>
      <c r="B35" t="s">
        <v>24</v>
      </c>
      <c r="C35">
        <v>4</v>
      </c>
      <c r="D35">
        <v>19</v>
      </c>
      <c r="E35">
        <v>573</v>
      </c>
      <c r="F35">
        <v>471</v>
      </c>
      <c r="G35">
        <v>7</v>
      </c>
      <c r="H35" t="s">
        <v>85</v>
      </c>
      <c r="J35" t="s">
        <v>23</v>
      </c>
      <c r="K35" t="s">
        <v>23</v>
      </c>
      <c r="L35" t="s">
        <v>23</v>
      </c>
      <c r="M35" t="s">
        <v>23</v>
      </c>
      <c r="N35" t="s">
        <v>23</v>
      </c>
      <c r="O35" t="s">
        <v>23</v>
      </c>
      <c r="P35" t="s">
        <v>23</v>
      </c>
      <c r="Q35">
        <v>475</v>
      </c>
      <c r="R35" t="s">
        <v>23</v>
      </c>
      <c r="S35" s="12">
        <v>475</v>
      </c>
      <c r="T35" s="1">
        <f>IF(COUNT(Tabelle1[[#This Row],[salary]:[director_fees]])=0,"NaN",SUM(Tabelle1[[#This Row],[salary]:[director_fees]]))</f>
        <v>475</v>
      </c>
      <c r="U35" s="3" t="str">
        <f>IF(AND(Tabelle1[[#This Row],[total_payments_calc]]&lt;&gt;Tabelle1[[#This Row],[total_payments]]),IF(Tabelle1[[#This Row],[total_payments]]="NaN","recalculate total","one-off/hardcoded"),"")</f>
        <v/>
      </c>
      <c r="V35" s="14"/>
      <c r="W35" t="s">
        <v>23</v>
      </c>
      <c r="X35">
        <v>2217299</v>
      </c>
      <c r="Y35" t="s">
        <v>23</v>
      </c>
      <c r="Z35">
        <v>2217299</v>
      </c>
      <c r="AA35" s="1">
        <f>IF(COUNT(Tabelle1[[#This Row],[exercised_stock_options]:[restricted_stock_deferred]])=0,"NaN",SUM(Tabelle1[[#This Row],[exercised_stock_options]:[restricted_stock_deferred]]))</f>
        <v>2217299</v>
      </c>
      <c r="AB35" s="3" t="str">
        <f>IF(AND(Tabelle1[[#This Row],[total_stock_value_calc]]&lt;&gt;Tabelle1[[#This Row],[total_stock_value]]),IF(Tabelle1[[#This Row],[total_stock_value]]="NaN","recalculate total","one-off/hardcoded"),"")</f>
        <v/>
      </c>
      <c r="AC35"/>
      <c r="AD35"/>
      <c r="AE35"/>
      <c r="AF35"/>
      <c r="AI35"/>
      <c r="AJ35"/>
    </row>
    <row r="36" spans="1:36" hidden="1" x14ac:dyDescent="0.3">
      <c r="A36" t="s">
        <v>86</v>
      </c>
      <c r="B36" t="s">
        <v>24</v>
      </c>
      <c r="C36" t="s">
        <v>23</v>
      </c>
      <c r="D36" t="s">
        <v>23</v>
      </c>
      <c r="E36" t="s">
        <v>23</v>
      </c>
      <c r="F36" t="s">
        <v>23</v>
      </c>
      <c r="G36" t="s">
        <v>23</v>
      </c>
      <c r="H36" t="s">
        <v>87</v>
      </c>
      <c r="J36">
        <v>182245</v>
      </c>
      <c r="K36">
        <v>200000</v>
      </c>
      <c r="L36">
        <v>2234774</v>
      </c>
      <c r="M36" t="s">
        <v>23</v>
      </c>
      <c r="N36" t="s">
        <v>23</v>
      </c>
      <c r="O36" t="s">
        <v>23</v>
      </c>
      <c r="P36">
        <v>53775</v>
      </c>
      <c r="Q36">
        <v>21530</v>
      </c>
      <c r="R36" t="s">
        <v>23</v>
      </c>
      <c r="S36" s="12">
        <v>2692324</v>
      </c>
      <c r="T36" s="1">
        <f>IF(COUNT(Tabelle1[[#This Row],[salary]:[director_fees]])=0,"NaN",SUM(Tabelle1[[#This Row],[salary]:[director_fees]]))</f>
        <v>2692324</v>
      </c>
      <c r="U36" s="3" t="str">
        <f>IF(AND(Tabelle1[[#This Row],[total_payments_calc]]&lt;&gt;Tabelle1[[#This Row],[total_payments]]),IF(Tabelle1[[#This Row],[total_payments]]="NaN","recalculate total","one-off/hardcoded"),"")</f>
        <v/>
      </c>
      <c r="V36" s="14"/>
      <c r="W36">
        <v>601438</v>
      </c>
      <c r="X36">
        <v>407503</v>
      </c>
      <c r="Y36" t="s">
        <v>23</v>
      </c>
      <c r="Z36">
        <v>1008941</v>
      </c>
      <c r="AA36" s="1">
        <f>IF(COUNT(Tabelle1[[#This Row],[exercised_stock_options]:[restricted_stock_deferred]])=0,"NaN",SUM(Tabelle1[[#This Row],[exercised_stock_options]:[restricted_stock_deferred]]))</f>
        <v>1008941</v>
      </c>
      <c r="AB36" s="3" t="str">
        <f>IF(AND(Tabelle1[[#This Row],[total_stock_value_calc]]&lt;&gt;Tabelle1[[#This Row],[total_stock_value]]),IF(Tabelle1[[#This Row],[total_stock_value]]="NaN","recalculate total","one-off/hardcoded"),"")</f>
        <v/>
      </c>
      <c r="AC36"/>
      <c r="AD36"/>
      <c r="AE36"/>
      <c r="AF36"/>
      <c r="AI36"/>
      <c r="AJ36"/>
    </row>
    <row r="37" spans="1:36" hidden="1" x14ac:dyDescent="0.3">
      <c r="A37" t="s">
        <v>88</v>
      </c>
      <c r="B37" t="s">
        <v>24</v>
      </c>
      <c r="C37" t="s">
        <v>23</v>
      </c>
      <c r="D37" t="s">
        <v>23</v>
      </c>
      <c r="E37" t="s">
        <v>23</v>
      </c>
      <c r="F37" t="s">
        <v>23</v>
      </c>
      <c r="G37" t="s">
        <v>23</v>
      </c>
      <c r="H37" t="s">
        <v>23</v>
      </c>
      <c r="J37" t="s">
        <v>23</v>
      </c>
      <c r="K37" t="s">
        <v>23</v>
      </c>
      <c r="L37" t="s">
        <v>23</v>
      </c>
      <c r="M37">
        <v>-103750</v>
      </c>
      <c r="N37" t="s">
        <v>23</v>
      </c>
      <c r="O37" t="s">
        <v>23</v>
      </c>
      <c r="P37" t="s">
        <v>23</v>
      </c>
      <c r="Q37">
        <v>148</v>
      </c>
      <c r="R37">
        <v>103750</v>
      </c>
      <c r="S37" s="12">
        <v>148</v>
      </c>
      <c r="T37" s="1">
        <f>IF(COUNT(Tabelle1[[#This Row],[salary]:[director_fees]])=0,"NaN",SUM(Tabelle1[[#This Row],[salary]:[director_fees]]))</f>
        <v>148</v>
      </c>
      <c r="U37" s="3" t="str">
        <f>IF(AND(Tabelle1[[#This Row],[total_payments_calc]]&lt;&gt;Tabelle1[[#This Row],[total_payments]]),IF(Tabelle1[[#This Row],[total_payments]]="NaN","recalculate total","one-off/hardcoded"),"")</f>
        <v/>
      </c>
      <c r="V37" s="14"/>
      <c r="W37" t="s">
        <v>23</v>
      </c>
      <c r="X37" t="s">
        <v>23</v>
      </c>
      <c r="Y37" t="s">
        <v>23</v>
      </c>
      <c r="Z37" t="s">
        <v>23</v>
      </c>
      <c r="AA37" s="1" t="str">
        <f>IF(COUNT(Tabelle1[[#This Row],[exercised_stock_options]:[restricted_stock_deferred]])=0,"NaN",SUM(Tabelle1[[#This Row],[exercised_stock_options]:[restricted_stock_deferred]]))</f>
        <v>NaN</v>
      </c>
      <c r="AB37" s="3" t="str">
        <f>IF(AND(Tabelle1[[#This Row],[total_stock_value_calc]]&lt;&gt;Tabelle1[[#This Row],[total_stock_value]]),IF(Tabelle1[[#This Row],[total_stock_value]]="NaN","recalculate total","one-off/hardcoded"),"")</f>
        <v/>
      </c>
      <c r="AC37"/>
      <c r="AD37"/>
      <c r="AE37"/>
      <c r="AF37"/>
      <c r="AI37"/>
      <c r="AJ37"/>
    </row>
    <row r="38" spans="1:36" hidden="1" x14ac:dyDescent="0.3">
      <c r="A38" t="s">
        <v>89</v>
      </c>
      <c r="B38" t="s">
        <v>24</v>
      </c>
      <c r="C38">
        <v>40</v>
      </c>
      <c r="D38">
        <v>27</v>
      </c>
      <c r="E38">
        <v>1320</v>
      </c>
      <c r="F38">
        <v>900</v>
      </c>
      <c r="G38">
        <v>1</v>
      </c>
      <c r="H38" t="s">
        <v>90</v>
      </c>
      <c r="J38">
        <v>211788</v>
      </c>
      <c r="K38">
        <v>1700000</v>
      </c>
      <c r="L38">
        <v>69223</v>
      </c>
      <c r="M38" t="s">
        <v>23</v>
      </c>
      <c r="N38" t="s">
        <v>23</v>
      </c>
      <c r="O38" t="s">
        <v>23</v>
      </c>
      <c r="P38">
        <v>1936</v>
      </c>
      <c r="Q38">
        <v>98849</v>
      </c>
      <c r="R38" t="s">
        <v>23</v>
      </c>
      <c r="S38" s="12">
        <v>2081796</v>
      </c>
      <c r="T38" s="1">
        <f>IF(COUNT(Tabelle1[[#This Row],[salary]:[director_fees]])=0,"NaN",SUM(Tabelle1[[#This Row],[salary]:[director_fees]]))</f>
        <v>2081796</v>
      </c>
      <c r="U38" s="3" t="str">
        <f>IF(AND(Tabelle1[[#This Row],[total_payments_calc]]&lt;&gt;Tabelle1[[#This Row],[total_payments]]),IF(Tabelle1[[#This Row],[total_payments]]="NaN","recalculate total","one-off/hardcoded"),"")</f>
        <v/>
      </c>
      <c r="V38" s="14"/>
      <c r="W38" t="s">
        <v>23</v>
      </c>
      <c r="X38">
        <v>441096</v>
      </c>
      <c r="Y38" t="s">
        <v>23</v>
      </c>
      <c r="Z38">
        <v>441096</v>
      </c>
      <c r="AA38" s="1">
        <f>IF(COUNT(Tabelle1[[#This Row],[exercised_stock_options]:[restricted_stock_deferred]])=0,"NaN",SUM(Tabelle1[[#This Row],[exercised_stock_options]:[restricted_stock_deferred]]))</f>
        <v>441096</v>
      </c>
      <c r="AB38" s="3" t="str">
        <f>IF(AND(Tabelle1[[#This Row],[total_stock_value_calc]]&lt;&gt;Tabelle1[[#This Row],[total_stock_value]]),IF(Tabelle1[[#This Row],[total_stock_value]]="NaN","recalculate total","one-off/hardcoded"),"")</f>
        <v/>
      </c>
      <c r="AC38"/>
      <c r="AD38"/>
      <c r="AE38"/>
      <c r="AF38"/>
      <c r="AI38"/>
      <c r="AJ38"/>
    </row>
    <row r="39" spans="1:36" hidden="1" x14ac:dyDescent="0.3">
      <c r="A39" t="s">
        <v>91</v>
      </c>
      <c r="B39" t="s">
        <v>24</v>
      </c>
      <c r="C39" t="s">
        <v>23</v>
      </c>
      <c r="D39" t="s">
        <v>23</v>
      </c>
      <c r="E39" t="s">
        <v>23</v>
      </c>
      <c r="F39" t="s">
        <v>23</v>
      </c>
      <c r="G39" t="s">
        <v>23</v>
      </c>
      <c r="H39" t="s">
        <v>23</v>
      </c>
      <c r="J39" t="s">
        <v>23</v>
      </c>
      <c r="K39" t="s">
        <v>23</v>
      </c>
      <c r="L39" t="s">
        <v>23</v>
      </c>
      <c r="M39" t="s">
        <v>23</v>
      </c>
      <c r="N39" t="s">
        <v>23</v>
      </c>
      <c r="O39" t="s">
        <v>23</v>
      </c>
      <c r="P39" t="s">
        <v>23</v>
      </c>
      <c r="Q39" t="s">
        <v>23</v>
      </c>
      <c r="R39" t="s">
        <v>23</v>
      </c>
      <c r="S39" s="12" t="s">
        <v>23</v>
      </c>
      <c r="T39" s="1" t="str">
        <f>IF(COUNT(Tabelle1[[#This Row],[salary]:[director_fees]])=0,"NaN",SUM(Tabelle1[[#This Row],[salary]:[director_fees]]))</f>
        <v>NaN</v>
      </c>
      <c r="U39" s="3" t="str">
        <f>IF(AND(Tabelle1[[#This Row],[total_payments_calc]]&lt;&gt;Tabelle1[[#This Row],[total_payments]]),IF(Tabelle1[[#This Row],[total_payments]]="NaN","recalculate total","one-off/hardcoded"),"")</f>
        <v/>
      </c>
      <c r="V39" s="14"/>
      <c r="W39" t="s">
        <v>23</v>
      </c>
      <c r="X39">
        <v>662086</v>
      </c>
      <c r="Y39">
        <v>-472568</v>
      </c>
      <c r="Z39" s="12">
        <v>189518</v>
      </c>
      <c r="AA39" s="1">
        <f>IF(COUNT(Tabelle1[[#This Row],[exercised_stock_options]:[restricted_stock_deferred]])=0,"NaN",SUM(Tabelle1[[#This Row],[exercised_stock_options]:[restricted_stock_deferred]]))</f>
        <v>189518</v>
      </c>
      <c r="AB39" s="3" t="str">
        <f>IF(AND(Tabelle1[[#This Row],[total_stock_value_calc]]&lt;&gt;Tabelle1[[#This Row],[total_stock_value]]),IF(Tabelle1[[#This Row],[total_stock_value]]="NaN","recalculate total","one-off/hardcoded"),"")</f>
        <v/>
      </c>
      <c r="AC39"/>
      <c r="AD39"/>
      <c r="AE39"/>
      <c r="AF39"/>
      <c r="AI39"/>
      <c r="AJ39"/>
    </row>
    <row r="40" spans="1:36" hidden="1" x14ac:dyDescent="0.3">
      <c r="A40" t="s">
        <v>92</v>
      </c>
      <c r="B40" t="s">
        <v>24</v>
      </c>
      <c r="C40">
        <v>10</v>
      </c>
      <c r="D40">
        <v>26</v>
      </c>
      <c r="E40">
        <v>952</v>
      </c>
      <c r="F40">
        <v>739</v>
      </c>
      <c r="G40">
        <v>0</v>
      </c>
      <c r="H40" t="s">
        <v>93</v>
      </c>
      <c r="J40" t="s">
        <v>23</v>
      </c>
      <c r="K40" t="s">
        <v>23</v>
      </c>
      <c r="L40" t="s">
        <v>23</v>
      </c>
      <c r="M40" t="s">
        <v>23</v>
      </c>
      <c r="N40" t="s">
        <v>23</v>
      </c>
      <c r="O40" t="s">
        <v>23</v>
      </c>
      <c r="P40" t="s">
        <v>23</v>
      </c>
      <c r="Q40" t="s">
        <v>23</v>
      </c>
      <c r="R40" t="s">
        <v>23</v>
      </c>
      <c r="S40" s="12" t="s">
        <v>23</v>
      </c>
      <c r="T40" s="1" t="str">
        <f>IF(COUNT(Tabelle1[[#This Row],[salary]:[director_fees]])=0,"NaN",SUM(Tabelle1[[#This Row],[salary]:[director_fees]]))</f>
        <v>NaN</v>
      </c>
      <c r="U40" s="3" t="str">
        <f>IF(AND(Tabelle1[[#This Row],[total_payments_calc]]&lt;&gt;Tabelle1[[#This Row],[total_payments]]),IF(Tabelle1[[#This Row],[total_payments]]="NaN","recalculate total","one-off/hardcoded"),"")</f>
        <v/>
      </c>
      <c r="V40" s="14"/>
      <c r="W40">
        <v>850477</v>
      </c>
      <c r="X40" t="s">
        <v>23</v>
      </c>
      <c r="Y40" t="s">
        <v>23</v>
      </c>
      <c r="Z40" s="12">
        <v>850477</v>
      </c>
      <c r="AA40" s="1">
        <f>IF(COUNT(Tabelle1[[#This Row],[exercised_stock_options]:[restricted_stock_deferred]])=0,"NaN",SUM(Tabelle1[[#This Row],[exercised_stock_options]:[restricted_stock_deferred]]))</f>
        <v>850477</v>
      </c>
      <c r="AB40" s="3" t="str">
        <f>IF(AND(Tabelle1[[#This Row],[total_stock_value_calc]]&lt;&gt;Tabelle1[[#This Row],[total_stock_value]]),IF(Tabelle1[[#This Row],[total_stock_value]]="NaN","recalculate total","one-off/hardcoded"),"")</f>
        <v/>
      </c>
      <c r="AC40"/>
      <c r="AD40"/>
      <c r="AE40"/>
      <c r="AF40"/>
      <c r="AI40"/>
      <c r="AJ40"/>
    </row>
    <row r="41" spans="1:36" hidden="1" x14ac:dyDescent="0.3">
      <c r="A41" t="s">
        <v>94</v>
      </c>
      <c r="B41" t="s">
        <v>24</v>
      </c>
      <c r="C41">
        <v>16</v>
      </c>
      <c r="D41">
        <v>12</v>
      </c>
      <c r="E41">
        <v>504</v>
      </c>
      <c r="F41">
        <v>50</v>
      </c>
      <c r="G41">
        <v>0</v>
      </c>
      <c r="H41" t="s">
        <v>95</v>
      </c>
      <c r="J41" t="s">
        <v>23</v>
      </c>
      <c r="K41" t="s">
        <v>23</v>
      </c>
      <c r="L41" t="s">
        <v>23</v>
      </c>
      <c r="M41" t="s">
        <v>23</v>
      </c>
      <c r="N41">
        <v>7961</v>
      </c>
      <c r="O41" t="s">
        <v>23</v>
      </c>
      <c r="P41" t="s">
        <v>23</v>
      </c>
      <c r="Q41" t="s">
        <v>23</v>
      </c>
      <c r="R41" t="s">
        <v>23</v>
      </c>
      <c r="S41" s="12">
        <v>7961</v>
      </c>
      <c r="T41" s="1">
        <f>IF(COUNT(Tabelle1[[#This Row],[salary]:[director_fees]])=0,"NaN",SUM(Tabelle1[[#This Row],[salary]:[director_fees]]))</f>
        <v>7961</v>
      </c>
      <c r="U41" s="3" t="str">
        <f>IF(AND(Tabelle1[[#This Row],[total_payments_calc]]&lt;&gt;Tabelle1[[#This Row],[total_payments]]),IF(Tabelle1[[#This Row],[total_payments]]="NaN","recalculate total","one-off/hardcoded"),"")</f>
        <v/>
      </c>
      <c r="V41" s="14"/>
      <c r="W41" t="s">
        <v>23</v>
      </c>
      <c r="X41">
        <v>151418</v>
      </c>
      <c r="Y41" t="s">
        <v>23</v>
      </c>
      <c r="Z41">
        <v>151418</v>
      </c>
      <c r="AA41" s="1">
        <f>IF(COUNT(Tabelle1[[#This Row],[exercised_stock_options]:[restricted_stock_deferred]])=0,"NaN",SUM(Tabelle1[[#This Row],[exercised_stock_options]:[restricted_stock_deferred]]))</f>
        <v>151418</v>
      </c>
      <c r="AB41" s="3" t="str">
        <f>IF(AND(Tabelle1[[#This Row],[total_stock_value_calc]]&lt;&gt;Tabelle1[[#This Row],[total_stock_value]]),IF(Tabelle1[[#This Row],[total_stock_value]]="NaN","recalculate total","one-off/hardcoded"),"")</f>
        <v/>
      </c>
      <c r="AC41"/>
      <c r="AD41"/>
      <c r="AE41"/>
      <c r="AF41"/>
      <c r="AI41"/>
      <c r="AJ41"/>
    </row>
    <row r="42" spans="1:36" hidden="1" x14ac:dyDescent="0.3">
      <c r="A42" t="s">
        <v>96</v>
      </c>
      <c r="B42" t="s">
        <v>24</v>
      </c>
      <c r="C42">
        <v>25</v>
      </c>
      <c r="D42">
        <v>215</v>
      </c>
      <c r="E42">
        <v>1433</v>
      </c>
      <c r="F42">
        <v>508</v>
      </c>
      <c r="G42">
        <v>2</v>
      </c>
      <c r="H42" t="s">
        <v>97</v>
      </c>
      <c r="J42" t="s">
        <v>23</v>
      </c>
      <c r="K42" t="s">
        <v>23</v>
      </c>
      <c r="L42" t="s">
        <v>23</v>
      </c>
      <c r="M42" t="s">
        <v>23</v>
      </c>
      <c r="N42" t="s">
        <v>23</v>
      </c>
      <c r="O42" t="s">
        <v>23</v>
      </c>
      <c r="P42" t="s">
        <v>23</v>
      </c>
      <c r="Q42" t="s">
        <v>23</v>
      </c>
      <c r="R42" t="s">
        <v>23</v>
      </c>
      <c r="S42" s="12" t="s">
        <v>23</v>
      </c>
      <c r="T42" s="1" t="str">
        <f>IF(COUNT(Tabelle1[[#This Row],[salary]:[director_fees]])=0,"NaN",SUM(Tabelle1[[#This Row],[salary]:[director_fees]]))</f>
        <v>NaN</v>
      </c>
      <c r="U42" s="3" t="str">
        <f>IF(AND(Tabelle1[[#This Row],[total_payments_calc]]&lt;&gt;Tabelle1[[#This Row],[total_payments]]),IF(Tabelle1[[#This Row],[total_payments]]="NaN","recalculate total","one-off/hardcoded"),"")</f>
        <v/>
      </c>
      <c r="V42" s="14"/>
      <c r="W42">
        <v>664375</v>
      </c>
      <c r="X42">
        <v>94556</v>
      </c>
      <c r="Y42" t="s">
        <v>23</v>
      </c>
      <c r="Z42" s="12">
        <v>758931</v>
      </c>
      <c r="AA42" s="1">
        <f>IF(COUNT(Tabelle1[[#This Row],[exercised_stock_options]:[restricted_stock_deferred]])=0,"NaN",SUM(Tabelle1[[#This Row],[exercised_stock_options]:[restricted_stock_deferred]]))</f>
        <v>758931</v>
      </c>
      <c r="AB42" s="3" t="str">
        <f>IF(AND(Tabelle1[[#This Row],[total_stock_value_calc]]&lt;&gt;Tabelle1[[#This Row],[total_stock_value]]),IF(Tabelle1[[#This Row],[total_stock_value]]="NaN","recalculate total","one-off/hardcoded"),"")</f>
        <v/>
      </c>
      <c r="AC42"/>
      <c r="AD42"/>
      <c r="AE42"/>
      <c r="AF42"/>
      <c r="AI42"/>
      <c r="AJ42"/>
    </row>
    <row r="43" spans="1:36" x14ac:dyDescent="0.3">
      <c r="A43" t="s">
        <v>98</v>
      </c>
      <c r="B43" t="s">
        <v>32</v>
      </c>
      <c r="C43" t="s">
        <v>23</v>
      </c>
      <c r="D43" t="s">
        <v>23</v>
      </c>
      <c r="E43" t="s">
        <v>23</v>
      </c>
      <c r="F43" t="s">
        <v>23</v>
      </c>
      <c r="G43" t="s">
        <v>23</v>
      </c>
      <c r="H43" t="s">
        <v>99</v>
      </c>
      <c r="J43">
        <v>224305</v>
      </c>
      <c r="K43">
        <v>800000</v>
      </c>
      <c r="L43">
        <v>602671</v>
      </c>
      <c r="M43" t="s">
        <v>23</v>
      </c>
      <c r="N43" t="s">
        <v>23</v>
      </c>
      <c r="O43" t="s">
        <v>23</v>
      </c>
      <c r="P43">
        <v>907502</v>
      </c>
      <c r="Q43">
        <v>118134</v>
      </c>
      <c r="R43" t="s">
        <v>23</v>
      </c>
      <c r="S43" s="12">
        <v>2652612</v>
      </c>
      <c r="T43" s="1">
        <f>IF(COUNT(Tabelle1[[#This Row],[salary]:[director_fees]])=0,"NaN",SUM(Tabelle1[[#This Row],[salary]:[director_fees]]))</f>
        <v>2652612</v>
      </c>
      <c r="U43" s="3" t="str">
        <f>IF(AND(Tabelle1[[#This Row],[total_payments_calc]]&lt;&gt;Tabelle1[[#This Row],[total_payments]]),IF(Tabelle1[[#This Row],[total_payments]]="NaN","recalculate total","one-off/hardcoded"),"")</f>
        <v/>
      </c>
      <c r="V43" s="14"/>
      <c r="W43" t="s">
        <v>23</v>
      </c>
      <c r="X43">
        <v>985032</v>
      </c>
      <c r="Y43" t="s">
        <v>23</v>
      </c>
      <c r="Z43">
        <v>985032</v>
      </c>
      <c r="AA43" s="1">
        <f>IF(COUNT(Tabelle1[[#This Row],[exercised_stock_options]:[restricted_stock_deferred]])=0,"NaN",SUM(Tabelle1[[#This Row],[exercised_stock_options]:[restricted_stock_deferred]]))</f>
        <v>985032</v>
      </c>
      <c r="AB43" s="3" t="str">
        <f>IF(AND(Tabelle1[[#This Row],[total_stock_value_calc]]&lt;&gt;Tabelle1[[#This Row],[total_stock_value]]),IF(Tabelle1[[#This Row],[total_stock_value]]="NaN","recalculate total","one-off/hardcoded"),"")</f>
        <v/>
      </c>
      <c r="AC43"/>
      <c r="AD43"/>
      <c r="AE43"/>
      <c r="AF43"/>
      <c r="AI43"/>
      <c r="AJ43"/>
    </row>
    <row r="44" spans="1:36" hidden="1" x14ac:dyDescent="0.3">
      <c r="A44" t="s">
        <v>100</v>
      </c>
      <c r="B44" t="s">
        <v>24</v>
      </c>
      <c r="C44">
        <v>67</v>
      </c>
      <c r="D44">
        <v>63</v>
      </c>
      <c r="E44">
        <v>2822</v>
      </c>
      <c r="F44">
        <v>2672</v>
      </c>
      <c r="G44">
        <v>14</v>
      </c>
      <c r="H44" t="s">
        <v>101</v>
      </c>
      <c r="J44">
        <v>273746</v>
      </c>
      <c r="K44">
        <v>1000000</v>
      </c>
      <c r="L44">
        <v>1387399</v>
      </c>
      <c r="M44" t="s">
        <v>23</v>
      </c>
      <c r="N44" t="s">
        <v>23</v>
      </c>
      <c r="O44" t="s">
        <v>23</v>
      </c>
      <c r="P44">
        <v>3083</v>
      </c>
      <c r="Q44" t="s">
        <v>23</v>
      </c>
      <c r="R44" t="s">
        <v>23</v>
      </c>
      <c r="S44" s="12">
        <v>2664228</v>
      </c>
      <c r="T44" s="1">
        <f>IF(COUNT(Tabelle1[[#This Row],[salary]:[director_fees]])=0,"NaN",SUM(Tabelle1[[#This Row],[salary]:[director_fees]]))</f>
        <v>2664228</v>
      </c>
      <c r="U44" s="3" t="str">
        <f>IF(AND(Tabelle1[[#This Row],[total_payments_calc]]&lt;&gt;Tabelle1[[#This Row],[total_payments]]),IF(Tabelle1[[#This Row],[total_payments]]="NaN","recalculate total","one-off/hardcoded"),"")</f>
        <v/>
      </c>
      <c r="V44" s="14"/>
      <c r="W44" t="s">
        <v>23</v>
      </c>
      <c r="X44">
        <v>360528</v>
      </c>
      <c r="Y44" t="s">
        <v>23</v>
      </c>
      <c r="Z44">
        <v>360528</v>
      </c>
      <c r="AA44" s="1">
        <f>IF(COUNT(Tabelle1[[#This Row],[exercised_stock_options]:[restricted_stock_deferred]])=0,"NaN",SUM(Tabelle1[[#This Row],[exercised_stock_options]:[restricted_stock_deferred]]))</f>
        <v>360528</v>
      </c>
      <c r="AB44" s="3" t="str">
        <f>IF(AND(Tabelle1[[#This Row],[total_stock_value_calc]]&lt;&gt;Tabelle1[[#This Row],[total_stock_value]]),IF(Tabelle1[[#This Row],[total_stock_value]]="NaN","recalculate total","one-off/hardcoded"),"")</f>
        <v/>
      </c>
      <c r="AC44"/>
      <c r="AD44"/>
      <c r="AE44"/>
      <c r="AF44"/>
      <c r="AI44"/>
      <c r="AJ44"/>
    </row>
    <row r="45" spans="1:36" hidden="1" x14ac:dyDescent="0.3">
      <c r="A45" t="s">
        <v>102</v>
      </c>
      <c r="B45" t="s">
        <v>24</v>
      </c>
      <c r="C45">
        <v>528</v>
      </c>
      <c r="D45">
        <v>2585</v>
      </c>
      <c r="E45">
        <v>7259</v>
      </c>
      <c r="F45">
        <v>3962</v>
      </c>
      <c r="G45">
        <v>411</v>
      </c>
      <c r="H45" t="s">
        <v>103</v>
      </c>
      <c r="J45">
        <v>339288</v>
      </c>
      <c r="K45">
        <v>8000000</v>
      </c>
      <c r="L45">
        <v>2035380</v>
      </c>
      <c r="M45" t="s">
        <v>23</v>
      </c>
      <c r="N45" t="s">
        <v>23</v>
      </c>
      <c r="O45" t="s">
        <v>23</v>
      </c>
      <c r="P45">
        <v>1552</v>
      </c>
      <c r="Q45">
        <v>49537</v>
      </c>
      <c r="R45" t="s">
        <v>23</v>
      </c>
      <c r="S45" s="12">
        <v>10425757</v>
      </c>
      <c r="T45" s="1">
        <f>IF(COUNT(Tabelle1[[#This Row],[salary]:[director_fees]])=0,"NaN",SUM(Tabelle1[[#This Row],[salary]:[director_fees]]))</f>
        <v>10425757</v>
      </c>
      <c r="U45" s="3" t="str">
        <f>IF(AND(Tabelle1[[#This Row],[total_payments_calc]]&lt;&gt;Tabelle1[[#This Row],[total_payments]]),IF(Tabelle1[[#This Row],[total_payments]]="NaN","recalculate total","one-off/hardcoded"),"")</f>
        <v/>
      </c>
      <c r="V45" s="14"/>
      <c r="W45">
        <v>4158995</v>
      </c>
      <c r="X45">
        <v>1008149</v>
      </c>
      <c r="Y45" t="s">
        <v>23</v>
      </c>
      <c r="Z45">
        <v>5167144</v>
      </c>
      <c r="AA45" s="1">
        <f>IF(COUNT(Tabelle1[[#This Row],[exercised_stock_options]:[restricted_stock_deferred]])=0,"NaN",SUM(Tabelle1[[#This Row],[exercised_stock_options]:[restricted_stock_deferred]]))</f>
        <v>5167144</v>
      </c>
      <c r="AB45" s="3" t="str">
        <f>IF(AND(Tabelle1[[#This Row],[total_stock_value_calc]]&lt;&gt;Tabelle1[[#This Row],[total_stock_value]]),IF(Tabelle1[[#This Row],[total_stock_value]]="NaN","recalculate total","one-off/hardcoded"),"")</f>
        <v/>
      </c>
      <c r="AC45"/>
      <c r="AD45"/>
      <c r="AE45"/>
      <c r="AF45"/>
      <c r="AI45"/>
      <c r="AJ45"/>
    </row>
    <row r="46" spans="1:36" hidden="1" x14ac:dyDescent="0.3">
      <c r="A46" t="s">
        <v>104</v>
      </c>
      <c r="B46" t="s">
        <v>24</v>
      </c>
      <c r="C46" t="s">
        <v>23</v>
      </c>
      <c r="D46" t="s">
        <v>23</v>
      </c>
      <c r="E46" t="s">
        <v>23</v>
      </c>
      <c r="F46" t="s">
        <v>23</v>
      </c>
      <c r="G46" t="s">
        <v>23</v>
      </c>
      <c r="H46" t="s">
        <v>105</v>
      </c>
      <c r="J46">
        <v>216582</v>
      </c>
      <c r="K46" t="s">
        <v>23</v>
      </c>
      <c r="L46" t="s">
        <v>23</v>
      </c>
      <c r="M46" t="s">
        <v>23</v>
      </c>
      <c r="N46" t="s">
        <v>23</v>
      </c>
      <c r="O46" t="s">
        <v>23</v>
      </c>
      <c r="P46" t="s">
        <v>23</v>
      </c>
      <c r="Q46">
        <v>11892</v>
      </c>
      <c r="R46" t="s">
        <v>23</v>
      </c>
      <c r="S46" s="12">
        <v>228474</v>
      </c>
      <c r="T46" s="1">
        <f>IF(COUNT(Tabelle1[[#This Row],[salary]:[director_fees]])=0,"NaN",SUM(Tabelle1[[#This Row],[salary]:[director_fees]]))</f>
        <v>228474</v>
      </c>
      <c r="U46" s="3" t="str">
        <f>IF(AND(Tabelle1[[#This Row],[total_payments_calc]]&lt;&gt;Tabelle1[[#This Row],[total_payments]]),IF(Tabelle1[[#This Row],[total_payments]]="NaN","recalculate total","one-off/hardcoded"),"")</f>
        <v/>
      </c>
      <c r="V46" s="14"/>
      <c r="W46">
        <v>1624396</v>
      </c>
      <c r="X46">
        <v>869220</v>
      </c>
      <c r="Y46" t="s">
        <v>23</v>
      </c>
      <c r="Z46">
        <v>2493616</v>
      </c>
      <c r="AA46" s="1">
        <f>IF(COUNT(Tabelle1[[#This Row],[exercised_stock_options]:[restricted_stock_deferred]])=0,"NaN",SUM(Tabelle1[[#This Row],[exercised_stock_options]:[restricted_stock_deferred]]))</f>
        <v>2493616</v>
      </c>
      <c r="AB46" s="3" t="str">
        <f>IF(AND(Tabelle1[[#This Row],[total_stock_value_calc]]&lt;&gt;Tabelle1[[#This Row],[total_stock_value]]),IF(Tabelle1[[#This Row],[total_stock_value]]="NaN","recalculate total","one-off/hardcoded"),"")</f>
        <v/>
      </c>
      <c r="AC46"/>
      <c r="AD46"/>
      <c r="AE46"/>
      <c r="AF46"/>
      <c r="AI46"/>
      <c r="AJ46"/>
    </row>
    <row r="47" spans="1:36" hidden="1" x14ac:dyDescent="0.3">
      <c r="A47" t="s">
        <v>106</v>
      </c>
      <c r="B47" t="s">
        <v>24</v>
      </c>
      <c r="C47" t="s">
        <v>23</v>
      </c>
      <c r="D47" t="s">
        <v>23</v>
      </c>
      <c r="E47" t="s">
        <v>23</v>
      </c>
      <c r="F47" t="s">
        <v>23</v>
      </c>
      <c r="G47" t="s">
        <v>23</v>
      </c>
      <c r="H47" t="s">
        <v>107</v>
      </c>
      <c r="J47">
        <v>210500</v>
      </c>
      <c r="K47">
        <v>425000</v>
      </c>
      <c r="L47">
        <v>415657</v>
      </c>
      <c r="M47">
        <v>-775241</v>
      </c>
      <c r="N47">
        <v>875307</v>
      </c>
      <c r="O47" t="s">
        <v>23</v>
      </c>
      <c r="P47">
        <v>1105</v>
      </c>
      <c r="Q47">
        <v>52255</v>
      </c>
      <c r="R47" t="s">
        <v>23</v>
      </c>
      <c r="S47" s="12">
        <v>1204583</v>
      </c>
      <c r="T47" s="1">
        <f>IF(COUNT(Tabelle1[[#This Row],[salary]:[director_fees]])=0,"NaN",SUM(Tabelle1[[#This Row],[salary]:[director_fees]]))</f>
        <v>1204583</v>
      </c>
      <c r="U47" s="3" t="str">
        <f>IF(AND(Tabelle1[[#This Row],[total_payments_calc]]&lt;&gt;Tabelle1[[#This Row],[total_payments]]),IF(Tabelle1[[#This Row],[total_payments]]="NaN","recalculate total","one-off/hardcoded"),"")</f>
        <v/>
      </c>
      <c r="V47" s="14"/>
      <c r="W47">
        <v>2027865</v>
      </c>
      <c r="X47">
        <v>315068</v>
      </c>
      <c r="Y47">
        <v>-315068</v>
      </c>
      <c r="Z47">
        <v>2027865</v>
      </c>
      <c r="AA47" s="1">
        <f>IF(COUNT(Tabelle1[[#This Row],[exercised_stock_options]:[restricted_stock_deferred]])=0,"NaN",SUM(Tabelle1[[#This Row],[exercised_stock_options]:[restricted_stock_deferred]]))</f>
        <v>2027865</v>
      </c>
      <c r="AB47" s="3" t="str">
        <f>IF(AND(Tabelle1[[#This Row],[total_stock_value_calc]]&lt;&gt;Tabelle1[[#This Row],[total_stock_value]]),IF(Tabelle1[[#This Row],[total_stock_value]]="NaN","recalculate total","one-off/hardcoded"),"")</f>
        <v/>
      </c>
      <c r="AC47"/>
      <c r="AD47"/>
      <c r="AE47"/>
      <c r="AF47"/>
      <c r="AI47"/>
      <c r="AJ47"/>
    </row>
    <row r="48" spans="1:36" hidden="1" x14ac:dyDescent="0.3">
      <c r="A48" t="s">
        <v>108</v>
      </c>
      <c r="B48" t="s">
        <v>24</v>
      </c>
      <c r="C48" t="s">
        <v>23</v>
      </c>
      <c r="D48" t="s">
        <v>23</v>
      </c>
      <c r="E48" t="s">
        <v>23</v>
      </c>
      <c r="F48" t="s">
        <v>23</v>
      </c>
      <c r="G48" t="s">
        <v>23</v>
      </c>
      <c r="H48" t="s">
        <v>23</v>
      </c>
      <c r="J48" t="s">
        <v>23</v>
      </c>
      <c r="K48" t="s">
        <v>23</v>
      </c>
      <c r="L48" t="s">
        <v>23</v>
      </c>
      <c r="M48" t="s">
        <v>23</v>
      </c>
      <c r="N48" t="s">
        <v>23</v>
      </c>
      <c r="O48" t="s">
        <v>23</v>
      </c>
      <c r="P48" t="s">
        <v>23</v>
      </c>
      <c r="Q48">
        <v>103773</v>
      </c>
      <c r="R48">
        <v>109298</v>
      </c>
      <c r="S48" s="12">
        <v>213071</v>
      </c>
      <c r="T48" s="1">
        <f>IF(COUNT(Tabelle1[[#This Row],[salary]:[director_fees]])=0,"NaN",SUM(Tabelle1[[#This Row],[salary]:[director_fees]]))</f>
        <v>213071</v>
      </c>
      <c r="U48" s="3" t="str">
        <f>IF(AND(Tabelle1[[#This Row],[total_payments_calc]]&lt;&gt;Tabelle1[[#This Row],[total_payments]]),IF(Tabelle1[[#This Row],[total_payments]]="NaN","recalculate total","one-off/hardcoded"),"")</f>
        <v/>
      </c>
      <c r="V48" s="14"/>
      <c r="W48" t="s">
        <v>23</v>
      </c>
      <c r="X48" t="s">
        <v>23</v>
      </c>
      <c r="Y48" t="s">
        <v>23</v>
      </c>
      <c r="Z48" t="s">
        <v>23</v>
      </c>
      <c r="AA48" s="1" t="str">
        <f>IF(COUNT(Tabelle1[[#This Row],[exercised_stock_options]:[restricted_stock_deferred]])=0,"NaN",SUM(Tabelle1[[#This Row],[exercised_stock_options]:[restricted_stock_deferred]]))</f>
        <v>NaN</v>
      </c>
      <c r="AB48" s="3" t="str">
        <f>IF(AND(Tabelle1[[#This Row],[total_stock_value_calc]]&lt;&gt;Tabelle1[[#This Row],[total_stock_value]]),IF(Tabelle1[[#This Row],[total_stock_value]]="NaN","recalculate total","one-off/hardcoded"),"")</f>
        <v/>
      </c>
      <c r="AC48"/>
      <c r="AD48"/>
      <c r="AE48"/>
      <c r="AF48"/>
      <c r="AI48"/>
      <c r="AJ48"/>
    </row>
    <row r="49" spans="1:36" hidden="1" x14ac:dyDescent="0.3">
      <c r="A49" t="s">
        <v>109</v>
      </c>
      <c r="B49" t="s">
        <v>24</v>
      </c>
      <c r="C49">
        <v>0</v>
      </c>
      <c r="D49">
        <v>26</v>
      </c>
      <c r="E49">
        <v>653</v>
      </c>
      <c r="F49">
        <v>12</v>
      </c>
      <c r="G49">
        <v>0</v>
      </c>
      <c r="H49" t="s">
        <v>110</v>
      </c>
      <c r="J49" t="s">
        <v>23</v>
      </c>
      <c r="K49" t="s">
        <v>23</v>
      </c>
      <c r="L49" t="s">
        <v>23</v>
      </c>
      <c r="M49">
        <v>-17500</v>
      </c>
      <c r="N49" t="s">
        <v>23</v>
      </c>
      <c r="O49" t="s">
        <v>23</v>
      </c>
      <c r="P49" t="s">
        <v>23</v>
      </c>
      <c r="Q49" t="s">
        <v>23</v>
      </c>
      <c r="R49">
        <v>17500</v>
      </c>
      <c r="S49" s="12" t="s">
        <v>23</v>
      </c>
      <c r="T49" s="1">
        <f>IF(COUNT(Tabelle1[[#This Row],[salary]:[director_fees]])=0,"NaN",SUM(Tabelle1[[#This Row],[salary]:[director_fees]]))</f>
        <v>0</v>
      </c>
      <c r="U49" s="3" t="str">
        <f>IF(AND(Tabelle1[[#This Row],[total_payments_calc]]&lt;&gt;Tabelle1[[#This Row],[total_payments]]),IF(Tabelle1[[#This Row],[total_payments]]="NaN","recalculate total","one-off/hardcoded"),"")</f>
        <v>recalculate total</v>
      </c>
      <c r="V49" s="14"/>
      <c r="W49" t="s">
        <v>23</v>
      </c>
      <c r="X49" t="s">
        <v>23</v>
      </c>
      <c r="Y49" t="s">
        <v>23</v>
      </c>
      <c r="Z49" s="12" t="s">
        <v>23</v>
      </c>
      <c r="AA49" s="1" t="str">
        <f>IF(COUNT(Tabelle1[[#This Row],[exercised_stock_options]:[restricted_stock_deferred]])=0,"NaN",SUM(Tabelle1[[#This Row],[exercised_stock_options]:[restricted_stock_deferred]]))</f>
        <v>NaN</v>
      </c>
      <c r="AB49" s="3" t="str">
        <f>IF(AND(Tabelle1[[#This Row],[total_stock_value_calc]]&lt;&gt;Tabelle1[[#This Row],[total_stock_value]]),IF(Tabelle1[[#This Row],[total_stock_value]]="NaN","recalculate total","one-off/hardcoded"),"")</f>
        <v/>
      </c>
      <c r="AC49"/>
      <c r="AD49"/>
      <c r="AE49"/>
      <c r="AF49"/>
      <c r="AI49"/>
      <c r="AJ49"/>
    </row>
    <row r="50" spans="1:36" hidden="1" x14ac:dyDescent="0.3">
      <c r="A50" t="s">
        <v>111</v>
      </c>
      <c r="B50" t="s">
        <v>24</v>
      </c>
      <c r="C50" t="s">
        <v>23</v>
      </c>
      <c r="D50" t="s">
        <v>23</v>
      </c>
      <c r="E50" t="s">
        <v>23</v>
      </c>
      <c r="F50" t="s">
        <v>23</v>
      </c>
      <c r="G50" t="s">
        <v>23</v>
      </c>
      <c r="H50" t="s">
        <v>112</v>
      </c>
      <c r="J50">
        <v>272880</v>
      </c>
      <c r="K50">
        <v>750000</v>
      </c>
      <c r="L50">
        <v>304805</v>
      </c>
      <c r="M50" t="s">
        <v>23</v>
      </c>
      <c r="N50" t="s">
        <v>23</v>
      </c>
      <c r="O50" t="s">
        <v>23</v>
      </c>
      <c r="P50">
        <v>819288</v>
      </c>
      <c r="Q50" t="s">
        <v>23</v>
      </c>
      <c r="R50" t="s">
        <v>23</v>
      </c>
      <c r="S50" s="12">
        <v>2146973</v>
      </c>
      <c r="T50" s="1">
        <f>IF(COUNT(Tabelle1[[#This Row],[salary]:[director_fees]])=0,"NaN",SUM(Tabelle1[[#This Row],[salary]:[director_fees]]))</f>
        <v>2146973</v>
      </c>
      <c r="U50" s="3" t="str">
        <f>IF(AND(Tabelle1[[#This Row],[total_payments_calc]]&lt;&gt;Tabelle1[[#This Row],[total_payments]]),IF(Tabelle1[[#This Row],[total_payments]]="NaN","recalculate total","one-off/hardcoded"),"")</f>
        <v/>
      </c>
      <c r="V50" s="14"/>
      <c r="W50">
        <v>436515</v>
      </c>
      <c r="X50">
        <v>441096</v>
      </c>
      <c r="Y50" t="s">
        <v>23</v>
      </c>
      <c r="Z50">
        <v>877611</v>
      </c>
      <c r="AA50" s="1">
        <f>IF(COUNT(Tabelle1[[#This Row],[exercised_stock_options]:[restricted_stock_deferred]])=0,"NaN",SUM(Tabelle1[[#This Row],[exercised_stock_options]:[restricted_stock_deferred]]))</f>
        <v>877611</v>
      </c>
      <c r="AB50" s="3" t="str">
        <f>IF(AND(Tabelle1[[#This Row],[total_stock_value_calc]]&lt;&gt;Tabelle1[[#This Row],[total_stock_value]]),IF(Tabelle1[[#This Row],[total_stock_value]]="NaN","recalculate total","one-off/hardcoded"),"")</f>
        <v/>
      </c>
      <c r="AC50"/>
      <c r="AD50"/>
      <c r="AE50"/>
      <c r="AF50"/>
      <c r="AI50"/>
      <c r="AJ50"/>
    </row>
    <row r="51" spans="1:36" hidden="1" x14ac:dyDescent="0.3">
      <c r="A51" t="s">
        <v>113</v>
      </c>
      <c r="B51" t="s">
        <v>24</v>
      </c>
      <c r="C51">
        <v>39</v>
      </c>
      <c r="D51">
        <v>29</v>
      </c>
      <c r="E51">
        <v>566</v>
      </c>
      <c r="F51">
        <v>465</v>
      </c>
      <c r="G51">
        <v>0</v>
      </c>
      <c r="H51" t="s">
        <v>114</v>
      </c>
      <c r="J51">
        <v>477</v>
      </c>
      <c r="K51" t="s">
        <v>23</v>
      </c>
      <c r="L51" t="s">
        <v>23</v>
      </c>
      <c r="M51">
        <v>-5104</v>
      </c>
      <c r="N51" t="s">
        <v>23</v>
      </c>
      <c r="O51" t="s">
        <v>23</v>
      </c>
      <c r="P51">
        <v>864523</v>
      </c>
      <c r="Q51">
        <v>56301</v>
      </c>
      <c r="R51" t="s">
        <v>23</v>
      </c>
      <c r="S51" s="12">
        <v>916197</v>
      </c>
      <c r="T51" s="1">
        <f>IF(COUNT(Tabelle1[[#This Row],[salary]:[director_fees]])=0,"NaN",SUM(Tabelle1[[#This Row],[salary]:[director_fees]]))</f>
        <v>916197</v>
      </c>
      <c r="U51" s="3" t="str">
        <f>IF(AND(Tabelle1[[#This Row],[total_payments_calc]]&lt;&gt;Tabelle1[[#This Row],[total_payments]]),IF(Tabelle1[[#This Row],[total_payments]]="NaN","recalculate total","one-off/hardcoded"),"")</f>
        <v/>
      </c>
      <c r="V51" s="14"/>
      <c r="W51">
        <v>4046157</v>
      </c>
      <c r="X51">
        <v>1757552</v>
      </c>
      <c r="Y51">
        <v>-560222</v>
      </c>
      <c r="Z51">
        <v>5243487</v>
      </c>
      <c r="AA51" s="1">
        <f>IF(COUNT(Tabelle1[[#This Row],[exercised_stock_options]:[restricted_stock_deferred]])=0,"NaN",SUM(Tabelle1[[#This Row],[exercised_stock_options]:[restricted_stock_deferred]]))</f>
        <v>5243487</v>
      </c>
      <c r="AB51" s="3" t="str">
        <f>IF(AND(Tabelle1[[#This Row],[total_stock_value_calc]]&lt;&gt;Tabelle1[[#This Row],[total_stock_value]]),IF(Tabelle1[[#This Row],[total_stock_value]]="NaN","recalculate total","one-off/hardcoded"),"")</f>
        <v/>
      </c>
      <c r="AC51"/>
      <c r="AD51"/>
      <c r="AE51"/>
      <c r="AF51"/>
      <c r="AI51"/>
      <c r="AJ51"/>
    </row>
    <row r="52" spans="1:36" hidden="1" x14ac:dyDescent="0.3">
      <c r="A52" t="s">
        <v>115</v>
      </c>
      <c r="B52" t="s">
        <v>24</v>
      </c>
      <c r="C52" t="s">
        <v>23</v>
      </c>
      <c r="D52" t="s">
        <v>23</v>
      </c>
      <c r="E52" t="s">
        <v>23</v>
      </c>
      <c r="F52" t="s">
        <v>23</v>
      </c>
      <c r="G52" t="s">
        <v>23</v>
      </c>
      <c r="H52" t="s">
        <v>23</v>
      </c>
      <c r="J52" t="s">
        <v>23</v>
      </c>
      <c r="K52" t="s">
        <v>23</v>
      </c>
      <c r="L52" t="s">
        <v>23</v>
      </c>
      <c r="M52">
        <v>-25000</v>
      </c>
      <c r="N52" t="s">
        <v>23</v>
      </c>
      <c r="O52" t="s">
        <v>23</v>
      </c>
      <c r="P52" t="s">
        <v>23</v>
      </c>
      <c r="Q52" t="s">
        <v>23</v>
      </c>
      <c r="R52">
        <v>102492</v>
      </c>
      <c r="S52" s="12">
        <v>77492</v>
      </c>
      <c r="T52" s="1">
        <f>IF(COUNT(Tabelle1[[#This Row],[salary]:[director_fees]])=0,"NaN",SUM(Tabelle1[[#This Row],[salary]:[director_fees]]))</f>
        <v>77492</v>
      </c>
      <c r="U52" s="3" t="str">
        <f>IF(AND(Tabelle1[[#This Row],[total_payments_calc]]&lt;&gt;Tabelle1[[#This Row],[total_payments]]),IF(Tabelle1[[#This Row],[total_payments]]="NaN","recalculate total","one-off/hardcoded"),"")</f>
        <v/>
      </c>
      <c r="V52" s="14"/>
      <c r="W52">
        <v>371750</v>
      </c>
      <c r="X52" t="s">
        <v>23</v>
      </c>
      <c r="Y52" t="s">
        <v>23</v>
      </c>
      <c r="Z52">
        <v>371750</v>
      </c>
      <c r="AA52" s="1">
        <f>IF(COUNT(Tabelle1[[#This Row],[exercised_stock_options]:[restricted_stock_deferred]])=0,"NaN",SUM(Tabelle1[[#This Row],[exercised_stock_options]:[restricted_stock_deferred]]))</f>
        <v>371750</v>
      </c>
      <c r="AB52" s="3" t="str">
        <f>IF(AND(Tabelle1[[#This Row],[total_stock_value_calc]]&lt;&gt;Tabelle1[[#This Row],[total_stock_value]]),IF(Tabelle1[[#This Row],[total_stock_value]]="NaN","recalculate total","one-off/hardcoded"),"")</f>
        <v/>
      </c>
      <c r="AC52"/>
      <c r="AD52"/>
      <c r="AE52"/>
      <c r="AF52"/>
      <c r="AI52"/>
      <c r="AJ52"/>
    </row>
    <row r="53" spans="1:36" hidden="1" x14ac:dyDescent="0.3">
      <c r="A53" t="s">
        <v>116</v>
      </c>
      <c r="B53" t="s">
        <v>24</v>
      </c>
      <c r="C53">
        <v>74</v>
      </c>
      <c r="D53">
        <v>1215</v>
      </c>
      <c r="E53">
        <v>15149</v>
      </c>
      <c r="F53">
        <v>4527</v>
      </c>
      <c r="G53">
        <v>65</v>
      </c>
      <c r="H53" t="s">
        <v>117</v>
      </c>
      <c r="J53">
        <v>269076</v>
      </c>
      <c r="K53">
        <v>650000</v>
      </c>
      <c r="L53" t="s">
        <v>23</v>
      </c>
      <c r="M53" t="s">
        <v>23</v>
      </c>
      <c r="N53" t="s">
        <v>23</v>
      </c>
      <c r="O53" t="s">
        <v>23</v>
      </c>
      <c r="P53">
        <v>705</v>
      </c>
      <c r="Q53">
        <v>137767</v>
      </c>
      <c r="R53" t="s">
        <v>23</v>
      </c>
      <c r="S53" s="12">
        <v>1057548</v>
      </c>
      <c r="T53" s="1">
        <f>IF(COUNT(Tabelle1[[#This Row],[salary]:[director_fees]])=0,"NaN",SUM(Tabelle1[[#This Row],[salary]:[director_fees]]))</f>
        <v>1057548</v>
      </c>
      <c r="U53" s="3" t="str">
        <f>IF(AND(Tabelle1[[#This Row],[total_payments_calc]]&lt;&gt;Tabelle1[[#This Row],[total_payments]]),IF(Tabelle1[[#This Row],[total_payments]]="NaN","recalculate total","one-off/hardcoded"),"")</f>
        <v/>
      </c>
      <c r="V53" s="14"/>
      <c r="W53">
        <v>607837</v>
      </c>
      <c r="X53">
        <v>379164</v>
      </c>
      <c r="Y53" t="s">
        <v>23</v>
      </c>
      <c r="Z53">
        <v>987001</v>
      </c>
      <c r="AA53" s="1">
        <f>IF(COUNT(Tabelle1[[#This Row],[exercised_stock_options]:[restricted_stock_deferred]])=0,"NaN",SUM(Tabelle1[[#This Row],[exercised_stock_options]:[restricted_stock_deferred]]))</f>
        <v>987001</v>
      </c>
      <c r="AB53" s="3" t="str">
        <f>IF(AND(Tabelle1[[#This Row],[total_stock_value_calc]]&lt;&gt;Tabelle1[[#This Row],[total_stock_value]]),IF(Tabelle1[[#This Row],[total_stock_value]]="NaN","recalculate total","one-off/hardcoded"),"")</f>
        <v/>
      </c>
      <c r="AC53"/>
      <c r="AD53"/>
      <c r="AE53"/>
      <c r="AF53"/>
      <c r="AI53"/>
      <c r="AJ53"/>
    </row>
    <row r="54" spans="1:36" hidden="1" x14ac:dyDescent="0.3">
      <c r="A54" t="s">
        <v>118</v>
      </c>
      <c r="B54" t="s">
        <v>24</v>
      </c>
      <c r="C54">
        <v>28</v>
      </c>
      <c r="D54">
        <v>92</v>
      </c>
      <c r="E54">
        <v>3187</v>
      </c>
      <c r="F54">
        <v>2103</v>
      </c>
      <c r="G54">
        <v>23</v>
      </c>
      <c r="H54" t="s">
        <v>119</v>
      </c>
      <c r="J54">
        <v>428780</v>
      </c>
      <c r="K54">
        <v>1500000</v>
      </c>
      <c r="L54">
        <v>554422</v>
      </c>
      <c r="M54" t="s">
        <v>23</v>
      </c>
      <c r="N54" t="s">
        <v>23</v>
      </c>
      <c r="O54" t="s">
        <v>23</v>
      </c>
      <c r="P54">
        <v>1852186</v>
      </c>
      <c r="Q54" t="s">
        <v>23</v>
      </c>
      <c r="R54" t="s">
        <v>23</v>
      </c>
      <c r="S54" s="12">
        <v>4335388</v>
      </c>
      <c r="T54" s="1">
        <f>IF(COUNT(Tabelle1[[#This Row],[salary]:[director_fees]])=0,"NaN",SUM(Tabelle1[[#This Row],[salary]:[director_fees]]))</f>
        <v>4335388</v>
      </c>
      <c r="U54" s="3" t="str">
        <f>IF(AND(Tabelle1[[#This Row],[total_payments_calc]]&lt;&gt;Tabelle1[[#This Row],[total_payments]]),IF(Tabelle1[[#This Row],[total_payments]]="NaN","recalculate total","one-off/hardcoded"),"")</f>
        <v/>
      </c>
      <c r="V54" s="14"/>
      <c r="W54">
        <v>1835558</v>
      </c>
      <c r="X54">
        <v>1293424</v>
      </c>
      <c r="Y54" t="s">
        <v>23</v>
      </c>
      <c r="Z54">
        <v>3128982</v>
      </c>
      <c r="AA54" s="1">
        <f>IF(COUNT(Tabelle1[[#This Row],[exercised_stock_options]:[restricted_stock_deferred]])=0,"NaN",SUM(Tabelle1[[#This Row],[exercised_stock_options]:[restricted_stock_deferred]]))</f>
        <v>3128982</v>
      </c>
      <c r="AB54" s="3" t="str">
        <f>IF(AND(Tabelle1[[#This Row],[total_stock_value_calc]]&lt;&gt;Tabelle1[[#This Row],[total_stock_value]]),IF(Tabelle1[[#This Row],[total_stock_value]]="NaN","recalculate total","one-off/hardcoded"),"")</f>
        <v/>
      </c>
      <c r="AC54"/>
      <c r="AD54"/>
      <c r="AE54"/>
      <c r="AF54"/>
      <c r="AI54"/>
      <c r="AJ54"/>
    </row>
    <row r="55" spans="1:36" x14ac:dyDescent="0.3">
      <c r="A55" t="s">
        <v>120</v>
      </c>
      <c r="B55" t="s">
        <v>32</v>
      </c>
      <c r="C55">
        <v>13</v>
      </c>
      <c r="D55">
        <v>39</v>
      </c>
      <c r="E55">
        <v>225</v>
      </c>
      <c r="F55">
        <v>91</v>
      </c>
      <c r="G55">
        <v>14</v>
      </c>
      <c r="H55" t="s">
        <v>121</v>
      </c>
      <c r="J55">
        <v>211844</v>
      </c>
      <c r="K55">
        <v>200000</v>
      </c>
      <c r="L55" t="s">
        <v>23</v>
      </c>
      <c r="M55">
        <v>-4167</v>
      </c>
      <c r="N55" t="s">
        <v>23</v>
      </c>
      <c r="O55" t="s">
        <v>23</v>
      </c>
      <c r="P55">
        <v>1573324</v>
      </c>
      <c r="Q55">
        <v>22884</v>
      </c>
      <c r="R55" t="s">
        <v>23</v>
      </c>
      <c r="S55" s="12">
        <v>2003885</v>
      </c>
      <c r="T55" s="1">
        <f>IF(COUNT(Tabelle1[[#This Row],[salary]:[director_fees]])=0,"NaN",SUM(Tabelle1[[#This Row],[salary]:[director_fees]]))</f>
        <v>2003885</v>
      </c>
      <c r="U55" s="3" t="str">
        <f>IF(AND(Tabelle1[[#This Row],[total_payments_calc]]&lt;&gt;Tabelle1[[#This Row],[total_payments]]),IF(Tabelle1[[#This Row],[total_payments]]="NaN","recalculate total","one-off/hardcoded"),"")</f>
        <v/>
      </c>
      <c r="V55" s="14"/>
      <c r="W55">
        <v>1624396</v>
      </c>
      <c r="X55">
        <v>869220</v>
      </c>
      <c r="Y55" t="s">
        <v>23</v>
      </c>
      <c r="Z55">
        <v>2493616</v>
      </c>
      <c r="AA55" s="1">
        <f>IF(COUNT(Tabelle1[[#This Row],[exercised_stock_options]:[restricted_stock_deferred]])=0,"NaN",SUM(Tabelle1[[#This Row],[exercised_stock_options]:[restricted_stock_deferred]]))</f>
        <v>2493616</v>
      </c>
      <c r="AB55" s="3" t="str">
        <f>IF(AND(Tabelle1[[#This Row],[total_stock_value_calc]]&lt;&gt;Tabelle1[[#This Row],[total_stock_value]]),IF(Tabelle1[[#This Row],[total_stock_value]]="NaN","recalculate total","one-off/hardcoded"),"")</f>
        <v/>
      </c>
      <c r="AC55"/>
      <c r="AD55"/>
      <c r="AE55"/>
      <c r="AF55"/>
      <c r="AI55"/>
      <c r="AJ55"/>
    </row>
    <row r="56" spans="1:36" hidden="1" x14ac:dyDescent="0.3">
      <c r="A56" t="s">
        <v>122</v>
      </c>
      <c r="B56" t="s">
        <v>24</v>
      </c>
      <c r="C56" t="s">
        <v>23</v>
      </c>
      <c r="D56" t="s">
        <v>23</v>
      </c>
      <c r="E56" t="s">
        <v>23</v>
      </c>
      <c r="F56" t="s">
        <v>23</v>
      </c>
      <c r="G56" t="s">
        <v>23</v>
      </c>
      <c r="H56" t="s">
        <v>23</v>
      </c>
      <c r="J56" t="s">
        <v>23</v>
      </c>
      <c r="K56" t="s">
        <v>23</v>
      </c>
      <c r="L56" t="s">
        <v>23</v>
      </c>
      <c r="M56">
        <v>-25000</v>
      </c>
      <c r="N56" t="s">
        <v>23</v>
      </c>
      <c r="O56" t="s">
        <v>23</v>
      </c>
      <c r="P56" t="s">
        <v>23</v>
      </c>
      <c r="Q56" t="s">
        <v>23</v>
      </c>
      <c r="R56">
        <v>112492</v>
      </c>
      <c r="S56" s="12">
        <v>87492</v>
      </c>
      <c r="T56" s="1">
        <f>IF(COUNT(Tabelle1[[#This Row],[salary]:[director_fees]])=0,"NaN",SUM(Tabelle1[[#This Row],[salary]:[director_fees]]))</f>
        <v>87492</v>
      </c>
      <c r="U56" s="3" t="str">
        <f>IF(AND(Tabelle1[[#This Row],[total_payments_calc]]&lt;&gt;Tabelle1[[#This Row],[total_payments]]),IF(Tabelle1[[#This Row],[total_payments]]="NaN","recalculate total","one-off/hardcoded"),"")</f>
        <v/>
      </c>
      <c r="V56" s="14"/>
      <c r="W56">
        <v>412878</v>
      </c>
      <c r="X56" t="s">
        <v>23</v>
      </c>
      <c r="Y56" t="s">
        <v>23</v>
      </c>
      <c r="Z56">
        <v>412878</v>
      </c>
      <c r="AA56" s="1">
        <f>IF(COUNT(Tabelle1[[#This Row],[exercised_stock_options]:[restricted_stock_deferred]])=0,"NaN",SUM(Tabelle1[[#This Row],[exercised_stock_options]:[restricted_stock_deferred]]))</f>
        <v>412878</v>
      </c>
      <c r="AB56" s="3" t="str">
        <f>IF(AND(Tabelle1[[#This Row],[total_stock_value_calc]]&lt;&gt;Tabelle1[[#This Row],[total_stock_value]]),IF(Tabelle1[[#This Row],[total_stock_value]]="NaN","recalculate total","one-off/hardcoded"),"")</f>
        <v/>
      </c>
      <c r="AC56"/>
      <c r="AD56"/>
      <c r="AE56"/>
      <c r="AF56"/>
      <c r="AI56"/>
      <c r="AJ56"/>
    </row>
    <row r="57" spans="1:36" hidden="1" x14ac:dyDescent="0.3">
      <c r="A57" t="s">
        <v>123</v>
      </c>
      <c r="B57" t="s">
        <v>24</v>
      </c>
      <c r="C57">
        <v>115</v>
      </c>
      <c r="D57">
        <v>74</v>
      </c>
      <c r="E57">
        <v>714</v>
      </c>
      <c r="F57">
        <v>552</v>
      </c>
      <c r="G57">
        <v>4</v>
      </c>
      <c r="H57" t="s">
        <v>124</v>
      </c>
      <c r="J57">
        <v>206121</v>
      </c>
      <c r="K57">
        <v>600000</v>
      </c>
      <c r="L57">
        <v>335349</v>
      </c>
      <c r="M57" t="s">
        <v>23</v>
      </c>
      <c r="N57" t="s">
        <v>23</v>
      </c>
      <c r="O57" t="s">
        <v>23</v>
      </c>
      <c r="P57">
        <v>25553</v>
      </c>
      <c r="Q57">
        <v>41626</v>
      </c>
      <c r="R57" t="s">
        <v>23</v>
      </c>
      <c r="S57" s="12">
        <v>1208649</v>
      </c>
      <c r="T57" s="1">
        <f>IF(COUNT(Tabelle1[[#This Row],[salary]:[director_fees]])=0,"NaN",SUM(Tabelle1[[#This Row],[salary]:[director_fees]]))</f>
        <v>1208649</v>
      </c>
      <c r="U57" s="3" t="str">
        <f>IF(AND(Tabelle1[[#This Row],[total_payments_calc]]&lt;&gt;Tabelle1[[#This Row],[total_payments]]),IF(Tabelle1[[#This Row],[total_payments]]="NaN","recalculate total","one-off/hardcoded"),"")</f>
        <v/>
      </c>
      <c r="V57" s="14"/>
      <c r="W57">
        <v>17378</v>
      </c>
      <c r="X57">
        <v>141833</v>
      </c>
      <c r="Y57" t="s">
        <v>23</v>
      </c>
      <c r="Z57">
        <v>159211</v>
      </c>
      <c r="AA57" s="1">
        <f>IF(COUNT(Tabelle1[[#This Row],[exercised_stock_options]:[restricted_stock_deferred]])=0,"NaN",SUM(Tabelle1[[#This Row],[exercised_stock_options]:[restricted_stock_deferred]]))</f>
        <v>159211</v>
      </c>
      <c r="AB57" s="3" t="str">
        <f>IF(AND(Tabelle1[[#This Row],[total_stock_value_calc]]&lt;&gt;Tabelle1[[#This Row],[total_stock_value]]),IF(Tabelle1[[#This Row],[total_stock_value]]="NaN","recalculate total","one-off/hardcoded"),"")</f>
        <v/>
      </c>
      <c r="AC57"/>
      <c r="AD57"/>
      <c r="AE57"/>
      <c r="AF57"/>
      <c r="AI57"/>
      <c r="AJ57"/>
    </row>
    <row r="58" spans="1:36" hidden="1" x14ac:dyDescent="0.3">
      <c r="A58" t="s">
        <v>125</v>
      </c>
      <c r="B58" t="s">
        <v>24</v>
      </c>
      <c r="C58" t="s">
        <v>23</v>
      </c>
      <c r="D58" t="s">
        <v>23</v>
      </c>
      <c r="E58" t="s">
        <v>23</v>
      </c>
      <c r="F58" t="s">
        <v>23</v>
      </c>
      <c r="G58" t="s">
        <v>23</v>
      </c>
      <c r="H58" t="s">
        <v>126</v>
      </c>
      <c r="J58">
        <v>174246</v>
      </c>
      <c r="K58" t="s">
        <v>23</v>
      </c>
      <c r="L58" t="s">
        <v>23</v>
      </c>
      <c r="M58">
        <v>-51042</v>
      </c>
      <c r="N58" t="s">
        <v>23</v>
      </c>
      <c r="O58" t="s">
        <v>23</v>
      </c>
      <c r="P58">
        <v>465357</v>
      </c>
      <c r="Q58">
        <v>116335</v>
      </c>
      <c r="R58" t="s">
        <v>23</v>
      </c>
      <c r="S58" s="12">
        <v>704896</v>
      </c>
      <c r="T58" s="1">
        <f>IF(COUNT(Tabelle1[[#This Row],[salary]:[director_fees]])=0,"NaN",SUM(Tabelle1[[#This Row],[salary]:[director_fees]]))</f>
        <v>704896</v>
      </c>
      <c r="U58" s="3" t="str">
        <f>IF(AND(Tabelle1[[#This Row],[total_payments_calc]]&lt;&gt;Tabelle1[[#This Row],[total_payments]]),IF(Tabelle1[[#This Row],[total_payments]]="NaN","recalculate total","one-off/hardcoded"),"")</f>
        <v/>
      </c>
      <c r="V58" s="14"/>
      <c r="W58" t="s">
        <v>23</v>
      </c>
      <c r="X58">
        <v>1034346</v>
      </c>
      <c r="Y58" t="s">
        <v>23</v>
      </c>
      <c r="Z58">
        <v>1034346</v>
      </c>
      <c r="AA58" s="1">
        <f>IF(COUNT(Tabelle1[[#This Row],[exercised_stock_options]:[restricted_stock_deferred]])=0,"NaN",SUM(Tabelle1[[#This Row],[exercised_stock_options]:[restricted_stock_deferred]]))</f>
        <v>1034346</v>
      </c>
      <c r="AB58" s="3" t="str">
        <f>IF(AND(Tabelle1[[#This Row],[total_stock_value_calc]]&lt;&gt;Tabelle1[[#This Row],[total_stock_value]]),IF(Tabelle1[[#This Row],[total_stock_value]]="NaN","recalculate total","one-off/hardcoded"),"")</f>
        <v/>
      </c>
      <c r="AC58"/>
      <c r="AD58"/>
      <c r="AE58"/>
      <c r="AF58"/>
      <c r="AI58"/>
      <c r="AJ58"/>
    </row>
    <row r="59" spans="1:36" hidden="1" x14ac:dyDescent="0.3">
      <c r="A59" t="s">
        <v>127</v>
      </c>
      <c r="B59" t="s">
        <v>24</v>
      </c>
      <c r="C59">
        <v>186</v>
      </c>
      <c r="D59">
        <v>556</v>
      </c>
      <c r="E59">
        <v>6019</v>
      </c>
      <c r="F59">
        <v>3920</v>
      </c>
      <c r="G59">
        <v>24</v>
      </c>
      <c r="H59" t="s">
        <v>128</v>
      </c>
      <c r="J59">
        <v>510364</v>
      </c>
      <c r="K59">
        <v>3000000</v>
      </c>
      <c r="L59">
        <v>808346</v>
      </c>
      <c r="M59" t="s">
        <v>23</v>
      </c>
      <c r="N59" t="s">
        <v>23</v>
      </c>
      <c r="O59" t="s">
        <v>23</v>
      </c>
      <c r="P59">
        <v>301026</v>
      </c>
      <c r="Q59">
        <v>57838</v>
      </c>
      <c r="R59" t="s">
        <v>23</v>
      </c>
      <c r="S59" s="12">
        <v>4677574</v>
      </c>
      <c r="T59" s="1">
        <f>IF(COUNT(Tabelle1[[#This Row],[salary]:[director_fees]])=0,"NaN",SUM(Tabelle1[[#This Row],[salary]:[director_fees]]))</f>
        <v>4677574</v>
      </c>
      <c r="U59" s="3" t="str">
        <f>IF(AND(Tabelle1[[#This Row],[total_payments_calc]]&lt;&gt;Tabelle1[[#This Row],[total_payments]]),IF(Tabelle1[[#This Row],[total_payments]]="NaN","recalculate total","one-off/hardcoded"),"")</f>
        <v/>
      </c>
      <c r="V59" s="14"/>
      <c r="W59">
        <v>3282960</v>
      </c>
      <c r="X59">
        <v>2796177</v>
      </c>
      <c r="Y59" t="s">
        <v>23</v>
      </c>
      <c r="Z59">
        <v>6079137</v>
      </c>
      <c r="AA59" s="1">
        <f>IF(COUNT(Tabelle1[[#This Row],[exercised_stock_options]:[restricted_stock_deferred]])=0,"NaN",SUM(Tabelle1[[#This Row],[exercised_stock_options]:[restricted_stock_deferred]]))</f>
        <v>6079137</v>
      </c>
      <c r="AB59" s="3" t="str">
        <f>IF(AND(Tabelle1[[#This Row],[total_stock_value_calc]]&lt;&gt;Tabelle1[[#This Row],[total_stock_value]]),IF(Tabelle1[[#This Row],[total_stock_value]]="NaN","recalculate total","one-off/hardcoded"),"")</f>
        <v/>
      </c>
      <c r="AC59"/>
      <c r="AD59"/>
      <c r="AE59"/>
      <c r="AF59"/>
      <c r="AI59"/>
      <c r="AJ59"/>
    </row>
    <row r="60" spans="1:36" hidden="1" x14ac:dyDescent="0.3">
      <c r="A60" t="s">
        <v>129</v>
      </c>
      <c r="B60" t="s">
        <v>24</v>
      </c>
      <c r="C60">
        <v>92</v>
      </c>
      <c r="D60">
        <v>2742</v>
      </c>
      <c r="E60">
        <v>3329</v>
      </c>
      <c r="F60">
        <v>2189</v>
      </c>
      <c r="G60">
        <v>194</v>
      </c>
      <c r="H60" t="s">
        <v>130</v>
      </c>
      <c r="J60">
        <v>365038</v>
      </c>
      <c r="K60">
        <v>1100000</v>
      </c>
      <c r="L60">
        <v>554422</v>
      </c>
      <c r="M60" t="s">
        <v>23</v>
      </c>
      <c r="N60" t="s">
        <v>23</v>
      </c>
      <c r="O60" t="s">
        <v>23</v>
      </c>
      <c r="P60">
        <v>540</v>
      </c>
      <c r="Q60">
        <v>81364</v>
      </c>
      <c r="R60" t="s">
        <v>23</v>
      </c>
      <c r="S60" s="12">
        <v>2101364</v>
      </c>
      <c r="T60" s="1">
        <f>IF(COUNT(Tabelle1[[#This Row],[salary]:[director_fees]])=0,"NaN",SUM(Tabelle1[[#This Row],[salary]:[director_fees]]))</f>
        <v>2101364</v>
      </c>
      <c r="U60" s="3" t="str">
        <f>IF(AND(Tabelle1[[#This Row],[total_payments_calc]]&lt;&gt;Tabelle1[[#This Row],[total_payments]]),IF(Tabelle1[[#This Row],[total_payments]]="NaN","recalculate total","one-off/hardcoded"),"")</f>
        <v/>
      </c>
      <c r="V60" s="14"/>
      <c r="W60">
        <v>1623010</v>
      </c>
      <c r="X60">
        <v>1478269</v>
      </c>
      <c r="Y60" t="s">
        <v>23</v>
      </c>
      <c r="Z60">
        <v>3101279</v>
      </c>
      <c r="AA60" s="1">
        <f>IF(COUNT(Tabelle1[[#This Row],[exercised_stock_options]:[restricted_stock_deferred]])=0,"NaN",SUM(Tabelle1[[#This Row],[exercised_stock_options]:[restricted_stock_deferred]]))</f>
        <v>3101279</v>
      </c>
      <c r="AB60" s="3" t="str">
        <f>IF(AND(Tabelle1[[#This Row],[total_stock_value_calc]]&lt;&gt;Tabelle1[[#This Row],[total_stock_value]]),IF(Tabelle1[[#This Row],[total_stock_value]]="NaN","recalculate total","one-off/hardcoded"),"")</f>
        <v/>
      </c>
      <c r="AC60"/>
      <c r="AD60"/>
      <c r="AE60"/>
      <c r="AF60"/>
      <c r="AI60"/>
      <c r="AJ60"/>
    </row>
    <row r="61" spans="1:36" hidden="1" x14ac:dyDescent="0.3">
      <c r="A61" t="s">
        <v>131</v>
      </c>
      <c r="B61" t="s">
        <v>24</v>
      </c>
      <c r="C61">
        <v>0</v>
      </c>
      <c r="D61">
        <v>16</v>
      </c>
      <c r="E61">
        <v>58</v>
      </c>
      <c r="F61">
        <v>3</v>
      </c>
      <c r="G61">
        <v>1</v>
      </c>
      <c r="H61" t="s">
        <v>132</v>
      </c>
      <c r="J61" t="s">
        <v>23</v>
      </c>
      <c r="K61" t="s">
        <v>23</v>
      </c>
      <c r="L61" t="s">
        <v>23</v>
      </c>
      <c r="M61" t="s">
        <v>23</v>
      </c>
      <c r="N61" t="s">
        <v>23</v>
      </c>
      <c r="O61" t="s">
        <v>23</v>
      </c>
      <c r="P61" t="s">
        <v>23</v>
      </c>
      <c r="Q61" t="s">
        <v>23</v>
      </c>
      <c r="R61" t="s">
        <v>23</v>
      </c>
      <c r="S61" s="12" t="s">
        <v>23</v>
      </c>
      <c r="T61" s="1" t="str">
        <f>IF(COUNT(Tabelle1[[#This Row],[salary]:[director_fees]])=0,"NaN",SUM(Tabelle1[[#This Row],[salary]:[director_fees]]))</f>
        <v>NaN</v>
      </c>
      <c r="U61" s="3" t="str">
        <f>IF(AND(Tabelle1[[#This Row],[total_payments_calc]]&lt;&gt;Tabelle1[[#This Row],[total_payments]]),IF(Tabelle1[[#This Row],[total_payments]]="NaN","recalculate total","one-off/hardcoded"),"")</f>
        <v/>
      </c>
      <c r="V61" s="14"/>
      <c r="W61" t="s">
        <v>23</v>
      </c>
      <c r="X61">
        <v>47304</v>
      </c>
      <c r="Y61" t="s">
        <v>23</v>
      </c>
      <c r="Z61" s="12">
        <v>47304</v>
      </c>
      <c r="AA61" s="1">
        <f>IF(COUNT(Tabelle1[[#This Row],[exercised_stock_options]:[restricted_stock_deferred]])=0,"NaN",SUM(Tabelle1[[#This Row],[exercised_stock_options]:[restricted_stock_deferred]]))</f>
        <v>47304</v>
      </c>
      <c r="AB61" s="3" t="str">
        <f>IF(AND(Tabelle1[[#This Row],[total_stock_value_calc]]&lt;&gt;Tabelle1[[#This Row],[total_stock_value]]),IF(Tabelle1[[#This Row],[total_stock_value]]="NaN","recalculate total","one-off/hardcoded"),"")</f>
        <v/>
      </c>
      <c r="AC61"/>
      <c r="AD61"/>
      <c r="AE61"/>
      <c r="AF61"/>
      <c r="AI61"/>
      <c r="AJ61"/>
    </row>
    <row r="62" spans="1:36" x14ac:dyDescent="0.3">
      <c r="A62" t="s">
        <v>133</v>
      </c>
      <c r="B62" t="s">
        <v>32</v>
      </c>
      <c r="C62">
        <v>66</v>
      </c>
      <c r="D62">
        <v>3069</v>
      </c>
      <c r="E62">
        <v>3093</v>
      </c>
      <c r="F62">
        <v>2097</v>
      </c>
      <c r="G62">
        <v>609</v>
      </c>
      <c r="H62" t="s">
        <v>134</v>
      </c>
      <c r="J62">
        <v>365163</v>
      </c>
      <c r="K62">
        <v>3000000</v>
      </c>
      <c r="L62">
        <v>1294981</v>
      </c>
      <c r="M62" t="s">
        <v>23</v>
      </c>
      <c r="N62" t="s">
        <v>23</v>
      </c>
      <c r="O62" t="s">
        <v>23</v>
      </c>
      <c r="P62">
        <v>1661</v>
      </c>
      <c r="Q62">
        <v>86174</v>
      </c>
      <c r="R62" t="s">
        <v>23</v>
      </c>
      <c r="S62" s="12">
        <v>4747979</v>
      </c>
      <c r="T62" s="1">
        <f>IF(COUNT(Tabelle1[[#This Row],[salary]:[director_fees]])=0,"NaN",SUM(Tabelle1[[#This Row],[salary]:[director_fees]]))</f>
        <v>4747979</v>
      </c>
      <c r="U62" s="3" t="str">
        <f>IF(AND(Tabelle1[[#This Row],[total_payments_calc]]&lt;&gt;Tabelle1[[#This Row],[total_payments]]),IF(Tabelle1[[#This Row],[total_payments]]="NaN","recalculate total","one-off/hardcoded"),"")</f>
        <v/>
      </c>
      <c r="V62" s="14"/>
      <c r="W62">
        <v>2291113</v>
      </c>
      <c r="X62">
        <v>1323148</v>
      </c>
      <c r="Y62" t="s">
        <v>23</v>
      </c>
      <c r="Z62">
        <v>3614261</v>
      </c>
      <c r="AA62" s="1">
        <f>IF(COUNT(Tabelle1[[#This Row],[exercised_stock_options]:[restricted_stock_deferred]])=0,"NaN",SUM(Tabelle1[[#This Row],[exercised_stock_options]:[restricted_stock_deferred]]))</f>
        <v>3614261</v>
      </c>
      <c r="AB62" s="3" t="str">
        <f>IF(AND(Tabelle1[[#This Row],[total_stock_value_calc]]&lt;&gt;Tabelle1[[#This Row],[total_stock_value]]),IF(Tabelle1[[#This Row],[total_stock_value]]="NaN","recalculate total","one-off/hardcoded"),"")</f>
        <v/>
      </c>
      <c r="AC62"/>
      <c r="AD62"/>
      <c r="AE62"/>
      <c r="AF62"/>
      <c r="AI62"/>
      <c r="AJ62"/>
    </row>
    <row r="63" spans="1:36" hidden="1" x14ac:dyDescent="0.3">
      <c r="A63" t="s">
        <v>135</v>
      </c>
      <c r="B63" t="s">
        <v>24</v>
      </c>
      <c r="C63" t="s">
        <v>23</v>
      </c>
      <c r="D63" t="s">
        <v>23</v>
      </c>
      <c r="E63" t="s">
        <v>23</v>
      </c>
      <c r="F63" t="s">
        <v>23</v>
      </c>
      <c r="G63" t="s">
        <v>23</v>
      </c>
      <c r="H63" t="s">
        <v>23</v>
      </c>
      <c r="J63">
        <v>162779</v>
      </c>
      <c r="K63">
        <v>100000</v>
      </c>
      <c r="L63">
        <v>554422</v>
      </c>
      <c r="M63" t="s">
        <v>23</v>
      </c>
      <c r="N63">
        <v>181993</v>
      </c>
      <c r="O63" t="s">
        <v>23</v>
      </c>
      <c r="P63">
        <v>162</v>
      </c>
      <c r="Q63" t="s">
        <v>23</v>
      </c>
      <c r="R63" t="s">
        <v>23</v>
      </c>
      <c r="S63" s="12">
        <v>999356</v>
      </c>
      <c r="T63" s="1">
        <f>IF(COUNT(Tabelle1[[#This Row],[salary]:[director_fees]])=0,"NaN",SUM(Tabelle1[[#This Row],[salary]:[director_fees]]))</f>
        <v>999356</v>
      </c>
      <c r="U63" s="3" t="str">
        <f>IF(AND(Tabelle1[[#This Row],[total_payments_calc]]&lt;&gt;Tabelle1[[#This Row],[total_payments]]),IF(Tabelle1[[#This Row],[total_payments]]="NaN","recalculate total","one-off/hardcoded"),"")</f>
        <v/>
      </c>
      <c r="V63" s="14"/>
      <c r="W63">
        <v>1362375</v>
      </c>
      <c r="X63" t="s">
        <v>23</v>
      </c>
      <c r="Y63" t="s">
        <v>23</v>
      </c>
      <c r="Z63">
        <v>1362375</v>
      </c>
      <c r="AA63" s="1">
        <f>IF(COUNT(Tabelle1[[#This Row],[exercised_stock_options]:[restricted_stock_deferred]])=0,"NaN",SUM(Tabelle1[[#This Row],[exercised_stock_options]:[restricted_stock_deferred]]))</f>
        <v>1362375</v>
      </c>
      <c r="AB63" s="3" t="str">
        <f>IF(AND(Tabelle1[[#This Row],[total_stock_value_calc]]&lt;&gt;Tabelle1[[#This Row],[total_stock_value]]),IF(Tabelle1[[#This Row],[total_stock_value]]="NaN","recalculate total","one-off/hardcoded"),"")</f>
        <v/>
      </c>
      <c r="AC63"/>
      <c r="AD63"/>
      <c r="AE63"/>
      <c r="AF63"/>
      <c r="AI63"/>
      <c r="AJ63"/>
    </row>
    <row r="64" spans="1:36" hidden="1" x14ac:dyDescent="0.3">
      <c r="A64" t="s">
        <v>136</v>
      </c>
      <c r="B64" t="s">
        <v>24</v>
      </c>
      <c r="C64" t="s">
        <v>23</v>
      </c>
      <c r="D64" t="s">
        <v>23</v>
      </c>
      <c r="E64" t="s">
        <v>23</v>
      </c>
      <c r="F64" t="s">
        <v>23</v>
      </c>
      <c r="G64" t="s">
        <v>23</v>
      </c>
      <c r="H64" t="s">
        <v>23</v>
      </c>
      <c r="J64" t="s">
        <v>23</v>
      </c>
      <c r="K64" t="s">
        <v>23</v>
      </c>
      <c r="L64" t="s">
        <v>23</v>
      </c>
      <c r="M64" t="s">
        <v>23</v>
      </c>
      <c r="N64" t="s">
        <v>23</v>
      </c>
      <c r="O64" t="s">
        <v>23</v>
      </c>
      <c r="P64" t="s">
        <v>23</v>
      </c>
      <c r="Q64" t="s">
        <v>23</v>
      </c>
      <c r="R64" t="s">
        <v>23</v>
      </c>
      <c r="S64" s="12" t="s">
        <v>23</v>
      </c>
      <c r="T64" s="1" t="str">
        <f>IF(COUNT(Tabelle1[[#This Row],[salary]:[director_fees]])=0,"NaN",SUM(Tabelle1[[#This Row],[salary]:[director_fees]]))</f>
        <v>NaN</v>
      </c>
      <c r="U64" s="3" t="str">
        <f>IF(AND(Tabelle1[[#This Row],[total_payments_calc]]&lt;&gt;Tabelle1[[#This Row],[total_payments]]),IF(Tabelle1[[#This Row],[total_payments]]="NaN","recalculate total","one-off/hardcoded"),"")</f>
        <v/>
      </c>
      <c r="V64" s="14"/>
      <c r="W64">
        <v>139130</v>
      </c>
      <c r="X64" t="s">
        <v>23</v>
      </c>
      <c r="Y64" t="s">
        <v>23</v>
      </c>
      <c r="Z64" s="12">
        <v>139130</v>
      </c>
      <c r="AA64" s="1">
        <f>IF(COUNT(Tabelle1[[#This Row],[exercised_stock_options]:[restricted_stock_deferred]])=0,"NaN",SUM(Tabelle1[[#This Row],[exercised_stock_options]:[restricted_stock_deferred]]))</f>
        <v>139130</v>
      </c>
      <c r="AB64" s="3" t="str">
        <f>IF(AND(Tabelle1[[#This Row],[total_stock_value_calc]]&lt;&gt;Tabelle1[[#This Row],[total_stock_value]]),IF(Tabelle1[[#This Row],[total_stock_value]]="NaN","recalculate total","one-off/hardcoded"),"")</f>
        <v/>
      </c>
      <c r="AC64"/>
      <c r="AD64"/>
      <c r="AE64"/>
      <c r="AF64"/>
      <c r="AI64"/>
      <c r="AJ64"/>
    </row>
    <row r="65" spans="1:36" hidden="1" x14ac:dyDescent="0.3">
      <c r="A65" t="s">
        <v>137</v>
      </c>
      <c r="B65" t="s">
        <v>24</v>
      </c>
      <c r="C65" t="s">
        <v>23</v>
      </c>
      <c r="D65" t="s">
        <v>23</v>
      </c>
      <c r="E65" t="s">
        <v>23</v>
      </c>
      <c r="F65" t="s">
        <v>23</v>
      </c>
      <c r="G65" t="s">
        <v>23</v>
      </c>
      <c r="H65" t="s">
        <v>138</v>
      </c>
      <c r="J65">
        <v>236457</v>
      </c>
      <c r="K65">
        <v>200000</v>
      </c>
      <c r="L65">
        <v>175000</v>
      </c>
      <c r="M65" t="s">
        <v>23</v>
      </c>
      <c r="N65">
        <v>204075</v>
      </c>
      <c r="O65" t="s">
        <v>23</v>
      </c>
      <c r="P65">
        <v>2630</v>
      </c>
      <c r="Q65">
        <v>57727</v>
      </c>
      <c r="R65" t="s">
        <v>23</v>
      </c>
      <c r="S65" s="12">
        <v>875889</v>
      </c>
      <c r="T65" s="1">
        <f>IF(COUNT(Tabelle1[[#This Row],[salary]:[director_fees]])=0,"NaN",SUM(Tabelle1[[#This Row],[salary]:[director_fees]]))</f>
        <v>875889</v>
      </c>
      <c r="U65" s="3" t="str">
        <f>IF(AND(Tabelle1[[#This Row],[total_payments_calc]]&lt;&gt;Tabelle1[[#This Row],[total_payments]]),IF(Tabelle1[[#This Row],[total_payments]]="NaN","recalculate total","one-off/hardcoded"),"")</f>
        <v/>
      </c>
      <c r="V65" s="14"/>
      <c r="W65">
        <v>2549361</v>
      </c>
      <c r="X65">
        <v>514847</v>
      </c>
      <c r="Y65" t="s">
        <v>23</v>
      </c>
      <c r="Z65">
        <v>3064208</v>
      </c>
      <c r="AA65" s="1">
        <f>IF(COUNT(Tabelle1[[#This Row],[exercised_stock_options]:[restricted_stock_deferred]])=0,"NaN",SUM(Tabelle1[[#This Row],[exercised_stock_options]:[restricted_stock_deferred]]))</f>
        <v>3064208</v>
      </c>
      <c r="AB65" s="3" t="str">
        <f>IF(AND(Tabelle1[[#This Row],[total_stock_value_calc]]&lt;&gt;Tabelle1[[#This Row],[total_stock_value]]),IF(Tabelle1[[#This Row],[total_stock_value]]="NaN","recalculate total","one-off/hardcoded"),"")</f>
        <v/>
      </c>
      <c r="AC65"/>
      <c r="AD65"/>
      <c r="AE65"/>
      <c r="AF65"/>
      <c r="AI65"/>
      <c r="AJ65"/>
    </row>
    <row r="66" spans="1:36" hidden="1" x14ac:dyDescent="0.3">
      <c r="A66" t="s">
        <v>139</v>
      </c>
      <c r="B66" t="s">
        <v>24</v>
      </c>
      <c r="C66" t="s">
        <v>23</v>
      </c>
      <c r="D66" t="s">
        <v>23</v>
      </c>
      <c r="E66" t="s">
        <v>23</v>
      </c>
      <c r="F66" t="s">
        <v>23</v>
      </c>
      <c r="G66" t="s">
        <v>23</v>
      </c>
      <c r="H66" t="s">
        <v>23</v>
      </c>
      <c r="J66" t="s">
        <v>23</v>
      </c>
      <c r="K66" t="s">
        <v>23</v>
      </c>
      <c r="L66" t="s">
        <v>23</v>
      </c>
      <c r="M66">
        <v>-38346</v>
      </c>
      <c r="N66" t="s">
        <v>23</v>
      </c>
      <c r="O66" t="s">
        <v>23</v>
      </c>
      <c r="P66" t="s">
        <v>23</v>
      </c>
      <c r="Q66">
        <v>2151</v>
      </c>
      <c r="R66">
        <v>38346</v>
      </c>
      <c r="S66" s="12">
        <v>2151</v>
      </c>
      <c r="T66" s="1">
        <f>IF(COUNT(Tabelle1[[#This Row],[salary]:[director_fees]])=0,"NaN",SUM(Tabelle1[[#This Row],[salary]:[director_fees]]))</f>
        <v>2151</v>
      </c>
      <c r="U66" s="3" t="str">
        <f>IF(AND(Tabelle1[[#This Row],[total_payments_calc]]&lt;&gt;Tabelle1[[#This Row],[total_payments]]),IF(Tabelle1[[#This Row],[total_payments]]="NaN","recalculate total","one-off/hardcoded"),"")</f>
        <v/>
      </c>
      <c r="V66" s="14"/>
      <c r="W66" t="s">
        <v>23</v>
      </c>
      <c r="X66" t="s">
        <v>23</v>
      </c>
      <c r="Y66" t="s">
        <v>23</v>
      </c>
      <c r="Z66" t="s">
        <v>23</v>
      </c>
      <c r="AA66" s="1" t="str">
        <f>IF(COUNT(Tabelle1[[#This Row],[exercised_stock_options]:[restricted_stock_deferred]])=0,"NaN",SUM(Tabelle1[[#This Row],[exercised_stock_options]:[restricted_stock_deferred]]))</f>
        <v>NaN</v>
      </c>
      <c r="AB66" s="3" t="str">
        <f>IF(AND(Tabelle1[[#This Row],[total_stock_value_calc]]&lt;&gt;Tabelle1[[#This Row],[total_stock_value]]),IF(Tabelle1[[#This Row],[total_stock_value]]="NaN","recalculate total","one-off/hardcoded"),"")</f>
        <v/>
      </c>
      <c r="AC66"/>
      <c r="AD66"/>
      <c r="AE66"/>
      <c r="AF66"/>
      <c r="AI66"/>
      <c r="AJ66"/>
    </row>
    <row r="67" spans="1:36" x14ac:dyDescent="0.3">
      <c r="A67" t="s">
        <v>140</v>
      </c>
      <c r="B67" t="s">
        <v>32</v>
      </c>
      <c r="C67">
        <v>123</v>
      </c>
      <c r="D67">
        <v>36</v>
      </c>
      <c r="E67">
        <v>4273</v>
      </c>
      <c r="F67">
        <v>2411</v>
      </c>
      <c r="G67">
        <v>16</v>
      </c>
      <c r="H67" t="s">
        <v>141</v>
      </c>
      <c r="J67">
        <v>1072321</v>
      </c>
      <c r="K67">
        <v>7000000</v>
      </c>
      <c r="L67">
        <v>3600000</v>
      </c>
      <c r="M67">
        <v>-300000</v>
      </c>
      <c r="N67">
        <v>202911</v>
      </c>
      <c r="O67">
        <v>81525000</v>
      </c>
      <c r="P67">
        <v>10359729</v>
      </c>
      <c r="Q67">
        <v>99832</v>
      </c>
      <c r="R67" t="s">
        <v>23</v>
      </c>
      <c r="S67" s="12">
        <v>103559793</v>
      </c>
      <c r="T67" s="1">
        <f>IF(COUNT(Tabelle1[[#This Row],[salary]:[director_fees]])=0,"NaN",SUM(Tabelle1[[#This Row],[salary]:[director_fees]]))</f>
        <v>103559793</v>
      </c>
      <c r="U67" s="3" t="str">
        <f>IF(AND(Tabelle1[[#This Row],[total_payments_calc]]&lt;&gt;Tabelle1[[#This Row],[total_payments]]),IF(Tabelle1[[#This Row],[total_payments]]="NaN","recalculate total","one-off/hardcoded"),"")</f>
        <v/>
      </c>
      <c r="V67" s="14"/>
      <c r="W67">
        <v>34348384</v>
      </c>
      <c r="X67">
        <v>14761694</v>
      </c>
      <c r="Y67" t="s">
        <v>23</v>
      </c>
      <c r="Z67">
        <v>49110078</v>
      </c>
      <c r="AA67" s="1">
        <f>IF(COUNT(Tabelle1[[#This Row],[exercised_stock_options]:[restricted_stock_deferred]])=0,"NaN",SUM(Tabelle1[[#This Row],[exercised_stock_options]:[restricted_stock_deferred]]))</f>
        <v>49110078</v>
      </c>
      <c r="AB67" s="3" t="str">
        <f>IF(AND(Tabelle1[[#This Row],[total_stock_value_calc]]&lt;&gt;Tabelle1[[#This Row],[total_stock_value]]),IF(Tabelle1[[#This Row],[total_stock_value]]="NaN","recalculate total","one-off/hardcoded"),"")</f>
        <v/>
      </c>
      <c r="AC67"/>
      <c r="AD67"/>
      <c r="AE67"/>
      <c r="AF67"/>
      <c r="AI67"/>
      <c r="AJ67"/>
    </row>
    <row r="68" spans="1:36" hidden="1" x14ac:dyDescent="0.3">
      <c r="A68" t="s">
        <v>142</v>
      </c>
      <c r="B68" t="s">
        <v>24</v>
      </c>
      <c r="C68" t="s">
        <v>23</v>
      </c>
      <c r="D68" t="s">
        <v>23</v>
      </c>
      <c r="E68" t="s">
        <v>23</v>
      </c>
      <c r="F68" t="s">
        <v>23</v>
      </c>
      <c r="G68" t="s">
        <v>23</v>
      </c>
      <c r="H68" t="s">
        <v>143</v>
      </c>
      <c r="J68">
        <v>261516</v>
      </c>
      <c r="K68">
        <v>750000</v>
      </c>
      <c r="L68">
        <v>175000</v>
      </c>
      <c r="M68">
        <v>-75000</v>
      </c>
      <c r="N68" t="s">
        <v>23</v>
      </c>
      <c r="O68" t="s">
        <v>23</v>
      </c>
      <c r="P68">
        <v>150656</v>
      </c>
      <c r="Q68">
        <v>9410</v>
      </c>
      <c r="R68" t="s">
        <v>23</v>
      </c>
      <c r="S68" s="12">
        <v>1271582</v>
      </c>
      <c r="T68" s="1">
        <f>IF(COUNT(Tabelle1[[#This Row],[salary]:[director_fees]])=0,"NaN",SUM(Tabelle1[[#This Row],[salary]:[director_fees]]))</f>
        <v>1271582</v>
      </c>
      <c r="U68" s="3" t="str">
        <f>IF(AND(Tabelle1[[#This Row],[total_payments_calc]]&lt;&gt;Tabelle1[[#This Row],[total_payments]]),IF(Tabelle1[[#This Row],[total_payments]]="NaN","recalculate total","one-off/hardcoded"),"")</f>
        <v/>
      </c>
      <c r="V68" s="14"/>
      <c r="W68" t="s">
        <v>23</v>
      </c>
      <c r="X68">
        <v>417619</v>
      </c>
      <c r="Y68" t="s">
        <v>23</v>
      </c>
      <c r="Z68">
        <v>417619</v>
      </c>
      <c r="AA68" s="1">
        <f>IF(COUNT(Tabelle1[[#This Row],[exercised_stock_options]:[restricted_stock_deferred]])=0,"NaN",SUM(Tabelle1[[#This Row],[exercised_stock_options]:[restricted_stock_deferred]]))</f>
        <v>417619</v>
      </c>
      <c r="AB68" s="3" t="str">
        <f>IF(AND(Tabelle1[[#This Row],[total_stock_value_calc]]&lt;&gt;Tabelle1[[#This Row],[total_stock_value]]),IF(Tabelle1[[#This Row],[total_stock_value]]="NaN","recalculate total","one-off/hardcoded"),"")</f>
        <v/>
      </c>
      <c r="AC68"/>
      <c r="AD68"/>
      <c r="AE68"/>
      <c r="AF68"/>
      <c r="AI68"/>
      <c r="AJ68"/>
    </row>
    <row r="69" spans="1:36" hidden="1" x14ac:dyDescent="0.3">
      <c r="A69" t="s">
        <v>144</v>
      </c>
      <c r="B69" t="s">
        <v>24</v>
      </c>
      <c r="C69">
        <v>20</v>
      </c>
      <c r="D69">
        <v>52</v>
      </c>
      <c r="E69">
        <v>1184</v>
      </c>
      <c r="F69">
        <v>856</v>
      </c>
      <c r="G69">
        <v>15</v>
      </c>
      <c r="H69" t="s">
        <v>145</v>
      </c>
      <c r="J69">
        <v>329078</v>
      </c>
      <c r="K69">
        <v>750000</v>
      </c>
      <c r="L69">
        <v>100000</v>
      </c>
      <c r="M69" t="s">
        <v>23</v>
      </c>
      <c r="N69">
        <v>77716</v>
      </c>
      <c r="O69" t="s">
        <v>23</v>
      </c>
      <c r="P69">
        <v>972</v>
      </c>
      <c r="Q69">
        <v>63791</v>
      </c>
      <c r="R69" t="s">
        <v>23</v>
      </c>
      <c r="S69" s="12">
        <v>1321557</v>
      </c>
      <c r="T69" s="1">
        <f>IF(COUNT(Tabelle1[[#This Row],[salary]:[director_fees]])=0,"NaN",SUM(Tabelle1[[#This Row],[salary]:[director_fees]]))</f>
        <v>1321557</v>
      </c>
      <c r="U69" s="3" t="str">
        <f>IF(AND(Tabelle1[[#This Row],[total_payments_calc]]&lt;&gt;Tabelle1[[#This Row],[total_payments]]),IF(Tabelle1[[#This Row],[total_payments]]="NaN","recalculate total","one-off/hardcoded"),"")</f>
        <v/>
      </c>
      <c r="V69" s="14"/>
      <c r="W69">
        <v>1637034</v>
      </c>
      <c r="X69">
        <v>969729</v>
      </c>
      <c r="Y69" t="s">
        <v>23</v>
      </c>
      <c r="Z69">
        <v>2606763</v>
      </c>
      <c r="AA69" s="1">
        <f>IF(COUNT(Tabelle1[[#This Row],[exercised_stock_options]:[restricted_stock_deferred]])=0,"NaN",SUM(Tabelle1[[#This Row],[exercised_stock_options]:[restricted_stock_deferred]]))</f>
        <v>2606763</v>
      </c>
      <c r="AB69" s="3" t="str">
        <f>IF(AND(Tabelle1[[#This Row],[total_stock_value_calc]]&lt;&gt;Tabelle1[[#This Row],[total_stock_value]]),IF(Tabelle1[[#This Row],[total_stock_value]]="NaN","recalculate total","one-off/hardcoded"),"")</f>
        <v/>
      </c>
      <c r="AC69"/>
      <c r="AD69"/>
      <c r="AE69"/>
      <c r="AF69"/>
      <c r="AI69"/>
      <c r="AJ69"/>
    </row>
    <row r="70" spans="1:36" hidden="1" x14ac:dyDescent="0.3">
      <c r="A70" t="s">
        <v>146</v>
      </c>
      <c r="B70" t="s">
        <v>24</v>
      </c>
      <c r="C70">
        <v>54</v>
      </c>
      <c r="D70">
        <v>13</v>
      </c>
      <c r="E70">
        <v>894</v>
      </c>
      <c r="F70">
        <v>720</v>
      </c>
      <c r="G70">
        <v>1</v>
      </c>
      <c r="H70" t="s">
        <v>147</v>
      </c>
      <c r="J70" t="s">
        <v>23</v>
      </c>
      <c r="K70" t="s">
        <v>23</v>
      </c>
      <c r="L70" t="s">
        <v>23</v>
      </c>
      <c r="M70" t="s">
        <v>23</v>
      </c>
      <c r="N70" t="s">
        <v>23</v>
      </c>
      <c r="O70" t="s">
        <v>23</v>
      </c>
      <c r="P70" t="s">
        <v>23</v>
      </c>
      <c r="Q70" t="s">
        <v>23</v>
      </c>
      <c r="R70" t="s">
        <v>23</v>
      </c>
      <c r="S70" s="12" t="s">
        <v>23</v>
      </c>
      <c r="T70" s="1" t="str">
        <f>IF(COUNT(Tabelle1[[#This Row],[salary]:[director_fees]])=0,"NaN",SUM(Tabelle1[[#This Row],[salary]:[director_fees]]))</f>
        <v>NaN</v>
      </c>
      <c r="U70" s="3" t="str">
        <f>IF(AND(Tabelle1[[#This Row],[total_payments_calc]]&lt;&gt;Tabelle1[[#This Row],[total_payments]]),IF(Tabelle1[[#This Row],[total_payments]]="NaN","recalculate total","one-off/hardcoded"),"")</f>
        <v/>
      </c>
      <c r="V70" s="14"/>
      <c r="W70">
        <v>757301</v>
      </c>
      <c r="X70">
        <v>934065</v>
      </c>
      <c r="Y70" t="s">
        <v>23</v>
      </c>
      <c r="Z70" s="12">
        <v>1691366</v>
      </c>
      <c r="AA70" s="1">
        <f>IF(COUNT(Tabelle1[[#This Row],[exercised_stock_options]:[restricted_stock_deferred]])=0,"NaN",SUM(Tabelle1[[#This Row],[exercised_stock_options]:[restricted_stock_deferred]]))</f>
        <v>1691366</v>
      </c>
      <c r="AB70" s="3" t="str">
        <f>IF(AND(Tabelle1[[#This Row],[total_stock_value_calc]]&lt;&gt;Tabelle1[[#This Row],[total_stock_value]]),IF(Tabelle1[[#This Row],[total_stock_value]]="NaN","recalculate total","one-off/hardcoded"),"")</f>
        <v/>
      </c>
      <c r="AC70"/>
      <c r="AD70"/>
      <c r="AE70"/>
      <c r="AF70"/>
      <c r="AI70"/>
      <c r="AJ70"/>
    </row>
    <row r="71" spans="1:36" hidden="1" x14ac:dyDescent="0.3">
      <c r="A71" t="s">
        <v>148</v>
      </c>
      <c r="B71" t="s">
        <v>24</v>
      </c>
      <c r="C71" t="s">
        <v>23</v>
      </c>
      <c r="D71" t="s">
        <v>23</v>
      </c>
      <c r="E71" t="s">
        <v>23</v>
      </c>
      <c r="F71" t="s">
        <v>23</v>
      </c>
      <c r="G71" t="s">
        <v>23</v>
      </c>
      <c r="H71" t="s">
        <v>23</v>
      </c>
      <c r="J71">
        <v>184899</v>
      </c>
      <c r="K71">
        <v>325000</v>
      </c>
      <c r="L71">
        <v>275000</v>
      </c>
      <c r="M71" t="s">
        <v>23</v>
      </c>
      <c r="N71" t="s">
        <v>23</v>
      </c>
      <c r="O71" t="s">
        <v>23</v>
      </c>
      <c r="P71">
        <v>713</v>
      </c>
      <c r="Q71">
        <v>22344</v>
      </c>
      <c r="R71" t="s">
        <v>23</v>
      </c>
      <c r="S71" s="12">
        <v>807956</v>
      </c>
      <c r="T71" s="1">
        <f>IF(COUNT(Tabelle1[[#This Row],[salary]:[director_fees]])=0,"NaN",SUM(Tabelle1[[#This Row],[salary]:[director_fees]]))</f>
        <v>807956</v>
      </c>
      <c r="U71" s="3" t="str">
        <f>IF(AND(Tabelle1[[#This Row],[total_payments_calc]]&lt;&gt;Tabelle1[[#This Row],[total_payments]]),IF(Tabelle1[[#This Row],[total_payments]]="NaN","recalculate total","one-off/hardcoded"),"")</f>
        <v/>
      </c>
      <c r="V71" s="14"/>
      <c r="W71" t="s">
        <v>23</v>
      </c>
      <c r="X71">
        <v>207940</v>
      </c>
      <c r="Y71" t="s">
        <v>23</v>
      </c>
      <c r="Z71">
        <v>207940</v>
      </c>
      <c r="AA71" s="1">
        <f>IF(COUNT(Tabelle1[[#This Row],[exercised_stock_options]:[restricted_stock_deferred]])=0,"NaN",SUM(Tabelle1[[#This Row],[exercised_stock_options]:[restricted_stock_deferred]]))</f>
        <v>207940</v>
      </c>
      <c r="AB71" s="3" t="str">
        <f>IF(AND(Tabelle1[[#This Row],[total_stock_value_calc]]&lt;&gt;Tabelle1[[#This Row],[total_stock_value]]),IF(Tabelle1[[#This Row],[total_stock_value]]="NaN","recalculate total","one-off/hardcoded"),"")</f>
        <v/>
      </c>
      <c r="AC71"/>
      <c r="AD71"/>
      <c r="AE71"/>
      <c r="AF71"/>
      <c r="AI71"/>
      <c r="AJ71"/>
    </row>
    <row r="72" spans="1:36" hidden="1" x14ac:dyDescent="0.3">
      <c r="A72" t="s">
        <v>149</v>
      </c>
      <c r="B72" t="s">
        <v>24</v>
      </c>
      <c r="C72" t="s">
        <v>23</v>
      </c>
      <c r="D72" t="s">
        <v>23</v>
      </c>
      <c r="E72" t="s">
        <v>23</v>
      </c>
      <c r="F72" t="s">
        <v>23</v>
      </c>
      <c r="G72" t="s">
        <v>23</v>
      </c>
      <c r="H72" t="s">
        <v>23</v>
      </c>
      <c r="J72">
        <v>192008</v>
      </c>
      <c r="K72">
        <v>509870</v>
      </c>
      <c r="L72" t="s">
        <v>23</v>
      </c>
      <c r="M72">
        <v>-1042</v>
      </c>
      <c r="N72">
        <v>73122</v>
      </c>
      <c r="O72" t="s">
        <v>23</v>
      </c>
      <c r="P72">
        <v>76547</v>
      </c>
      <c r="Q72">
        <v>50080</v>
      </c>
      <c r="R72" t="s">
        <v>23</v>
      </c>
      <c r="S72" s="12">
        <v>900585</v>
      </c>
      <c r="T72" s="1">
        <f>IF(COUNT(Tabelle1[[#This Row],[salary]:[director_fees]])=0,"NaN",SUM(Tabelle1[[#This Row],[salary]:[director_fees]]))</f>
        <v>900585</v>
      </c>
      <c r="U72" s="3" t="str">
        <f>IF(AND(Tabelle1[[#This Row],[total_payments_calc]]&lt;&gt;Tabelle1[[#This Row],[total_payments]]),IF(Tabelle1[[#This Row],[total_payments]]="NaN","recalculate total","one-off/hardcoded"),"")</f>
        <v/>
      </c>
      <c r="V72" s="14"/>
      <c r="W72">
        <v>83237</v>
      </c>
      <c r="X72">
        <v>235370</v>
      </c>
      <c r="Y72" t="s">
        <v>23</v>
      </c>
      <c r="Z72">
        <v>318607</v>
      </c>
      <c r="AA72" s="1">
        <f>IF(COUNT(Tabelle1[[#This Row],[exercised_stock_options]:[restricted_stock_deferred]])=0,"NaN",SUM(Tabelle1[[#This Row],[exercised_stock_options]:[restricted_stock_deferred]]))</f>
        <v>318607</v>
      </c>
      <c r="AB72" s="3" t="str">
        <f>IF(AND(Tabelle1[[#This Row],[total_stock_value_calc]]&lt;&gt;Tabelle1[[#This Row],[total_stock_value]]),IF(Tabelle1[[#This Row],[total_stock_value]]="NaN","recalculate total","one-off/hardcoded"),"")</f>
        <v/>
      </c>
      <c r="AC72"/>
      <c r="AD72"/>
      <c r="AE72"/>
      <c r="AF72"/>
      <c r="AI72"/>
      <c r="AJ72"/>
    </row>
    <row r="73" spans="1:36" hidden="1" x14ac:dyDescent="0.3">
      <c r="A73" t="s">
        <v>150</v>
      </c>
      <c r="B73" t="s">
        <v>24</v>
      </c>
      <c r="C73">
        <v>52</v>
      </c>
      <c r="D73">
        <v>49</v>
      </c>
      <c r="E73">
        <v>1744</v>
      </c>
      <c r="F73">
        <v>1469</v>
      </c>
      <c r="G73">
        <v>0</v>
      </c>
      <c r="H73" t="s">
        <v>151</v>
      </c>
      <c r="J73">
        <v>263413</v>
      </c>
      <c r="K73">
        <v>900000</v>
      </c>
      <c r="L73" t="s">
        <v>23</v>
      </c>
      <c r="M73">
        <v>-125000</v>
      </c>
      <c r="N73" t="s">
        <v>23</v>
      </c>
      <c r="O73" t="s">
        <v>23</v>
      </c>
      <c r="P73">
        <v>51587</v>
      </c>
      <c r="Q73">
        <v>228763</v>
      </c>
      <c r="R73" t="s">
        <v>23</v>
      </c>
      <c r="S73" s="12">
        <v>1318763</v>
      </c>
      <c r="T73" s="1">
        <f>IF(COUNT(Tabelle1[[#This Row],[salary]:[director_fees]])=0,"NaN",SUM(Tabelle1[[#This Row],[salary]:[director_fees]]))</f>
        <v>1318763</v>
      </c>
      <c r="U73" s="3" t="str">
        <f>IF(AND(Tabelle1[[#This Row],[total_payments_calc]]&lt;&gt;Tabelle1[[#This Row],[total_payments]]),IF(Tabelle1[[#This Row],[total_payments]]="NaN","recalculate total","one-off/hardcoded"),"")</f>
        <v/>
      </c>
      <c r="V73" s="14"/>
      <c r="W73">
        <v>506765</v>
      </c>
      <c r="X73">
        <v>441096</v>
      </c>
      <c r="Y73" t="s">
        <v>23</v>
      </c>
      <c r="Z73">
        <v>947861</v>
      </c>
      <c r="AA73" s="1">
        <f>IF(COUNT(Tabelle1[[#This Row],[exercised_stock_options]:[restricted_stock_deferred]])=0,"NaN",SUM(Tabelle1[[#This Row],[exercised_stock_options]:[restricted_stock_deferred]]))</f>
        <v>947861</v>
      </c>
      <c r="AB73" s="3" t="str">
        <f>IF(AND(Tabelle1[[#This Row],[total_stock_value_calc]]&lt;&gt;Tabelle1[[#This Row],[total_stock_value]]),IF(Tabelle1[[#This Row],[total_stock_value]]="NaN","recalculate total","one-off/hardcoded"),"")</f>
        <v/>
      </c>
      <c r="AC73"/>
      <c r="AD73"/>
      <c r="AE73"/>
      <c r="AF73"/>
      <c r="AI73"/>
      <c r="AJ73"/>
    </row>
    <row r="74" spans="1:36" hidden="1" x14ac:dyDescent="0.3">
      <c r="A74" t="s">
        <v>152</v>
      </c>
      <c r="B74" t="s">
        <v>24</v>
      </c>
      <c r="C74" t="s">
        <v>23</v>
      </c>
      <c r="D74" t="s">
        <v>23</v>
      </c>
      <c r="E74" t="s">
        <v>23</v>
      </c>
      <c r="F74" t="s">
        <v>23</v>
      </c>
      <c r="G74" t="s">
        <v>23</v>
      </c>
      <c r="H74" t="s">
        <v>153</v>
      </c>
      <c r="J74">
        <v>262663</v>
      </c>
      <c r="K74">
        <v>700000</v>
      </c>
      <c r="L74">
        <v>150000</v>
      </c>
      <c r="M74">
        <v>-280000</v>
      </c>
      <c r="N74" t="s">
        <v>23</v>
      </c>
      <c r="O74" t="s">
        <v>23</v>
      </c>
      <c r="P74">
        <v>416441</v>
      </c>
      <c r="Q74">
        <v>48357</v>
      </c>
      <c r="R74" t="s">
        <v>23</v>
      </c>
      <c r="S74" s="12">
        <v>1297461</v>
      </c>
      <c r="T74" s="1">
        <f>IF(COUNT(Tabelle1[[#This Row],[salary]:[director_fees]])=0,"NaN",SUM(Tabelle1[[#This Row],[salary]:[director_fees]]))</f>
        <v>1297461</v>
      </c>
      <c r="U74" s="3" t="str">
        <f>IF(AND(Tabelle1[[#This Row],[total_payments_calc]]&lt;&gt;Tabelle1[[#This Row],[total_payments]]),IF(Tabelle1[[#This Row],[total_payments]]="NaN","recalculate total","one-off/hardcoded"),"")</f>
        <v/>
      </c>
      <c r="V74" s="14"/>
      <c r="W74">
        <v>187500</v>
      </c>
      <c r="X74">
        <v>480632</v>
      </c>
      <c r="Y74" t="s">
        <v>23</v>
      </c>
      <c r="Z74">
        <v>668132</v>
      </c>
      <c r="AA74" s="1">
        <f>IF(COUNT(Tabelle1[[#This Row],[exercised_stock_options]:[restricted_stock_deferred]])=0,"NaN",SUM(Tabelle1[[#This Row],[exercised_stock_options]:[restricted_stock_deferred]]))</f>
        <v>668132</v>
      </c>
      <c r="AB74" s="3" t="str">
        <f>IF(AND(Tabelle1[[#This Row],[total_stock_value_calc]]&lt;&gt;Tabelle1[[#This Row],[total_stock_value]]),IF(Tabelle1[[#This Row],[total_stock_value]]="NaN","recalculate total","one-off/hardcoded"),"")</f>
        <v/>
      </c>
      <c r="AC74"/>
      <c r="AD74"/>
      <c r="AE74"/>
      <c r="AF74"/>
      <c r="AI74"/>
      <c r="AJ74"/>
    </row>
    <row r="75" spans="1:36" hidden="1" x14ac:dyDescent="0.3">
      <c r="A75" t="s">
        <v>154</v>
      </c>
      <c r="B75" t="s">
        <v>24</v>
      </c>
      <c r="C75" t="s">
        <v>23</v>
      </c>
      <c r="D75" t="s">
        <v>23</v>
      </c>
      <c r="E75" t="s">
        <v>23</v>
      </c>
      <c r="F75" t="s">
        <v>23</v>
      </c>
      <c r="G75" t="s">
        <v>23</v>
      </c>
      <c r="H75" t="s">
        <v>155</v>
      </c>
      <c r="J75" t="s">
        <v>23</v>
      </c>
      <c r="K75" t="s">
        <v>23</v>
      </c>
      <c r="L75" t="s">
        <v>23</v>
      </c>
      <c r="M75" t="s">
        <v>23</v>
      </c>
      <c r="N75" t="s">
        <v>23</v>
      </c>
      <c r="O75" t="s">
        <v>23</v>
      </c>
      <c r="P75" t="s">
        <v>23</v>
      </c>
      <c r="Q75" t="s">
        <v>23</v>
      </c>
      <c r="R75" t="s">
        <v>23</v>
      </c>
      <c r="S75" s="12" t="s">
        <v>23</v>
      </c>
      <c r="T75" s="1" t="str">
        <f>IF(COUNT(Tabelle1[[#This Row],[salary]:[director_fees]])=0,"NaN",SUM(Tabelle1[[#This Row],[salary]:[director_fees]]))</f>
        <v>NaN</v>
      </c>
      <c r="U75" s="3" t="str">
        <f>IF(AND(Tabelle1[[#This Row],[total_payments_calc]]&lt;&gt;Tabelle1[[#This Row],[total_payments]]),IF(Tabelle1[[#This Row],[total_payments]]="NaN","recalculate total","one-off/hardcoded"),"")</f>
        <v/>
      </c>
      <c r="V75" s="14"/>
      <c r="W75">
        <v>759557</v>
      </c>
      <c r="X75" t="s">
        <v>23</v>
      </c>
      <c r="Y75" t="s">
        <v>23</v>
      </c>
      <c r="Z75" s="12">
        <v>759557</v>
      </c>
      <c r="AA75" s="1">
        <f>IF(COUNT(Tabelle1[[#This Row],[exercised_stock_options]:[restricted_stock_deferred]])=0,"NaN",SUM(Tabelle1[[#This Row],[exercised_stock_options]:[restricted_stock_deferred]]))</f>
        <v>759557</v>
      </c>
      <c r="AB75" s="3" t="str">
        <f>IF(AND(Tabelle1[[#This Row],[total_stock_value_calc]]&lt;&gt;Tabelle1[[#This Row],[total_stock_value]]),IF(Tabelle1[[#This Row],[total_stock_value]]="NaN","recalculate total","one-off/hardcoded"),"")</f>
        <v/>
      </c>
      <c r="AC75"/>
      <c r="AD75"/>
      <c r="AE75"/>
      <c r="AF75"/>
      <c r="AI75"/>
      <c r="AJ75"/>
    </row>
    <row r="76" spans="1:36" hidden="1" x14ac:dyDescent="0.3">
      <c r="A76" t="s">
        <v>156</v>
      </c>
      <c r="B76" t="s">
        <v>24</v>
      </c>
      <c r="C76" t="s">
        <v>23</v>
      </c>
      <c r="D76" t="s">
        <v>23</v>
      </c>
      <c r="E76" t="s">
        <v>23</v>
      </c>
      <c r="F76" t="s">
        <v>23</v>
      </c>
      <c r="G76" t="s">
        <v>23</v>
      </c>
      <c r="H76" t="s">
        <v>23</v>
      </c>
      <c r="J76" t="s">
        <v>23</v>
      </c>
      <c r="K76" t="s">
        <v>23</v>
      </c>
      <c r="L76" t="s">
        <v>23</v>
      </c>
      <c r="M76" t="s">
        <v>23</v>
      </c>
      <c r="N76" t="s">
        <v>23</v>
      </c>
      <c r="O76" t="s">
        <v>23</v>
      </c>
      <c r="P76" t="s">
        <v>23</v>
      </c>
      <c r="Q76" t="s">
        <v>23</v>
      </c>
      <c r="R76" t="s">
        <v>23</v>
      </c>
      <c r="S76" s="12" t="s">
        <v>23</v>
      </c>
      <c r="T76" s="1" t="str">
        <f>IF(COUNT(Tabelle1[[#This Row],[salary]:[director_fees]])=0,"NaN",SUM(Tabelle1[[#This Row],[salary]:[director_fees]]))</f>
        <v>NaN</v>
      </c>
      <c r="U76" s="3" t="str">
        <f>IF(AND(Tabelle1[[#This Row],[total_payments_calc]]&lt;&gt;Tabelle1[[#This Row],[total_payments]]),IF(Tabelle1[[#This Row],[total_payments]]="NaN","recalculate total","one-off/hardcoded"),"")</f>
        <v/>
      </c>
      <c r="V76" s="14"/>
      <c r="W76">
        <v>1753766</v>
      </c>
      <c r="X76">
        <v>264013</v>
      </c>
      <c r="Y76">
        <v>-72419</v>
      </c>
      <c r="Z76" s="12">
        <v>1945360</v>
      </c>
      <c r="AA76" s="1">
        <f>IF(COUNT(Tabelle1[[#This Row],[exercised_stock_options]:[restricted_stock_deferred]])=0,"NaN",SUM(Tabelle1[[#This Row],[exercised_stock_options]:[restricted_stock_deferred]]))</f>
        <v>1945360</v>
      </c>
      <c r="AB76" s="3" t="str">
        <f>IF(AND(Tabelle1[[#This Row],[total_stock_value_calc]]&lt;&gt;Tabelle1[[#This Row],[total_stock_value]]),IF(Tabelle1[[#This Row],[total_stock_value]]="NaN","recalculate total","one-off/hardcoded"),"")</f>
        <v/>
      </c>
      <c r="AC76"/>
      <c r="AD76"/>
      <c r="AE76"/>
      <c r="AF76"/>
      <c r="AI76"/>
      <c r="AJ76"/>
    </row>
    <row r="77" spans="1:36" hidden="1" x14ac:dyDescent="0.3">
      <c r="A77" t="s">
        <v>157</v>
      </c>
      <c r="B77" t="s">
        <v>24</v>
      </c>
      <c r="C77">
        <v>180</v>
      </c>
      <c r="D77">
        <v>1941</v>
      </c>
      <c r="E77">
        <v>4009</v>
      </c>
      <c r="F77">
        <v>1847</v>
      </c>
      <c r="G77">
        <v>61</v>
      </c>
      <c r="H77" t="s">
        <v>158</v>
      </c>
      <c r="J77">
        <v>374125</v>
      </c>
      <c r="K77">
        <v>1150000</v>
      </c>
      <c r="L77">
        <v>983346</v>
      </c>
      <c r="M77">
        <v>-934484</v>
      </c>
      <c r="N77">
        <v>2157527</v>
      </c>
      <c r="O77" t="s">
        <v>23</v>
      </c>
      <c r="P77">
        <v>52382</v>
      </c>
      <c r="Q77">
        <v>76169</v>
      </c>
      <c r="R77" t="s">
        <v>23</v>
      </c>
      <c r="S77" s="12">
        <v>3859065</v>
      </c>
      <c r="T77" s="1">
        <f>IF(COUNT(Tabelle1[[#This Row],[salary]:[director_fees]])=0,"NaN",SUM(Tabelle1[[#This Row],[salary]:[director_fees]]))</f>
        <v>3859065</v>
      </c>
      <c r="U77" s="3" t="str">
        <f>IF(AND(Tabelle1[[#This Row],[total_payments_calc]]&lt;&gt;Tabelle1[[#This Row],[total_payments]]),IF(Tabelle1[[#This Row],[total_payments]]="NaN","recalculate total","one-off/hardcoded"),"")</f>
        <v/>
      </c>
      <c r="V77" s="14"/>
      <c r="W77">
        <v>608750</v>
      </c>
      <c r="X77">
        <v>524169</v>
      </c>
      <c r="Y77">
        <v>-329825</v>
      </c>
      <c r="Z77">
        <v>803094</v>
      </c>
      <c r="AA77" s="1">
        <f>IF(COUNT(Tabelle1[[#This Row],[exercised_stock_options]:[restricted_stock_deferred]])=0,"NaN",SUM(Tabelle1[[#This Row],[exercised_stock_options]:[restricted_stock_deferred]]))</f>
        <v>803094</v>
      </c>
      <c r="AB77" s="3" t="str">
        <f>IF(AND(Tabelle1[[#This Row],[total_stock_value_calc]]&lt;&gt;Tabelle1[[#This Row],[total_stock_value]]),IF(Tabelle1[[#This Row],[total_stock_value]]="NaN","recalculate total","one-off/hardcoded"),"")</f>
        <v/>
      </c>
      <c r="AC77"/>
      <c r="AD77"/>
      <c r="AE77"/>
      <c r="AF77"/>
      <c r="AI77"/>
      <c r="AJ77"/>
    </row>
    <row r="78" spans="1:36" x14ac:dyDescent="0.3">
      <c r="A78" t="s">
        <v>159</v>
      </c>
      <c r="B78" t="s">
        <v>32</v>
      </c>
      <c r="C78">
        <v>140</v>
      </c>
      <c r="D78">
        <v>27</v>
      </c>
      <c r="E78">
        <v>1858</v>
      </c>
      <c r="F78">
        <v>1593</v>
      </c>
      <c r="G78">
        <v>15</v>
      </c>
      <c r="H78" t="s">
        <v>160</v>
      </c>
      <c r="J78">
        <v>278601</v>
      </c>
      <c r="K78">
        <v>1350000</v>
      </c>
      <c r="L78">
        <v>974293</v>
      </c>
      <c r="M78">
        <v>-833</v>
      </c>
      <c r="N78" t="s">
        <v>23</v>
      </c>
      <c r="O78" t="s">
        <v>23</v>
      </c>
      <c r="P78">
        <v>1621</v>
      </c>
      <c r="Q78">
        <v>65907</v>
      </c>
      <c r="R78" t="s">
        <v>23</v>
      </c>
      <c r="S78" s="12">
        <v>2669589</v>
      </c>
      <c r="T78" s="1">
        <f>IF(COUNT(Tabelle1[[#This Row],[salary]:[director_fees]])=0,"NaN",SUM(Tabelle1[[#This Row],[salary]:[director_fees]]))</f>
        <v>2669589</v>
      </c>
      <c r="U78" s="3" t="str">
        <f>IF(AND(Tabelle1[[#This Row],[total_payments_calc]]&lt;&gt;Tabelle1[[#This Row],[total_payments]]),IF(Tabelle1[[#This Row],[total_payments]]="NaN","recalculate total","one-off/hardcoded"),"")</f>
        <v/>
      </c>
      <c r="V78" s="14"/>
      <c r="W78" t="s">
        <v>23</v>
      </c>
      <c r="X78">
        <v>252055</v>
      </c>
      <c r="Y78" t="s">
        <v>23</v>
      </c>
      <c r="Z78">
        <v>252055</v>
      </c>
      <c r="AA78" s="1">
        <f>IF(COUNT(Tabelle1[[#This Row],[exercised_stock_options]:[restricted_stock_deferred]])=0,"NaN",SUM(Tabelle1[[#This Row],[exercised_stock_options]:[restricted_stock_deferred]]))</f>
        <v>252055</v>
      </c>
      <c r="AB78" s="3" t="str">
        <f>IF(AND(Tabelle1[[#This Row],[total_stock_value_calc]]&lt;&gt;Tabelle1[[#This Row],[total_stock_value]]),IF(Tabelle1[[#This Row],[total_stock_value]]="NaN","recalculate total","one-off/hardcoded"),"")</f>
        <v/>
      </c>
      <c r="AC78"/>
      <c r="AD78"/>
      <c r="AE78"/>
      <c r="AF78"/>
      <c r="AI78"/>
      <c r="AJ78"/>
    </row>
    <row r="79" spans="1:36" hidden="1" x14ac:dyDescent="0.3">
      <c r="A79" t="s">
        <v>161</v>
      </c>
      <c r="B79" t="s">
        <v>24</v>
      </c>
      <c r="C79" t="s">
        <v>23</v>
      </c>
      <c r="D79" t="s">
        <v>23</v>
      </c>
      <c r="E79" t="s">
        <v>23</v>
      </c>
      <c r="F79" t="s">
        <v>23</v>
      </c>
      <c r="G79" t="s">
        <v>23</v>
      </c>
      <c r="H79" t="s">
        <v>23</v>
      </c>
      <c r="J79" t="s">
        <v>23</v>
      </c>
      <c r="K79" t="s">
        <v>23</v>
      </c>
      <c r="L79" t="s">
        <v>23</v>
      </c>
      <c r="M79" t="s">
        <v>23</v>
      </c>
      <c r="N79" t="s">
        <v>23</v>
      </c>
      <c r="O79" t="s">
        <v>23</v>
      </c>
      <c r="P79" t="s">
        <v>23</v>
      </c>
      <c r="Q79" t="s">
        <v>23</v>
      </c>
      <c r="R79" t="s">
        <v>23</v>
      </c>
      <c r="S79" s="12" t="s">
        <v>23</v>
      </c>
      <c r="T79" s="1" t="str">
        <f>IF(COUNT(Tabelle1[[#This Row],[salary]:[director_fees]])=0,"NaN",SUM(Tabelle1[[#This Row],[salary]:[director_fees]]))</f>
        <v>NaN</v>
      </c>
      <c r="U79" s="3" t="str">
        <f>IF(AND(Tabelle1[[#This Row],[total_payments_calc]]&lt;&gt;Tabelle1[[#This Row],[total_payments]]),IF(Tabelle1[[#This Row],[total_payments]]="NaN","recalculate total","one-off/hardcoded"),"")</f>
        <v/>
      </c>
      <c r="V79" s="14"/>
      <c r="W79">
        <v>9803</v>
      </c>
      <c r="X79">
        <v>75838</v>
      </c>
      <c r="Y79" t="s">
        <v>23</v>
      </c>
      <c r="Z79" s="12">
        <v>85641</v>
      </c>
      <c r="AA79" s="1">
        <f>IF(COUNT(Tabelle1[[#This Row],[exercised_stock_options]:[restricted_stock_deferred]])=0,"NaN",SUM(Tabelle1[[#This Row],[exercised_stock_options]:[restricted_stock_deferred]]))</f>
        <v>85641</v>
      </c>
      <c r="AB79" s="3" t="str">
        <f>IF(AND(Tabelle1[[#This Row],[total_stock_value_calc]]&lt;&gt;Tabelle1[[#This Row],[total_stock_value]]),IF(Tabelle1[[#This Row],[total_stock_value]]="NaN","recalculate total","one-off/hardcoded"),"")</f>
        <v/>
      </c>
      <c r="AC79"/>
      <c r="AD79"/>
      <c r="AE79"/>
      <c r="AF79"/>
      <c r="AI79"/>
      <c r="AJ79"/>
    </row>
    <row r="80" spans="1:36" hidden="1" x14ac:dyDescent="0.3">
      <c r="A80" t="s">
        <v>162</v>
      </c>
      <c r="B80" t="s">
        <v>24</v>
      </c>
      <c r="C80">
        <v>1</v>
      </c>
      <c r="D80">
        <v>16</v>
      </c>
      <c r="E80">
        <v>936</v>
      </c>
      <c r="F80">
        <v>723</v>
      </c>
      <c r="G80">
        <v>8</v>
      </c>
      <c r="H80" t="s">
        <v>163</v>
      </c>
      <c r="J80">
        <v>199157</v>
      </c>
      <c r="K80">
        <v>350000</v>
      </c>
      <c r="L80">
        <v>556416</v>
      </c>
      <c r="M80" t="s">
        <v>23</v>
      </c>
      <c r="N80" t="s">
        <v>23</v>
      </c>
      <c r="O80" t="s">
        <v>23</v>
      </c>
      <c r="P80">
        <v>285414</v>
      </c>
      <c r="Q80">
        <v>23870</v>
      </c>
      <c r="R80" t="s">
        <v>23</v>
      </c>
      <c r="S80" s="12">
        <v>1414857</v>
      </c>
      <c r="T80" s="1">
        <f>IF(COUNT(Tabelle1[[#This Row],[salary]:[director_fees]])=0,"NaN",SUM(Tabelle1[[#This Row],[salary]:[director_fees]]))</f>
        <v>1414857</v>
      </c>
      <c r="U80" s="3" t="str">
        <f>IF(AND(Tabelle1[[#This Row],[total_payments_calc]]&lt;&gt;Tabelle1[[#This Row],[total_payments]]),IF(Tabelle1[[#This Row],[total_payments]]="NaN","recalculate total","one-off/hardcoded"),"")</f>
        <v/>
      </c>
      <c r="V80" s="14"/>
      <c r="W80">
        <v>664461</v>
      </c>
      <c r="X80">
        <v>956775</v>
      </c>
      <c r="Y80" t="s">
        <v>23</v>
      </c>
      <c r="Z80">
        <v>1621236</v>
      </c>
      <c r="AA80" s="1">
        <f>IF(COUNT(Tabelle1[[#This Row],[exercised_stock_options]:[restricted_stock_deferred]])=0,"NaN",SUM(Tabelle1[[#This Row],[exercised_stock_options]:[restricted_stock_deferred]]))</f>
        <v>1621236</v>
      </c>
      <c r="AB80" s="3" t="str">
        <f>IF(AND(Tabelle1[[#This Row],[total_stock_value_calc]]&lt;&gt;Tabelle1[[#This Row],[total_stock_value]]),IF(Tabelle1[[#This Row],[total_stock_value]]="NaN","recalculate total","one-off/hardcoded"),"")</f>
        <v/>
      </c>
      <c r="AC80"/>
      <c r="AD80"/>
      <c r="AE80"/>
      <c r="AF80"/>
      <c r="AI80"/>
      <c r="AJ80"/>
    </row>
    <row r="81" spans="1:36" hidden="1" x14ac:dyDescent="0.3">
      <c r="A81" t="s">
        <v>164</v>
      </c>
      <c r="B81" t="s">
        <v>24</v>
      </c>
      <c r="C81">
        <v>0</v>
      </c>
      <c r="D81">
        <v>19</v>
      </c>
      <c r="E81">
        <v>672</v>
      </c>
      <c r="F81">
        <v>127</v>
      </c>
      <c r="G81">
        <v>0</v>
      </c>
      <c r="H81" t="s">
        <v>165</v>
      </c>
      <c r="J81" t="s">
        <v>23</v>
      </c>
      <c r="K81" t="s">
        <v>23</v>
      </c>
      <c r="L81" t="s">
        <v>23</v>
      </c>
      <c r="M81" t="s">
        <v>23</v>
      </c>
      <c r="N81" t="s">
        <v>23</v>
      </c>
      <c r="O81" t="s">
        <v>23</v>
      </c>
      <c r="P81" t="s">
        <v>23</v>
      </c>
      <c r="Q81" t="s">
        <v>23</v>
      </c>
      <c r="R81" t="s">
        <v>23</v>
      </c>
      <c r="S81" s="12" t="s">
        <v>23</v>
      </c>
      <c r="T81" s="1" t="str">
        <f>IF(COUNT(Tabelle1[[#This Row],[salary]:[director_fees]])=0,"NaN",SUM(Tabelle1[[#This Row],[salary]:[director_fees]]))</f>
        <v>NaN</v>
      </c>
      <c r="U81" s="3" t="str">
        <f>IF(AND(Tabelle1[[#This Row],[total_payments_calc]]&lt;&gt;Tabelle1[[#This Row],[total_payments]]),IF(Tabelle1[[#This Row],[total_payments]]="NaN","recalculate total","one-off/hardcoded"),"")</f>
        <v/>
      </c>
      <c r="V81" s="14"/>
      <c r="W81">
        <v>59539</v>
      </c>
      <c r="X81">
        <v>161602</v>
      </c>
      <c r="Y81" t="s">
        <v>23</v>
      </c>
      <c r="Z81" s="12">
        <v>221141</v>
      </c>
      <c r="AA81" s="1">
        <f>IF(COUNT(Tabelle1[[#This Row],[exercised_stock_options]:[restricted_stock_deferred]])=0,"NaN",SUM(Tabelle1[[#This Row],[exercised_stock_options]:[restricted_stock_deferred]]))</f>
        <v>221141</v>
      </c>
      <c r="AB81" s="3" t="str">
        <f>IF(AND(Tabelle1[[#This Row],[total_stock_value_calc]]&lt;&gt;Tabelle1[[#This Row],[total_stock_value]]),IF(Tabelle1[[#This Row],[total_stock_value]]="NaN","recalculate total","one-off/hardcoded"),"")</f>
        <v/>
      </c>
      <c r="AC81"/>
      <c r="AD81"/>
      <c r="AE81"/>
      <c r="AF81"/>
      <c r="AI81"/>
      <c r="AJ81"/>
    </row>
    <row r="82" spans="1:36" hidden="1" x14ac:dyDescent="0.3">
      <c r="A82" t="s">
        <v>166</v>
      </c>
      <c r="B82" t="s">
        <v>24</v>
      </c>
      <c r="C82">
        <v>204</v>
      </c>
      <c r="D82">
        <v>221</v>
      </c>
      <c r="E82">
        <v>1671</v>
      </c>
      <c r="F82">
        <v>1063</v>
      </c>
      <c r="G82">
        <v>49</v>
      </c>
      <c r="H82" t="s">
        <v>167</v>
      </c>
      <c r="J82">
        <v>96840</v>
      </c>
      <c r="K82" t="s">
        <v>23</v>
      </c>
      <c r="L82" t="s">
        <v>23</v>
      </c>
      <c r="M82" t="s">
        <v>23</v>
      </c>
      <c r="N82" t="s">
        <v>23</v>
      </c>
      <c r="O82" t="s">
        <v>23</v>
      </c>
      <c r="P82" t="s">
        <v>23</v>
      </c>
      <c r="Q82">
        <v>14689</v>
      </c>
      <c r="R82" t="s">
        <v>23</v>
      </c>
      <c r="S82" s="12">
        <v>111529</v>
      </c>
      <c r="T82" s="1">
        <f>IF(COUNT(Tabelle1[[#This Row],[salary]:[director_fees]])=0,"NaN",SUM(Tabelle1[[#This Row],[salary]:[director_fees]]))</f>
        <v>111529</v>
      </c>
      <c r="U82" s="3" t="str">
        <f>IF(AND(Tabelle1[[#This Row],[total_payments_calc]]&lt;&gt;Tabelle1[[#This Row],[total_payments]]),IF(Tabelle1[[#This Row],[total_payments]]="NaN","recalculate total","one-off/hardcoded"),"")</f>
        <v/>
      </c>
      <c r="V82" s="14"/>
      <c r="W82">
        <v>7509039</v>
      </c>
      <c r="X82">
        <v>381285</v>
      </c>
      <c r="Y82" t="s">
        <v>23</v>
      </c>
      <c r="Z82">
        <v>7890324</v>
      </c>
      <c r="AA82" s="1">
        <f>IF(COUNT(Tabelle1[[#This Row],[exercised_stock_options]:[restricted_stock_deferred]])=0,"NaN",SUM(Tabelle1[[#This Row],[exercised_stock_options]:[restricted_stock_deferred]]))</f>
        <v>7890324</v>
      </c>
      <c r="AB82" s="3" t="str">
        <f>IF(AND(Tabelle1[[#This Row],[total_stock_value_calc]]&lt;&gt;Tabelle1[[#This Row],[total_stock_value]]),IF(Tabelle1[[#This Row],[total_stock_value]]="NaN","recalculate total","one-off/hardcoded"),"")</f>
        <v/>
      </c>
      <c r="AC82"/>
      <c r="AD82"/>
      <c r="AE82"/>
      <c r="AF82"/>
      <c r="AI82"/>
      <c r="AJ82"/>
    </row>
    <row r="83" spans="1:36" hidden="1" x14ac:dyDescent="0.3">
      <c r="A83" t="s">
        <v>168</v>
      </c>
      <c r="B83" t="s">
        <v>24</v>
      </c>
      <c r="C83" t="s">
        <v>23</v>
      </c>
      <c r="D83" t="s">
        <v>23</v>
      </c>
      <c r="E83" t="s">
        <v>23</v>
      </c>
      <c r="F83" t="s">
        <v>23</v>
      </c>
      <c r="G83" t="s">
        <v>23</v>
      </c>
      <c r="H83" t="s">
        <v>23</v>
      </c>
      <c r="J83">
        <v>80818</v>
      </c>
      <c r="K83" t="s">
        <v>23</v>
      </c>
      <c r="L83">
        <v>93750</v>
      </c>
      <c r="M83" t="s">
        <v>23</v>
      </c>
      <c r="N83">
        <v>684694</v>
      </c>
      <c r="O83" t="s">
        <v>23</v>
      </c>
      <c r="P83">
        <v>874</v>
      </c>
      <c r="Q83" t="s">
        <v>23</v>
      </c>
      <c r="R83" t="s">
        <v>23</v>
      </c>
      <c r="S83" s="12">
        <v>860136</v>
      </c>
      <c r="T83" s="1">
        <f>IF(COUNT(Tabelle1[[#This Row],[salary]:[director_fees]])=0,"NaN",SUM(Tabelle1[[#This Row],[salary]:[director_fees]]))</f>
        <v>860136</v>
      </c>
      <c r="U83" s="3" t="str">
        <f>IF(AND(Tabelle1[[#This Row],[total_payments_calc]]&lt;&gt;Tabelle1[[#This Row],[total_payments]]),IF(Tabelle1[[#This Row],[total_payments]]="NaN","recalculate total","one-off/hardcoded"),"")</f>
        <v/>
      </c>
      <c r="V83" s="14"/>
      <c r="W83">
        <v>1599641</v>
      </c>
      <c r="X83" t="s">
        <v>23</v>
      </c>
      <c r="Y83" t="s">
        <v>23</v>
      </c>
      <c r="Z83">
        <v>1599641</v>
      </c>
      <c r="AA83" s="1">
        <f>IF(COUNT(Tabelle1[[#This Row],[exercised_stock_options]:[restricted_stock_deferred]])=0,"NaN",SUM(Tabelle1[[#This Row],[exercised_stock_options]:[restricted_stock_deferred]]))</f>
        <v>1599641</v>
      </c>
      <c r="AB83" s="3" t="str">
        <f>IF(AND(Tabelle1[[#This Row],[total_stock_value_calc]]&lt;&gt;Tabelle1[[#This Row],[total_stock_value]]),IF(Tabelle1[[#This Row],[total_stock_value]]="NaN","recalculate total","one-off/hardcoded"),"")</f>
        <v/>
      </c>
      <c r="AC83"/>
      <c r="AD83"/>
      <c r="AE83"/>
      <c r="AF83"/>
      <c r="AI83"/>
      <c r="AJ83"/>
    </row>
    <row r="84" spans="1:36" x14ac:dyDescent="0.3">
      <c r="A84" t="s">
        <v>169</v>
      </c>
      <c r="B84" t="s">
        <v>32</v>
      </c>
      <c r="C84">
        <v>228</v>
      </c>
      <c r="D84">
        <v>484</v>
      </c>
      <c r="E84">
        <v>7991</v>
      </c>
      <c r="F84">
        <v>5521</v>
      </c>
      <c r="G84">
        <v>108</v>
      </c>
      <c r="H84" t="s">
        <v>170</v>
      </c>
      <c r="J84">
        <v>213999</v>
      </c>
      <c r="K84">
        <v>5249999</v>
      </c>
      <c r="L84" t="s">
        <v>23</v>
      </c>
      <c r="M84">
        <v>-2334434</v>
      </c>
      <c r="N84">
        <v>2144013</v>
      </c>
      <c r="O84" t="s">
        <v>23</v>
      </c>
      <c r="P84">
        <v>210698</v>
      </c>
      <c r="Q84">
        <v>17355</v>
      </c>
      <c r="R84" t="s">
        <v>23</v>
      </c>
      <c r="S84" s="12">
        <v>5501630</v>
      </c>
      <c r="T84" s="1">
        <f>IF(COUNT(Tabelle1[[#This Row],[salary]:[director_fees]])=0,"NaN",SUM(Tabelle1[[#This Row],[salary]:[director_fees]]))</f>
        <v>5501630</v>
      </c>
      <c r="U84" s="3" t="str">
        <f>IF(AND(Tabelle1[[#This Row],[total_payments_calc]]&lt;&gt;Tabelle1[[#This Row],[total_payments]]),IF(Tabelle1[[#This Row],[total_payments]]="NaN","recalculate total","one-off/hardcoded"),"")</f>
        <v/>
      </c>
      <c r="V84" s="14"/>
      <c r="W84">
        <v>953136</v>
      </c>
      <c r="X84">
        <v>157569</v>
      </c>
      <c r="Y84" t="s">
        <v>23</v>
      </c>
      <c r="Z84">
        <v>1110705</v>
      </c>
      <c r="AA84" s="1">
        <f>IF(COUNT(Tabelle1[[#This Row],[exercised_stock_options]:[restricted_stock_deferred]])=0,"NaN",SUM(Tabelle1[[#This Row],[exercised_stock_options]:[restricted_stock_deferred]]))</f>
        <v>1110705</v>
      </c>
      <c r="AB84" s="3" t="str">
        <f>IF(AND(Tabelle1[[#This Row],[total_stock_value_calc]]&lt;&gt;Tabelle1[[#This Row],[total_stock_value]]),IF(Tabelle1[[#This Row],[total_stock_value]]="NaN","recalculate total","one-off/hardcoded"),"")</f>
        <v/>
      </c>
      <c r="AC84"/>
      <c r="AD84"/>
      <c r="AE84"/>
      <c r="AF84"/>
      <c r="AI84"/>
      <c r="AJ84"/>
    </row>
    <row r="85" spans="1:36" hidden="1" x14ac:dyDescent="0.3">
      <c r="A85" t="s">
        <v>171</v>
      </c>
      <c r="B85" t="s">
        <v>24</v>
      </c>
      <c r="C85">
        <v>106</v>
      </c>
      <c r="D85">
        <v>12</v>
      </c>
      <c r="E85">
        <v>904</v>
      </c>
      <c r="F85">
        <v>599</v>
      </c>
      <c r="G85">
        <v>3</v>
      </c>
      <c r="H85" t="s">
        <v>172</v>
      </c>
      <c r="J85">
        <v>210692</v>
      </c>
      <c r="K85">
        <v>750000</v>
      </c>
      <c r="L85">
        <v>1105218</v>
      </c>
      <c r="M85" t="s">
        <v>23</v>
      </c>
      <c r="N85" t="s">
        <v>23</v>
      </c>
      <c r="O85" t="s">
        <v>23</v>
      </c>
      <c r="P85">
        <v>1568</v>
      </c>
      <c r="Q85">
        <v>25785</v>
      </c>
      <c r="R85" t="s">
        <v>23</v>
      </c>
      <c r="S85" s="12">
        <v>2093263</v>
      </c>
      <c r="T85" s="1">
        <f>IF(COUNT(Tabelle1[[#This Row],[salary]:[director_fees]])=0,"NaN",SUM(Tabelle1[[#This Row],[salary]:[director_fees]]))</f>
        <v>2093263</v>
      </c>
      <c r="U85" s="3" t="str">
        <f>IF(AND(Tabelle1[[#This Row],[total_payments_calc]]&lt;&gt;Tabelle1[[#This Row],[total_payments]]),IF(Tabelle1[[#This Row],[total_payments]]="NaN","recalculate total","one-off/hardcoded"),"")</f>
        <v/>
      </c>
      <c r="V85" s="14"/>
      <c r="W85">
        <v>1451869</v>
      </c>
      <c r="X85">
        <v>189041</v>
      </c>
      <c r="Y85" t="s">
        <v>23</v>
      </c>
      <c r="Z85">
        <v>1640910</v>
      </c>
      <c r="AA85" s="1">
        <f>IF(COUNT(Tabelle1[[#This Row],[exercised_stock_options]:[restricted_stock_deferred]])=0,"NaN",SUM(Tabelle1[[#This Row],[exercised_stock_options]:[restricted_stock_deferred]]))</f>
        <v>1640910</v>
      </c>
      <c r="AB85" s="3" t="str">
        <f>IF(AND(Tabelle1[[#This Row],[total_stock_value_calc]]&lt;&gt;Tabelle1[[#This Row],[total_stock_value]]),IF(Tabelle1[[#This Row],[total_stock_value]]="NaN","recalculate total","one-off/hardcoded"),"")</f>
        <v/>
      </c>
      <c r="AC85"/>
      <c r="AD85"/>
      <c r="AE85"/>
      <c r="AF85"/>
      <c r="AI85"/>
      <c r="AJ85"/>
    </row>
    <row r="86" spans="1:36" hidden="1" x14ac:dyDescent="0.3">
      <c r="A86" t="s">
        <v>173</v>
      </c>
      <c r="B86" t="s">
        <v>24</v>
      </c>
      <c r="C86">
        <v>0</v>
      </c>
      <c r="D86">
        <v>41</v>
      </c>
      <c r="E86">
        <v>266</v>
      </c>
      <c r="F86">
        <v>73</v>
      </c>
      <c r="G86">
        <v>0</v>
      </c>
      <c r="H86" t="s">
        <v>174</v>
      </c>
      <c r="J86">
        <v>222093</v>
      </c>
      <c r="K86" t="s">
        <v>23</v>
      </c>
      <c r="L86">
        <v>200000</v>
      </c>
      <c r="M86" t="s">
        <v>23</v>
      </c>
      <c r="N86">
        <v>16586</v>
      </c>
      <c r="O86" t="s">
        <v>23</v>
      </c>
      <c r="P86">
        <v>426629</v>
      </c>
      <c r="Q86">
        <v>46145</v>
      </c>
      <c r="R86" t="s">
        <v>23</v>
      </c>
      <c r="S86" s="12">
        <v>911453</v>
      </c>
      <c r="T86" s="1">
        <f>IF(COUNT(Tabelle1[[#This Row],[salary]:[director_fees]])=0,"NaN",SUM(Tabelle1[[#This Row],[salary]:[director_fees]]))</f>
        <v>911453</v>
      </c>
      <c r="U86" s="3" t="str">
        <f>IF(AND(Tabelle1[[#This Row],[total_payments_calc]]&lt;&gt;Tabelle1[[#This Row],[total_payments]]),IF(Tabelle1[[#This Row],[total_payments]]="NaN","recalculate total","one-off/hardcoded"),"")</f>
        <v/>
      </c>
      <c r="V86" s="14"/>
      <c r="W86">
        <v>4452476</v>
      </c>
      <c r="X86">
        <v>365320</v>
      </c>
      <c r="Y86" t="s">
        <v>23</v>
      </c>
      <c r="Z86">
        <v>4817796</v>
      </c>
      <c r="AA86" s="1">
        <f>IF(COUNT(Tabelle1[[#This Row],[exercised_stock_options]:[restricted_stock_deferred]])=0,"NaN",SUM(Tabelle1[[#This Row],[exercised_stock_options]:[restricted_stock_deferred]]))</f>
        <v>4817796</v>
      </c>
      <c r="AB86" s="3" t="str">
        <f>IF(AND(Tabelle1[[#This Row],[total_stock_value_calc]]&lt;&gt;Tabelle1[[#This Row],[total_stock_value]]),IF(Tabelle1[[#This Row],[total_stock_value]]="NaN","recalculate total","one-off/hardcoded"),"")</f>
        <v/>
      </c>
      <c r="AC86"/>
      <c r="AD86"/>
      <c r="AE86"/>
      <c r="AF86"/>
      <c r="AI86"/>
      <c r="AJ86"/>
    </row>
    <row r="87" spans="1:36" x14ac:dyDescent="0.3">
      <c r="A87" t="s">
        <v>175</v>
      </c>
      <c r="B87" t="s">
        <v>32</v>
      </c>
      <c r="C87" t="s">
        <v>23</v>
      </c>
      <c r="D87" t="s">
        <v>23</v>
      </c>
      <c r="E87" t="s">
        <v>23</v>
      </c>
      <c r="F87" t="s">
        <v>23</v>
      </c>
      <c r="G87" t="s">
        <v>23</v>
      </c>
      <c r="H87" t="s">
        <v>176</v>
      </c>
      <c r="J87">
        <v>440698</v>
      </c>
      <c r="K87">
        <v>1300000</v>
      </c>
      <c r="L87">
        <v>1736055</v>
      </c>
      <c r="M87">
        <v>-1386055</v>
      </c>
      <c r="N87" t="s">
        <v>23</v>
      </c>
      <c r="O87" t="s">
        <v>23</v>
      </c>
      <c r="P87">
        <v>277464</v>
      </c>
      <c r="Q87">
        <v>55921</v>
      </c>
      <c r="R87" t="s">
        <v>23</v>
      </c>
      <c r="S87" s="12">
        <v>2424083</v>
      </c>
      <c r="T87" s="1">
        <f>IF(COUNT(Tabelle1[[#This Row],[salary]:[director_fees]])=0,"NaN",SUM(Tabelle1[[#This Row],[salary]:[director_fees]]))</f>
        <v>2424083</v>
      </c>
      <c r="U87" s="3" t="str">
        <f>IF(AND(Tabelle1[[#This Row],[total_payments_calc]]&lt;&gt;Tabelle1[[#This Row],[total_payments]]),IF(Tabelle1[[#This Row],[total_payments]]="NaN","recalculate total","one-off/hardcoded"),"")</f>
        <v/>
      </c>
      <c r="V87" s="14"/>
      <c r="W87" t="s">
        <v>23</v>
      </c>
      <c r="X87">
        <v>1794412</v>
      </c>
      <c r="Y87" t="s">
        <v>23</v>
      </c>
      <c r="Z87">
        <v>1794412</v>
      </c>
      <c r="AA87" s="1">
        <f>IF(COUNT(Tabelle1[[#This Row],[exercised_stock_options]:[restricted_stock_deferred]])=0,"NaN",SUM(Tabelle1[[#This Row],[exercised_stock_options]:[restricted_stock_deferred]]))</f>
        <v>1794412</v>
      </c>
      <c r="AB87" s="3" t="str">
        <f>IF(AND(Tabelle1[[#This Row],[total_stock_value_calc]]&lt;&gt;Tabelle1[[#This Row],[total_stock_value]]),IF(Tabelle1[[#This Row],[total_stock_value]]="NaN","recalculate total","one-off/hardcoded"),"")</f>
        <v/>
      </c>
      <c r="AC87"/>
      <c r="AD87"/>
      <c r="AE87"/>
      <c r="AF87"/>
      <c r="AI87"/>
      <c r="AJ87"/>
    </row>
    <row r="88" spans="1:36" hidden="1" x14ac:dyDescent="0.3">
      <c r="A88" t="s">
        <v>177</v>
      </c>
      <c r="B88" t="s">
        <v>24</v>
      </c>
      <c r="C88">
        <v>0</v>
      </c>
      <c r="D88">
        <v>13</v>
      </c>
      <c r="E88">
        <v>57</v>
      </c>
      <c r="F88">
        <v>2</v>
      </c>
      <c r="G88">
        <v>0</v>
      </c>
      <c r="H88" t="s">
        <v>178</v>
      </c>
      <c r="J88" t="s">
        <v>23</v>
      </c>
      <c r="K88" t="s">
        <v>23</v>
      </c>
      <c r="L88" t="s">
        <v>23</v>
      </c>
      <c r="M88" t="s">
        <v>23</v>
      </c>
      <c r="N88">
        <v>181755</v>
      </c>
      <c r="O88" t="s">
        <v>23</v>
      </c>
      <c r="P88" t="s">
        <v>23</v>
      </c>
      <c r="Q88" t="s">
        <v>23</v>
      </c>
      <c r="R88" t="s">
        <v>23</v>
      </c>
      <c r="S88" s="12">
        <v>181755</v>
      </c>
      <c r="T88" s="1">
        <f>IF(COUNT(Tabelle1[[#This Row],[salary]:[director_fees]])=0,"NaN",SUM(Tabelle1[[#This Row],[salary]:[director_fees]]))</f>
        <v>181755</v>
      </c>
      <c r="U88" s="3" t="str">
        <f>IF(AND(Tabelle1[[#This Row],[total_payments_calc]]&lt;&gt;Tabelle1[[#This Row],[total_payments]]),IF(Tabelle1[[#This Row],[total_payments]]="NaN","recalculate total","one-off/hardcoded"),"")</f>
        <v/>
      </c>
      <c r="V88" s="14"/>
      <c r="W88">
        <v>343434</v>
      </c>
      <c r="X88" t="s">
        <v>23</v>
      </c>
      <c r="Y88" t="s">
        <v>23</v>
      </c>
      <c r="Z88">
        <v>343434</v>
      </c>
      <c r="AA88" s="1">
        <f>IF(COUNT(Tabelle1[[#This Row],[exercised_stock_options]:[restricted_stock_deferred]])=0,"NaN",SUM(Tabelle1[[#This Row],[exercised_stock_options]:[restricted_stock_deferred]]))</f>
        <v>343434</v>
      </c>
      <c r="AB88" s="3" t="str">
        <f>IF(AND(Tabelle1[[#This Row],[total_stock_value_calc]]&lt;&gt;Tabelle1[[#This Row],[total_stock_value]]),IF(Tabelle1[[#This Row],[total_stock_value]]="NaN","recalculate total","one-off/hardcoded"),"")</f>
        <v/>
      </c>
      <c r="AC88"/>
      <c r="AD88"/>
      <c r="AE88"/>
      <c r="AF88"/>
      <c r="AI88"/>
      <c r="AJ88"/>
    </row>
    <row r="89" spans="1:36" x14ac:dyDescent="0.3">
      <c r="A89" t="s">
        <v>179</v>
      </c>
      <c r="B89" t="s">
        <v>32</v>
      </c>
      <c r="C89">
        <v>199</v>
      </c>
      <c r="D89">
        <v>144</v>
      </c>
      <c r="E89">
        <v>2598</v>
      </c>
      <c r="F89">
        <v>2188</v>
      </c>
      <c r="G89">
        <v>25</v>
      </c>
      <c r="H89" t="s">
        <v>180</v>
      </c>
      <c r="J89">
        <v>240189</v>
      </c>
      <c r="K89">
        <v>1250000</v>
      </c>
      <c r="L89">
        <v>375304</v>
      </c>
      <c r="M89">
        <v>-262500</v>
      </c>
      <c r="N89" t="s">
        <v>23</v>
      </c>
      <c r="O89" t="s">
        <v>23</v>
      </c>
      <c r="P89">
        <v>486</v>
      </c>
      <c r="Q89">
        <v>35818</v>
      </c>
      <c r="R89" t="s">
        <v>23</v>
      </c>
      <c r="S89" s="12">
        <v>1639297</v>
      </c>
      <c r="T89" s="1">
        <f>IF(COUNT(Tabelle1[[#This Row],[salary]:[director_fees]])=0,"NaN",SUM(Tabelle1[[#This Row],[salary]:[director_fees]]))</f>
        <v>1639297</v>
      </c>
      <c r="U89" s="3" t="str">
        <f>IF(AND(Tabelle1[[#This Row],[total_payments_calc]]&lt;&gt;Tabelle1[[#This Row],[total_payments]]),IF(Tabelle1[[#This Row],[total_payments]]="NaN","recalculate total","one-off/hardcoded"),"")</f>
        <v/>
      </c>
      <c r="V89" s="14"/>
      <c r="W89" t="s">
        <v>23</v>
      </c>
      <c r="X89">
        <v>126027</v>
      </c>
      <c r="Y89" t="s">
        <v>23</v>
      </c>
      <c r="Z89">
        <v>126027</v>
      </c>
      <c r="AA89" s="1">
        <f>IF(COUNT(Tabelle1[[#This Row],[exercised_stock_options]:[restricted_stock_deferred]])=0,"NaN",SUM(Tabelle1[[#This Row],[exercised_stock_options]:[restricted_stock_deferred]]))</f>
        <v>126027</v>
      </c>
      <c r="AB89" s="3" t="str">
        <f>IF(AND(Tabelle1[[#This Row],[total_stock_value_calc]]&lt;&gt;Tabelle1[[#This Row],[total_stock_value]]),IF(Tabelle1[[#This Row],[total_stock_value]]="NaN","recalculate total","one-off/hardcoded"),"")</f>
        <v/>
      </c>
      <c r="AC89"/>
      <c r="AD89"/>
      <c r="AE89"/>
      <c r="AF89"/>
      <c r="AI89"/>
      <c r="AJ89"/>
    </row>
    <row r="90" spans="1:36" x14ac:dyDescent="0.3">
      <c r="A90" t="s">
        <v>181</v>
      </c>
      <c r="B90" t="s">
        <v>32</v>
      </c>
      <c r="C90">
        <v>42</v>
      </c>
      <c r="D90">
        <v>18</v>
      </c>
      <c r="E90">
        <v>905</v>
      </c>
      <c r="F90">
        <v>864</v>
      </c>
      <c r="G90">
        <v>4</v>
      </c>
      <c r="H90" t="s">
        <v>182</v>
      </c>
      <c r="J90">
        <v>420636</v>
      </c>
      <c r="K90">
        <v>1750000</v>
      </c>
      <c r="L90">
        <v>1617011</v>
      </c>
      <c r="M90">
        <v>-3504386</v>
      </c>
      <c r="N90" t="s">
        <v>23</v>
      </c>
      <c r="O90" t="s">
        <v>23</v>
      </c>
      <c r="P90">
        <v>174839</v>
      </c>
      <c r="Q90">
        <v>46950</v>
      </c>
      <c r="R90" t="s">
        <v>23</v>
      </c>
      <c r="S90" s="12">
        <v>505050</v>
      </c>
      <c r="T90" s="1">
        <f>IF(COUNT(Tabelle1[[#This Row],[salary]:[director_fees]])=0,"NaN",SUM(Tabelle1[[#This Row],[salary]:[director_fees]]))</f>
        <v>505050</v>
      </c>
      <c r="U90" s="3" t="str">
        <f>IF(AND(Tabelle1[[#This Row],[total_payments_calc]]&lt;&gt;Tabelle1[[#This Row],[total_payments]]),IF(Tabelle1[[#This Row],[total_payments]]="NaN","recalculate total","one-off/hardcoded"),"")</f>
        <v/>
      </c>
      <c r="V90" s="14"/>
      <c r="W90">
        <v>19794175</v>
      </c>
      <c r="X90">
        <v>2748364</v>
      </c>
      <c r="Y90" t="s">
        <v>23</v>
      </c>
      <c r="Z90">
        <v>22542539</v>
      </c>
      <c r="AA90" s="1">
        <f>IF(COUNT(Tabelle1[[#This Row],[exercised_stock_options]:[restricted_stock_deferred]])=0,"NaN",SUM(Tabelle1[[#This Row],[exercised_stock_options]:[restricted_stock_deferred]]))</f>
        <v>22542539</v>
      </c>
      <c r="AB90" s="3" t="str">
        <f>IF(AND(Tabelle1[[#This Row],[total_stock_value_calc]]&lt;&gt;Tabelle1[[#This Row],[total_stock_value]]),IF(Tabelle1[[#This Row],[total_stock_value]]="NaN","recalculate total","one-off/hardcoded"),"")</f>
        <v/>
      </c>
      <c r="AC90"/>
      <c r="AD90"/>
      <c r="AE90"/>
      <c r="AF90"/>
      <c r="AI90"/>
      <c r="AJ90"/>
    </row>
    <row r="91" spans="1:36" hidden="1" x14ac:dyDescent="0.3">
      <c r="A91" t="s">
        <v>183</v>
      </c>
      <c r="B91" t="s">
        <v>24</v>
      </c>
      <c r="C91">
        <v>41</v>
      </c>
      <c r="D91">
        <v>14368</v>
      </c>
      <c r="E91">
        <v>4607</v>
      </c>
      <c r="F91">
        <v>583</v>
      </c>
      <c r="G91">
        <v>171</v>
      </c>
      <c r="H91" t="s">
        <v>184</v>
      </c>
      <c r="J91">
        <v>275101</v>
      </c>
      <c r="K91">
        <v>400000</v>
      </c>
      <c r="L91">
        <v>323466</v>
      </c>
      <c r="M91" t="s">
        <v>23</v>
      </c>
      <c r="N91" t="s">
        <v>23</v>
      </c>
      <c r="O91" t="s">
        <v>23</v>
      </c>
      <c r="P91">
        <v>4669</v>
      </c>
      <c r="Q91">
        <v>83585</v>
      </c>
      <c r="R91" t="s">
        <v>23</v>
      </c>
      <c r="S91" s="12">
        <v>1086821</v>
      </c>
      <c r="T91" s="1">
        <f>IF(COUNT(Tabelle1[[#This Row],[salary]:[director_fees]])=0,"NaN",SUM(Tabelle1[[#This Row],[salary]:[director_fees]]))</f>
        <v>1086821</v>
      </c>
      <c r="U91" s="3" t="str">
        <f>IF(AND(Tabelle1[[#This Row],[total_payments_calc]]&lt;&gt;Tabelle1[[#This Row],[total_payments]]),IF(Tabelle1[[#This Row],[total_payments]]="NaN","recalculate total","one-off/hardcoded"),"")</f>
        <v/>
      </c>
      <c r="V91" s="14"/>
      <c r="W91">
        <v>850010</v>
      </c>
      <c r="X91">
        <v>126027</v>
      </c>
      <c r="Y91" t="s">
        <v>23</v>
      </c>
      <c r="Z91">
        <v>976037</v>
      </c>
      <c r="AA91" s="1">
        <f>IF(COUNT(Tabelle1[[#This Row],[exercised_stock_options]:[restricted_stock_deferred]])=0,"NaN",SUM(Tabelle1[[#This Row],[exercised_stock_options]:[restricted_stock_deferred]]))</f>
        <v>976037</v>
      </c>
      <c r="AB91" s="3" t="str">
        <f>IF(AND(Tabelle1[[#This Row],[total_stock_value_calc]]&lt;&gt;Tabelle1[[#This Row],[total_stock_value]]),IF(Tabelle1[[#This Row],[total_stock_value]]="NaN","recalculate total","one-off/hardcoded"),"")</f>
        <v/>
      </c>
      <c r="AC91"/>
      <c r="AD91"/>
      <c r="AE91"/>
      <c r="AF91"/>
      <c r="AI91"/>
      <c r="AJ91"/>
    </row>
    <row r="92" spans="1:36" hidden="1" x14ac:dyDescent="0.3">
      <c r="A92" t="s">
        <v>185</v>
      </c>
      <c r="B92" t="s">
        <v>24</v>
      </c>
      <c r="C92" t="s">
        <v>23</v>
      </c>
      <c r="D92" t="s">
        <v>23</v>
      </c>
      <c r="E92" t="s">
        <v>23</v>
      </c>
      <c r="F92" t="s">
        <v>23</v>
      </c>
      <c r="G92" t="s">
        <v>23</v>
      </c>
      <c r="H92" t="s">
        <v>23</v>
      </c>
      <c r="J92" t="s">
        <v>23</v>
      </c>
      <c r="K92" t="s">
        <v>23</v>
      </c>
      <c r="L92" t="s">
        <v>23</v>
      </c>
      <c r="M92" t="s">
        <v>23</v>
      </c>
      <c r="N92" t="s">
        <v>23</v>
      </c>
      <c r="O92" t="s">
        <v>23</v>
      </c>
      <c r="P92" t="s">
        <v>23</v>
      </c>
      <c r="Q92" t="s">
        <v>23</v>
      </c>
      <c r="R92" t="s">
        <v>23</v>
      </c>
      <c r="S92" s="12" t="s">
        <v>23</v>
      </c>
      <c r="T92" s="1" t="str">
        <f>IF(COUNT(Tabelle1[[#This Row],[salary]:[director_fees]])=0,"NaN",SUM(Tabelle1[[#This Row],[salary]:[director_fees]]))</f>
        <v>NaN</v>
      </c>
      <c r="U92" s="3" t="str">
        <f>IF(AND(Tabelle1[[#This Row],[total_payments_calc]]&lt;&gt;Tabelle1[[#This Row],[total_payments]]),IF(Tabelle1[[#This Row],[total_payments]]="NaN","recalculate total","one-off/hardcoded"),"")</f>
        <v/>
      </c>
      <c r="V92" s="14"/>
      <c r="W92" t="s">
        <v>23</v>
      </c>
      <c r="X92" t="s">
        <v>23</v>
      </c>
      <c r="Y92" t="s">
        <v>23</v>
      </c>
      <c r="Z92" s="12" t="s">
        <v>23</v>
      </c>
      <c r="AA92" s="1" t="str">
        <f>IF(COUNT(Tabelle1[[#This Row],[exercised_stock_options]:[restricted_stock_deferred]])=0,"NaN",SUM(Tabelle1[[#This Row],[exercised_stock_options]:[restricted_stock_deferred]]))</f>
        <v>NaN</v>
      </c>
      <c r="AB92" s="3" t="str">
        <f>IF(AND(Tabelle1[[#This Row],[total_stock_value_calc]]&lt;&gt;Tabelle1[[#This Row],[total_stock_value]]),IF(Tabelle1[[#This Row],[total_stock_value]]="NaN","recalculate total","one-off/hardcoded"),"")</f>
        <v/>
      </c>
      <c r="AC92"/>
      <c r="AD92"/>
      <c r="AE92"/>
      <c r="AF92"/>
      <c r="AI92"/>
      <c r="AJ92"/>
    </row>
    <row r="93" spans="1:36" hidden="1" x14ac:dyDescent="0.3">
      <c r="A93" t="s">
        <v>186</v>
      </c>
      <c r="B93" t="s">
        <v>24</v>
      </c>
      <c r="C93">
        <v>0</v>
      </c>
      <c r="D93">
        <v>33</v>
      </c>
      <c r="E93">
        <v>102</v>
      </c>
      <c r="F93">
        <v>71</v>
      </c>
      <c r="G93">
        <v>4</v>
      </c>
      <c r="H93" t="s">
        <v>187</v>
      </c>
      <c r="J93">
        <v>314288</v>
      </c>
      <c r="K93">
        <v>800000</v>
      </c>
      <c r="L93" t="s">
        <v>23</v>
      </c>
      <c r="M93">
        <v>-41250</v>
      </c>
      <c r="N93" t="s">
        <v>23</v>
      </c>
      <c r="O93" t="s">
        <v>23</v>
      </c>
      <c r="P93">
        <v>494</v>
      </c>
      <c r="Q93">
        <v>27861</v>
      </c>
      <c r="R93" t="s">
        <v>23</v>
      </c>
      <c r="S93" s="12">
        <v>1101393</v>
      </c>
      <c r="T93" s="1">
        <f>IF(COUNT(Tabelle1[[#This Row],[salary]:[director_fees]])=0,"NaN",SUM(Tabelle1[[#This Row],[salary]:[director_fees]]))</f>
        <v>1101393</v>
      </c>
      <c r="U93" s="3" t="str">
        <f>IF(AND(Tabelle1[[#This Row],[total_payments_calc]]&lt;&gt;Tabelle1[[#This Row],[total_payments]]),IF(Tabelle1[[#This Row],[total_payments]]="NaN","recalculate total","one-off/hardcoded"),"")</f>
        <v/>
      </c>
      <c r="V93" s="14"/>
      <c r="W93">
        <v>117551</v>
      </c>
      <c r="X93">
        <v>378082</v>
      </c>
      <c r="Y93" t="s">
        <v>23</v>
      </c>
      <c r="Z93">
        <v>495633</v>
      </c>
      <c r="AA93" s="1">
        <f>IF(COUNT(Tabelle1[[#This Row],[exercised_stock_options]:[restricted_stock_deferred]])=0,"NaN",SUM(Tabelle1[[#This Row],[exercised_stock_options]:[restricted_stock_deferred]]))</f>
        <v>495633</v>
      </c>
      <c r="AB93" s="3" t="str">
        <f>IF(AND(Tabelle1[[#This Row],[total_stock_value_calc]]&lt;&gt;Tabelle1[[#This Row],[total_stock_value]]),IF(Tabelle1[[#This Row],[total_stock_value]]="NaN","recalculate total","one-off/hardcoded"),"")</f>
        <v/>
      </c>
      <c r="AC93"/>
      <c r="AD93"/>
      <c r="AE93"/>
      <c r="AF93"/>
      <c r="AI93"/>
      <c r="AJ93"/>
    </row>
    <row r="94" spans="1:36" hidden="1" x14ac:dyDescent="0.3">
      <c r="A94" t="s">
        <v>188</v>
      </c>
      <c r="B94" t="s">
        <v>24</v>
      </c>
      <c r="C94" t="s">
        <v>23</v>
      </c>
      <c r="D94" t="s">
        <v>23</v>
      </c>
      <c r="E94" t="s">
        <v>23</v>
      </c>
      <c r="F94" t="s">
        <v>23</v>
      </c>
      <c r="G94" t="s">
        <v>23</v>
      </c>
      <c r="H94" t="s">
        <v>189</v>
      </c>
      <c r="J94">
        <v>94941</v>
      </c>
      <c r="K94" t="s">
        <v>23</v>
      </c>
      <c r="L94">
        <v>135836</v>
      </c>
      <c r="M94" t="s">
        <v>23</v>
      </c>
      <c r="N94" t="s">
        <v>23</v>
      </c>
      <c r="O94" t="s">
        <v>23</v>
      </c>
      <c r="P94">
        <v>176</v>
      </c>
      <c r="Q94">
        <v>18834</v>
      </c>
      <c r="R94" t="s">
        <v>23</v>
      </c>
      <c r="S94" s="12">
        <v>249787</v>
      </c>
      <c r="T94" s="1">
        <f>IF(COUNT(Tabelle1[[#This Row],[salary]:[director_fees]])=0,"NaN",SUM(Tabelle1[[#This Row],[salary]:[director_fees]]))</f>
        <v>249787</v>
      </c>
      <c r="U94" s="3" t="str">
        <f>IF(AND(Tabelle1[[#This Row],[total_payments_calc]]&lt;&gt;Tabelle1[[#This Row],[total_payments]]),IF(Tabelle1[[#This Row],[total_payments]]="NaN","recalculate total","one-off/hardcoded"),"")</f>
        <v/>
      </c>
      <c r="V94" s="14"/>
      <c r="W94">
        <v>5266578</v>
      </c>
      <c r="X94">
        <v>2041016</v>
      </c>
      <c r="Y94" t="s">
        <v>23</v>
      </c>
      <c r="Z94">
        <v>7307594</v>
      </c>
      <c r="AA94" s="1">
        <f>IF(COUNT(Tabelle1[[#This Row],[exercised_stock_options]:[restricted_stock_deferred]])=0,"NaN",SUM(Tabelle1[[#This Row],[exercised_stock_options]:[restricted_stock_deferred]]))</f>
        <v>7307594</v>
      </c>
      <c r="AB94" s="3" t="str">
        <f>IF(AND(Tabelle1[[#This Row],[total_stock_value_calc]]&lt;&gt;Tabelle1[[#This Row],[total_stock_value]]),IF(Tabelle1[[#This Row],[total_stock_value]]="NaN","recalculate total","one-off/hardcoded"),"")</f>
        <v/>
      </c>
      <c r="AC94"/>
      <c r="AD94"/>
      <c r="AE94"/>
      <c r="AF94"/>
      <c r="AI94"/>
      <c r="AJ94"/>
    </row>
    <row r="95" spans="1:36" hidden="1" x14ac:dyDescent="0.3">
      <c r="A95" t="s">
        <v>190</v>
      </c>
      <c r="B95" t="s">
        <v>24</v>
      </c>
      <c r="C95" t="s">
        <v>23</v>
      </c>
      <c r="D95" t="s">
        <v>23</v>
      </c>
      <c r="E95" t="s">
        <v>23</v>
      </c>
      <c r="F95" t="s">
        <v>23</v>
      </c>
      <c r="G95" t="s">
        <v>23</v>
      </c>
      <c r="H95" t="s">
        <v>23</v>
      </c>
      <c r="J95" t="s">
        <v>23</v>
      </c>
      <c r="K95" t="s">
        <v>23</v>
      </c>
      <c r="L95" t="s">
        <v>23</v>
      </c>
      <c r="M95">
        <v>-101250</v>
      </c>
      <c r="N95" t="s">
        <v>23</v>
      </c>
      <c r="O95" t="s">
        <v>23</v>
      </c>
      <c r="P95" t="s">
        <v>23</v>
      </c>
      <c r="Q95">
        <v>27942</v>
      </c>
      <c r="R95">
        <v>101250</v>
      </c>
      <c r="S95" s="12">
        <v>27942</v>
      </c>
      <c r="T95" s="1">
        <f>IF(COUNT(Tabelle1[[#This Row],[salary]:[director_fees]])=0,"NaN",SUM(Tabelle1[[#This Row],[salary]:[director_fees]]))</f>
        <v>27942</v>
      </c>
      <c r="U95" s="3" t="str">
        <f>IF(AND(Tabelle1[[#This Row],[total_payments_calc]]&lt;&gt;Tabelle1[[#This Row],[total_payments]]),IF(Tabelle1[[#This Row],[total_payments]]="NaN","recalculate total","one-off/hardcoded"),"")</f>
        <v/>
      </c>
      <c r="V95" s="14"/>
      <c r="W95" t="s">
        <v>23</v>
      </c>
      <c r="X95" t="s">
        <v>23</v>
      </c>
      <c r="Y95" t="s">
        <v>23</v>
      </c>
      <c r="Z95" t="s">
        <v>23</v>
      </c>
      <c r="AA95" s="1" t="str">
        <f>IF(COUNT(Tabelle1[[#This Row],[exercised_stock_options]:[restricted_stock_deferred]])=0,"NaN",SUM(Tabelle1[[#This Row],[exercised_stock_options]:[restricted_stock_deferred]]))</f>
        <v>NaN</v>
      </c>
      <c r="AB95" s="3" t="str">
        <f>IF(AND(Tabelle1[[#This Row],[total_stock_value_calc]]&lt;&gt;Tabelle1[[#This Row],[total_stock_value]]),IF(Tabelle1[[#This Row],[total_stock_value]]="NaN","recalculate total","one-off/hardcoded"),"")</f>
        <v/>
      </c>
      <c r="AC95"/>
      <c r="AD95"/>
      <c r="AE95"/>
      <c r="AF95"/>
      <c r="AI95"/>
      <c r="AJ95"/>
    </row>
    <row r="96" spans="1:36" hidden="1" x14ac:dyDescent="0.3">
      <c r="A96" t="s">
        <v>191</v>
      </c>
      <c r="B96" t="s">
        <v>24</v>
      </c>
      <c r="C96" t="s">
        <v>23</v>
      </c>
      <c r="D96" t="s">
        <v>23</v>
      </c>
      <c r="E96" t="s">
        <v>23</v>
      </c>
      <c r="F96" t="s">
        <v>23</v>
      </c>
      <c r="G96" t="s">
        <v>23</v>
      </c>
      <c r="H96" t="s">
        <v>192</v>
      </c>
      <c r="J96">
        <v>239502</v>
      </c>
      <c r="K96">
        <v>500000</v>
      </c>
      <c r="L96" t="s">
        <v>23</v>
      </c>
      <c r="M96" t="s">
        <v>23</v>
      </c>
      <c r="N96" t="s">
        <v>23</v>
      </c>
      <c r="O96" t="s">
        <v>23</v>
      </c>
      <c r="P96">
        <v>356071</v>
      </c>
      <c r="Q96">
        <v>16514</v>
      </c>
      <c r="R96" t="s">
        <v>23</v>
      </c>
      <c r="S96" s="12">
        <v>1112087</v>
      </c>
      <c r="T96" s="1">
        <f>IF(COUNT(Tabelle1[[#This Row],[salary]:[director_fees]])=0,"NaN",SUM(Tabelle1[[#This Row],[salary]:[director_fees]]))</f>
        <v>1112087</v>
      </c>
      <c r="U96" s="3" t="str">
        <f>IF(AND(Tabelle1[[#This Row],[total_payments_calc]]&lt;&gt;Tabelle1[[#This Row],[total_payments]]),IF(Tabelle1[[#This Row],[total_payments]]="NaN","recalculate total","one-off/hardcoded"),"")</f>
        <v/>
      </c>
      <c r="V96" s="14"/>
      <c r="W96" t="s">
        <v>23</v>
      </c>
      <c r="X96">
        <v>511734</v>
      </c>
      <c r="Y96" t="s">
        <v>23</v>
      </c>
      <c r="Z96">
        <v>511734</v>
      </c>
      <c r="AA96" s="1">
        <f>IF(COUNT(Tabelle1[[#This Row],[exercised_stock_options]:[restricted_stock_deferred]])=0,"NaN",SUM(Tabelle1[[#This Row],[exercised_stock_options]:[restricted_stock_deferred]]))</f>
        <v>511734</v>
      </c>
      <c r="AB96" s="3" t="str">
        <f>IF(AND(Tabelle1[[#This Row],[total_stock_value_calc]]&lt;&gt;Tabelle1[[#This Row],[total_stock_value]]),IF(Tabelle1[[#This Row],[total_stock_value]]="NaN","recalculate total","one-off/hardcoded"),"")</f>
        <v/>
      </c>
      <c r="AC96"/>
      <c r="AD96"/>
      <c r="AE96"/>
      <c r="AF96"/>
      <c r="AI96"/>
      <c r="AJ96"/>
    </row>
    <row r="97" spans="1:36" x14ac:dyDescent="0.3">
      <c r="A97" t="s">
        <v>193</v>
      </c>
      <c r="B97" t="s">
        <v>32</v>
      </c>
      <c r="C97">
        <v>88</v>
      </c>
      <c r="D97">
        <v>108</v>
      </c>
      <c r="E97">
        <v>3627</v>
      </c>
      <c r="F97">
        <v>2042</v>
      </c>
      <c r="G97">
        <v>30</v>
      </c>
      <c r="H97" t="s">
        <v>194</v>
      </c>
      <c r="J97">
        <v>1111258</v>
      </c>
      <c r="K97">
        <v>5600000</v>
      </c>
      <c r="L97">
        <v>1920000</v>
      </c>
      <c r="M97" t="s">
        <v>23</v>
      </c>
      <c r="N97" t="s">
        <v>23</v>
      </c>
      <c r="O97" t="s">
        <v>23</v>
      </c>
      <c r="P97">
        <v>22122</v>
      </c>
      <c r="Q97">
        <v>29336</v>
      </c>
      <c r="R97" t="s">
        <v>23</v>
      </c>
      <c r="S97" s="12">
        <v>8682716</v>
      </c>
      <c r="T97" s="1">
        <f>IF(COUNT(Tabelle1[[#This Row],[salary]:[director_fees]])=0,"NaN",SUM(Tabelle1[[#This Row],[salary]:[director_fees]]))</f>
        <v>8682716</v>
      </c>
      <c r="U97" s="3" t="str">
        <f>IF(AND(Tabelle1[[#This Row],[total_payments_calc]]&lt;&gt;Tabelle1[[#This Row],[total_payments]]),IF(Tabelle1[[#This Row],[total_payments]]="NaN","recalculate total","one-off/hardcoded"),"")</f>
        <v/>
      </c>
      <c r="V97" s="14"/>
      <c r="W97">
        <v>19250000</v>
      </c>
      <c r="X97">
        <v>6843672</v>
      </c>
      <c r="Y97" t="s">
        <v>23</v>
      </c>
      <c r="Z97">
        <v>26093672</v>
      </c>
      <c r="AA97" s="1">
        <f>IF(COUNT(Tabelle1[[#This Row],[exercised_stock_options]:[restricted_stock_deferred]])=0,"NaN",SUM(Tabelle1[[#This Row],[exercised_stock_options]:[restricted_stock_deferred]]))</f>
        <v>26093672</v>
      </c>
      <c r="AB97" s="3" t="str">
        <f>IF(AND(Tabelle1[[#This Row],[total_stock_value_calc]]&lt;&gt;Tabelle1[[#This Row],[total_stock_value]]),IF(Tabelle1[[#This Row],[total_stock_value]]="NaN","recalculate total","one-off/hardcoded"),"")</f>
        <v/>
      </c>
      <c r="AC97"/>
      <c r="AD97"/>
      <c r="AE97"/>
      <c r="AF97"/>
      <c r="AI97"/>
      <c r="AJ97"/>
    </row>
    <row r="98" spans="1:36" hidden="1" x14ac:dyDescent="0.3">
      <c r="A98" t="s">
        <v>195</v>
      </c>
      <c r="B98" t="s">
        <v>24</v>
      </c>
      <c r="C98" t="s">
        <v>23</v>
      </c>
      <c r="D98" t="s">
        <v>23</v>
      </c>
      <c r="E98" t="s">
        <v>23</v>
      </c>
      <c r="F98" t="s">
        <v>23</v>
      </c>
      <c r="G98" t="s">
        <v>23</v>
      </c>
      <c r="H98" t="s">
        <v>23</v>
      </c>
      <c r="J98" t="s">
        <v>23</v>
      </c>
      <c r="K98" t="s">
        <v>23</v>
      </c>
      <c r="L98" t="s">
        <v>23</v>
      </c>
      <c r="M98">
        <v>-113784</v>
      </c>
      <c r="N98" t="s">
        <v>23</v>
      </c>
      <c r="O98" t="s">
        <v>23</v>
      </c>
      <c r="P98" t="s">
        <v>23</v>
      </c>
      <c r="Q98">
        <v>1279</v>
      </c>
      <c r="R98">
        <v>113784</v>
      </c>
      <c r="S98" s="12">
        <v>1279</v>
      </c>
      <c r="T98" s="1">
        <f>IF(COUNT(Tabelle1[[#This Row],[salary]:[director_fees]])=0,"NaN",SUM(Tabelle1[[#This Row],[salary]:[director_fees]]))</f>
        <v>1279</v>
      </c>
      <c r="U98" s="3" t="str">
        <f>IF(AND(Tabelle1[[#This Row],[total_payments_calc]]&lt;&gt;Tabelle1[[#This Row],[total_payments]]),IF(Tabelle1[[#This Row],[total_payments]]="NaN","recalculate total","one-off/hardcoded"),"")</f>
        <v/>
      </c>
      <c r="V98" s="14"/>
      <c r="W98" t="s">
        <v>23</v>
      </c>
      <c r="X98" t="s">
        <v>23</v>
      </c>
      <c r="Y98" t="s">
        <v>23</v>
      </c>
      <c r="Z98" t="s">
        <v>23</v>
      </c>
      <c r="AA98" s="1" t="str">
        <f>IF(COUNT(Tabelle1[[#This Row],[exercised_stock_options]:[restricted_stock_deferred]])=0,"NaN",SUM(Tabelle1[[#This Row],[exercised_stock_options]:[restricted_stock_deferred]]))</f>
        <v>NaN</v>
      </c>
      <c r="AB98" s="3" t="str">
        <f>IF(AND(Tabelle1[[#This Row],[total_stock_value_calc]]&lt;&gt;Tabelle1[[#This Row],[total_stock_value]]),IF(Tabelle1[[#This Row],[total_stock_value]]="NaN","recalculate total","one-off/hardcoded"),"")</f>
        <v/>
      </c>
      <c r="AC98"/>
      <c r="AD98"/>
      <c r="AE98"/>
      <c r="AF98"/>
      <c r="AI98"/>
      <c r="AJ98"/>
    </row>
    <row r="99" spans="1:36" hidden="1" x14ac:dyDescent="0.3">
      <c r="A99" t="s">
        <v>196</v>
      </c>
      <c r="B99" t="s">
        <v>24</v>
      </c>
      <c r="C99">
        <v>39</v>
      </c>
      <c r="D99">
        <v>25</v>
      </c>
      <c r="E99">
        <v>613</v>
      </c>
      <c r="F99">
        <v>583</v>
      </c>
      <c r="G99">
        <v>18</v>
      </c>
      <c r="H99" t="s">
        <v>197</v>
      </c>
      <c r="J99" t="s">
        <v>23</v>
      </c>
      <c r="K99" t="s">
        <v>23</v>
      </c>
      <c r="L99" t="s">
        <v>23</v>
      </c>
      <c r="M99" t="s">
        <v>23</v>
      </c>
      <c r="N99" t="s">
        <v>23</v>
      </c>
      <c r="O99" t="s">
        <v>23</v>
      </c>
      <c r="P99" t="s">
        <v>23</v>
      </c>
      <c r="Q99" t="s">
        <v>23</v>
      </c>
      <c r="R99" t="s">
        <v>23</v>
      </c>
      <c r="S99" s="12" t="s">
        <v>23</v>
      </c>
      <c r="T99" s="1" t="str">
        <f>IF(COUNT(Tabelle1[[#This Row],[salary]:[director_fees]])=0,"NaN",SUM(Tabelle1[[#This Row],[salary]:[director_fees]]))</f>
        <v>NaN</v>
      </c>
      <c r="U99" s="3" t="str">
        <f>IF(AND(Tabelle1[[#This Row],[total_payments_calc]]&lt;&gt;Tabelle1[[#This Row],[total_payments]]),IF(Tabelle1[[#This Row],[total_payments]]="NaN","recalculate total","one-off/hardcoded"),"")</f>
        <v/>
      </c>
      <c r="V99" s="14"/>
      <c r="W99">
        <v>1426469</v>
      </c>
      <c r="X99">
        <v>405999</v>
      </c>
      <c r="Y99" t="s">
        <v>23</v>
      </c>
      <c r="Z99" s="12">
        <v>1832468</v>
      </c>
      <c r="AA99" s="1">
        <f>IF(COUNT(Tabelle1[[#This Row],[exercised_stock_options]:[restricted_stock_deferred]])=0,"NaN",SUM(Tabelle1[[#This Row],[exercised_stock_options]:[restricted_stock_deferred]]))</f>
        <v>1832468</v>
      </c>
      <c r="AB99" s="3" t="str">
        <f>IF(AND(Tabelle1[[#This Row],[total_stock_value_calc]]&lt;&gt;Tabelle1[[#This Row],[total_stock_value]]),IF(Tabelle1[[#This Row],[total_stock_value]]="NaN","recalculate total","one-off/hardcoded"),"")</f>
        <v/>
      </c>
      <c r="AC99"/>
      <c r="AD99"/>
      <c r="AE99"/>
      <c r="AF99"/>
      <c r="AI99"/>
      <c r="AJ99"/>
    </row>
    <row r="100" spans="1:36" hidden="1" x14ac:dyDescent="0.3">
      <c r="A100" t="s">
        <v>198</v>
      </c>
      <c r="B100" t="s">
        <v>24</v>
      </c>
      <c r="C100" t="s">
        <v>23</v>
      </c>
      <c r="D100" t="s">
        <v>23</v>
      </c>
      <c r="E100" t="s">
        <v>23</v>
      </c>
      <c r="F100" t="s">
        <v>23</v>
      </c>
      <c r="G100" t="s">
        <v>23</v>
      </c>
      <c r="H100" t="s">
        <v>199</v>
      </c>
      <c r="J100" t="s">
        <v>23</v>
      </c>
      <c r="K100" t="s">
        <v>23</v>
      </c>
      <c r="L100" t="s">
        <v>23</v>
      </c>
      <c r="M100" t="s">
        <v>23</v>
      </c>
      <c r="N100">
        <v>564348</v>
      </c>
      <c r="O100" t="s">
        <v>23</v>
      </c>
      <c r="P100" t="s">
        <v>23</v>
      </c>
      <c r="Q100" t="s">
        <v>23</v>
      </c>
      <c r="R100" t="s">
        <v>23</v>
      </c>
      <c r="S100" s="12">
        <v>564348</v>
      </c>
      <c r="T100" s="1">
        <f>IF(COUNT(Tabelle1[[#This Row],[salary]:[director_fees]])=0,"NaN",SUM(Tabelle1[[#This Row],[salary]:[director_fees]]))</f>
        <v>564348</v>
      </c>
      <c r="U100" s="3" t="str">
        <f>IF(AND(Tabelle1[[#This Row],[total_payments_calc]]&lt;&gt;Tabelle1[[#This Row],[total_payments]]),IF(Tabelle1[[#This Row],[total_payments]]="NaN","recalculate total","one-off/hardcoded"),"")</f>
        <v/>
      </c>
      <c r="V100" s="14"/>
      <c r="W100">
        <v>886231</v>
      </c>
      <c r="X100">
        <v>208809</v>
      </c>
      <c r="Y100" t="s">
        <v>23</v>
      </c>
      <c r="Z100">
        <v>1095040</v>
      </c>
      <c r="AA100" s="1">
        <f>IF(COUNT(Tabelle1[[#This Row],[exercised_stock_options]:[restricted_stock_deferred]])=0,"NaN",SUM(Tabelle1[[#This Row],[exercised_stock_options]:[restricted_stock_deferred]]))</f>
        <v>1095040</v>
      </c>
      <c r="AB100" s="3" t="str">
        <f>IF(AND(Tabelle1[[#This Row],[total_stock_value_calc]]&lt;&gt;Tabelle1[[#This Row],[total_stock_value]]),IF(Tabelle1[[#This Row],[total_stock_value]]="NaN","recalculate total","one-off/hardcoded"),"")</f>
        <v/>
      </c>
      <c r="AC100"/>
      <c r="AD100"/>
      <c r="AE100"/>
      <c r="AF100"/>
      <c r="AI100"/>
      <c r="AJ100"/>
    </row>
    <row r="101" spans="1:36" hidden="1" x14ac:dyDescent="0.3">
      <c r="A101" t="s">
        <v>200</v>
      </c>
      <c r="B101" t="s">
        <v>24</v>
      </c>
      <c r="C101" t="s">
        <v>23</v>
      </c>
      <c r="D101" t="s">
        <v>23</v>
      </c>
      <c r="E101" t="s">
        <v>23</v>
      </c>
      <c r="F101" t="s">
        <v>23</v>
      </c>
      <c r="G101" t="s">
        <v>23</v>
      </c>
      <c r="H101" t="s">
        <v>23</v>
      </c>
      <c r="J101">
        <v>6615</v>
      </c>
      <c r="K101" t="s">
        <v>23</v>
      </c>
      <c r="L101">
        <v>365625</v>
      </c>
      <c r="M101" t="s">
        <v>23</v>
      </c>
      <c r="N101">
        <v>93585</v>
      </c>
      <c r="O101" t="s">
        <v>23</v>
      </c>
      <c r="P101">
        <v>680833</v>
      </c>
      <c r="Q101" t="s">
        <v>23</v>
      </c>
      <c r="R101" t="s">
        <v>23</v>
      </c>
      <c r="S101" s="12">
        <v>1146658</v>
      </c>
      <c r="T101" s="1">
        <f>IF(COUNT(Tabelle1[[#This Row],[salary]:[director_fees]])=0,"NaN",SUM(Tabelle1[[#This Row],[salary]:[director_fees]]))</f>
        <v>1146658</v>
      </c>
      <c r="U101" s="3" t="str">
        <f>IF(AND(Tabelle1[[#This Row],[total_payments_calc]]&lt;&gt;Tabelle1[[#This Row],[total_payments]]),IF(Tabelle1[[#This Row],[total_payments]]="NaN","recalculate total","one-off/hardcoded"),"")</f>
        <v/>
      </c>
      <c r="V101" s="14"/>
      <c r="W101" t="s">
        <v>23</v>
      </c>
      <c r="X101" t="s">
        <v>23</v>
      </c>
      <c r="Y101" t="s">
        <v>23</v>
      </c>
      <c r="Z101" t="s">
        <v>23</v>
      </c>
      <c r="AA101" s="1" t="str">
        <f>IF(COUNT(Tabelle1[[#This Row],[exercised_stock_options]:[restricted_stock_deferred]])=0,"NaN",SUM(Tabelle1[[#This Row],[exercised_stock_options]:[restricted_stock_deferred]]))</f>
        <v>NaN</v>
      </c>
      <c r="AB101" s="3" t="str">
        <f>IF(AND(Tabelle1[[#This Row],[total_stock_value_calc]]&lt;&gt;Tabelle1[[#This Row],[total_stock_value]]),IF(Tabelle1[[#This Row],[total_stock_value]]="NaN","recalculate total","one-off/hardcoded"),"")</f>
        <v/>
      </c>
      <c r="AC101"/>
      <c r="AD101"/>
      <c r="AE101"/>
      <c r="AF101"/>
      <c r="AI101"/>
      <c r="AJ101"/>
    </row>
    <row r="102" spans="1:36" hidden="1" x14ac:dyDescent="0.3">
      <c r="A102" t="s">
        <v>201</v>
      </c>
      <c r="B102" t="s">
        <v>24</v>
      </c>
      <c r="C102">
        <v>7</v>
      </c>
      <c r="D102">
        <v>67</v>
      </c>
      <c r="E102">
        <v>898</v>
      </c>
      <c r="F102">
        <v>728</v>
      </c>
      <c r="G102">
        <v>0</v>
      </c>
      <c r="H102" t="s">
        <v>202</v>
      </c>
      <c r="J102">
        <v>655037</v>
      </c>
      <c r="K102">
        <v>300000</v>
      </c>
      <c r="L102" t="s">
        <v>23</v>
      </c>
      <c r="M102" t="s">
        <v>23</v>
      </c>
      <c r="N102" t="s">
        <v>23</v>
      </c>
      <c r="O102">
        <v>400000</v>
      </c>
      <c r="P102" t="s">
        <v>23</v>
      </c>
      <c r="Q102">
        <v>31653</v>
      </c>
      <c r="R102" t="s">
        <v>23</v>
      </c>
      <c r="S102" s="12">
        <v>1386690</v>
      </c>
      <c r="T102" s="1">
        <f>IF(COUNT(Tabelle1[[#This Row],[salary]:[director_fees]])=0,"NaN",SUM(Tabelle1[[#This Row],[salary]:[director_fees]]))</f>
        <v>1386690</v>
      </c>
      <c r="U102" s="3" t="str">
        <f>IF(AND(Tabelle1[[#This Row],[total_payments_calc]]&lt;&gt;Tabelle1[[#This Row],[total_payments]]),IF(Tabelle1[[#This Row],[total_payments]]="NaN","recalculate total","one-off/hardcoded"),"")</f>
        <v/>
      </c>
      <c r="V102" s="14"/>
      <c r="W102">
        <v>28798</v>
      </c>
      <c r="X102" t="s">
        <v>23</v>
      </c>
      <c r="Y102" t="s">
        <v>23</v>
      </c>
      <c r="Z102">
        <v>28798</v>
      </c>
      <c r="AA102" s="1">
        <f>IF(COUNT(Tabelle1[[#This Row],[exercised_stock_options]:[restricted_stock_deferred]])=0,"NaN",SUM(Tabelle1[[#This Row],[exercised_stock_options]:[restricted_stock_deferred]]))</f>
        <v>28798</v>
      </c>
      <c r="AB102" s="3" t="str">
        <f>IF(AND(Tabelle1[[#This Row],[total_stock_value_calc]]&lt;&gt;Tabelle1[[#This Row],[total_stock_value]]),IF(Tabelle1[[#This Row],[total_stock_value]]="NaN","recalculate total","one-off/hardcoded"),"")</f>
        <v/>
      </c>
      <c r="AC102"/>
      <c r="AD102"/>
      <c r="AE102"/>
      <c r="AF102"/>
      <c r="AI102"/>
      <c r="AJ102"/>
    </row>
    <row r="103" spans="1:36" s="14" customFormat="1" hidden="1" x14ac:dyDescent="0.3">
      <c r="A103" s="14" t="s">
        <v>203</v>
      </c>
      <c r="B103" s="14" t="s">
        <v>24</v>
      </c>
      <c r="C103" s="14" t="s">
        <v>23</v>
      </c>
      <c r="D103" s="14" t="s">
        <v>23</v>
      </c>
      <c r="E103" s="14" t="s">
        <v>23</v>
      </c>
      <c r="F103" s="14" t="s">
        <v>23</v>
      </c>
      <c r="G103" s="14" t="s">
        <v>23</v>
      </c>
      <c r="H103" s="14" t="s">
        <v>23</v>
      </c>
      <c r="J103" s="14" t="s">
        <v>23</v>
      </c>
      <c r="K103" s="14" t="s">
        <v>23</v>
      </c>
      <c r="L103" s="14" t="s">
        <v>23</v>
      </c>
      <c r="M103" s="14" t="s">
        <v>23</v>
      </c>
      <c r="N103" s="14" t="s">
        <v>23</v>
      </c>
      <c r="O103" s="14" t="s">
        <v>23</v>
      </c>
      <c r="P103" s="14">
        <v>362096</v>
      </c>
      <c r="Q103" s="14" t="s">
        <v>23</v>
      </c>
      <c r="R103" s="14" t="s">
        <v>23</v>
      </c>
      <c r="S103" s="14">
        <v>362096</v>
      </c>
      <c r="T103" s="1">
        <f>IF(COUNT(Tabelle1[[#This Row],[salary]:[director_fees]])=0,"NaN",SUM(Tabelle1[[#This Row],[salary]:[director_fees]]))</f>
        <v>362096</v>
      </c>
      <c r="U103" s="3" t="str">
        <f>IF(AND(Tabelle1[[#This Row],[total_payments_calc]]&lt;&gt;Tabelle1[[#This Row],[total_payments]]),IF(Tabelle1[[#This Row],[total_payments]]="NaN","recalculate total","one-off/hardcoded"),"")</f>
        <v/>
      </c>
      <c r="W103" s="14" t="s">
        <v>23</v>
      </c>
      <c r="X103" s="14" t="s">
        <v>23</v>
      </c>
      <c r="Y103" s="14" t="s">
        <v>23</v>
      </c>
      <c r="Z103" s="14" t="s">
        <v>23</v>
      </c>
      <c r="AA103" s="1" t="str">
        <f>IF(COUNT(Tabelle1[[#This Row],[exercised_stock_options]:[restricted_stock_deferred]])=0,"NaN",SUM(Tabelle1[[#This Row],[exercised_stock_options]:[restricted_stock_deferred]]))</f>
        <v>NaN</v>
      </c>
      <c r="AB103" s="3" t="str">
        <f>IF(AND(Tabelle1[[#This Row],[total_stock_value_calc]]&lt;&gt;Tabelle1[[#This Row],[total_stock_value]]),IF(Tabelle1[[#This Row],[total_stock_value]]="NaN","recalculate total","one-off/hardcoded"),"")</f>
        <v/>
      </c>
    </row>
    <row r="104" spans="1:36" hidden="1" x14ac:dyDescent="0.3">
      <c r="A104" t="s">
        <v>204</v>
      </c>
      <c r="B104" t="s">
        <v>24</v>
      </c>
      <c r="C104" t="s">
        <v>23</v>
      </c>
      <c r="D104" t="s">
        <v>23</v>
      </c>
      <c r="E104" t="s">
        <v>23</v>
      </c>
      <c r="F104" t="s">
        <v>23</v>
      </c>
      <c r="G104" t="s">
        <v>23</v>
      </c>
      <c r="H104" t="s">
        <v>23</v>
      </c>
      <c r="J104" t="s">
        <v>23</v>
      </c>
      <c r="K104" t="s">
        <v>23</v>
      </c>
      <c r="L104" t="s">
        <v>23</v>
      </c>
      <c r="M104" t="s">
        <v>23</v>
      </c>
      <c r="N104">
        <v>774401</v>
      </c>
      <c r="O104" t="s">
        <v>23</v>
      </c>
      <c r="P104" t="s">
        <v>23</v>
      </c>
      <c r="Q104" t="s">
        <v>23</v>
      </c>
      <c r="R104" t="s">
        <v>23</v>
      </c>
      <c r="S104" s="12">
        <v>774401</v>
      </c>
      <c r="T104" s="1">
        <f>IF(COUNT(Tabelle1[[#This Row],[salary]:[director_fees]])=0,"NaN",SUM(Tabelle1[[#This Row],[salary]:[director_fees]]))</f>
        <v>774401</v>
      </c>
      <c r="U104" s="3" t="str">
        <f>IF(AND(Tabelle1[[#This Row],[total_payments_calc]]&lt;&gt;Tabelle1[[#This Row],[total_payments]]),IF(Tabelle1[[#This Row],[total_payments]]="NaN","recalculate total","one-off/hardcoded"),"")</f>
        <v/>
      </c>
      <c r="V104" s="14"/>
      <c r="W104" t="s">
        <v>23</v>
      </c>
      <c r="X104">
        <v>463261</v>
      </c>
      <c r="Y104">
        <v>-94556</v>
      </c>
      <c r="Z104">
        <v>368705</v>
      </c>
      <c r="AA104" s="1">
        <f>IF(COUNT(Tabelle1[[#This Row],[exercised_stock_options]:[restricted_stock_deferred]])=0,"NaN",SUM(Tabelle1[[#This Row],[exercised_stock_options]:[restricted_stock_deferred]]))</f>
        <v>368705</v>
      </c>
      <c r="AB104" s="3" t="str">
        <f>IF(AND(Tabelle1[[#This Row],[total_stock_value_calc]]&lt;&gt;Tabelle1[[#This Row],[total_stock_value]]),IF(Tabelle1[[#This Row],[total_stock_value]]="NaN","recalculate total","one-off/hardcoded"),"")</f>
        <v/>
      </c>
      <c r="AC104"/>
      <c r="AD104"/>
      <c r="AE104"/>
      <c r="AF104"/>
      <c r="AI104"/>
      <c r="AJ104"/>
    </row>
    <row r="105" spans="1:36" hidden="1" x14ac:dyDescent="0.3">
      <c r="A105" t="s">
        <v>205</v>
      </c>
      <c r="B105" t="s">
        <v>24</v>
      </c>
      <c r="C105">
        <v>140</v>
      </c>
      <c r="D105">
        <v>6759</v>
      </c>
      <c r="E105">
        <v>12754</v>
      </c>
      <c r="F105">
        <v>3639</v>
      </c>
      <c r="G105">
        <v>387</v>
      </c>
      <c r="H105" t="s">
        <v>206</v>
      </c>
      <c r="J105">
        <v>404338</v>
      </c>
      <c r="K105">
        <v>1000000</v>
      </c>
      <c r="L105">
        <v>300000</v>
      </c>
      <c r="M105" t="s">
        <v>23</v>
      </c>
      <c r="N105" t="s">
        <v>23</v>
      </c>
      <c r="O105" t="s">
        <v>23</v>
      </c>
      <c r="P105">
        <v>1231</v>
      </c>
      <c r="Q105">
        <v>41953</v>
      </c>
      <c r="R105" t="s">
        <v>23</v>
      </c>
      <c r="S105" s="12">
        <v>1747522</v>
      </c>
      <c r="T105" s="1">
        <f>IF(COUNT(Tabelle1[[#This Row],[salary]:[director_fees]])=0,"NaN",SUM(Tabelle1[[#This Row],[salary]:[director_fees]]))</f>
        <v>1747522</v>
      </c>
      <c r="U105" s="3" t="str">
        <f>IF(AND(Tabelle1[[#This Row],[total_payments_calc]]&lt;&gt;Tabelle1[[#This Row],[total_payments]]),IF(Tabelle1[[#This Row],[total_payments]]="NaN","recalculate total","one-off/hardcoded"),"")</f>
        <v/>
      </c>
      <c r="V105" s="14"/>
      <c r="W105">
        <v>2022048</v>
      </c>
      <c r="X105">
        <v>4131594</v>
      </c>
      <c r="Y105" t="s">
        <v>23</v>
      </c>
      <c r="Z105">
        <v>6153642</v>
      </c>
      <c r="AA105" s="1">
        <f>IF(COUNT(Tabelle1[[#This Row],[exercised_stock_options]:[restricted_stock_deferred]])=0,"NaN",SUM(Tabelle1[[#This Row],[exercised_stock_options]:[restricted_stock_deferred]]))</f>
        <v>6153642</v>
      </c>
      <c r="AB105" s="3" t="str">
        <f>IF(AND(Tabelle1[[#This Row],[total_stock_value_calc]]&lt;&gt;Tabelle1[[#This Row],[total_stock_value]]),IF(Tabelle1[[#This Row],[total_stock_value]]="NaN","recalculate total","one-off/hardcoded"),"")</f>
        <v/>
      </c>
      <c r="AC105"/>
      <c r="AD105"/>
      <c r="AE105"/>
      <c r="AF105"/>
      <c r="AI105"/>
      <c r="AJ105"/>
    </row>
    <row r="106" spans="1:36" s="14" customFormat="1" hidden="1" x14ac:dyDescent="0.3">
      <c r="A106" s="14" t="s">
        <v>207</v>
      </c>
      <c r="B106" s="14" t="s">
        <v>24</v>
      </c>
      <c r="C106" s="14" t="s">
        <v>23</v>
      </c>
      <c r="D106" s="14" t="s">
        <v>23</v>
      </c>
      <c r="E106" s="14" t="s">
        <v>23</v>
      </c>
      <c r="F106" s="14" t="s">
        <v>23</v>
      </c>
      <c r="G106" s="14" t="s">
        <v>23</v>
      </c>
      <c r="H106" s="14" t="s">
        <v>23</v>
      </c>
      <c r="J106" s="14">
        <v>26704229</v>
      </c>
      <c r="K106" s="14">
        <v>97343619</v>
      </c>
      <c r="L106" s="14">
        <v>48521928</v>
      </c>
      <c r="M106" s="14">
        <v>-27992891</v>
      </c>
      <c r="N106" s="14">
        <v>32083396</v>
      </c>
      <c r="O106" s="14">
        <v>83925000</v>
      </c>
      <c r="P106" s="14">
        <v>42667589</v>
      </c>
      <c r="Q106" s="14">
        <v>5235198</v>
      </c>
      <c r="R106" s="14">
        <v>1398517</v>
      </c>
      <c r="S106" s="14">
        <v>309886585</v>
      </c>
      <c r="T106" s="1">
        <f>IF(COUNT(Tabelle1[[#This Row],[salary]:[director_fees]])=0,"NaN",SUM(Tabelle1[[#This Row],[salary]:[director_fees]]))</f>
        <v>309886585</v>
      </c>
      <c r="U106" s="3" t="str">
        <f>IF(AND(Tabelle1[[#This Row],[total_payments_calc]]&lt;&gt;Tabelle1[[#This Row],[total_payments]]),IF(Tabelle1[[#This Row],[total_payments]]="NaN","recalculate total","one-off/hardcoded"),"")</f>
        <v/>
      </c>
      <c r="W106" s="14">
        <v>311764000</v>
      </c>
      <c r="X106" s="14">
        <v>130322299</v>
      </c>
      <c r="Y106" s="14">
        <v>-7576788</v>
      </c>
      <c r="Z106" s="14">
        <v>434509511</v>
      </c>
      <c r="AA106" s="1">
        <f>IF(COUNT(Tabelle1[[#This Row],[exercised_stock_options]:[restricted_stock_deferred]])=0,"NaN",SUM(Tabelle1[[#This Row],[exercised_stock_options]:[restricted_stock_deferred]]))</f>
        <v>434509511</v>
      </c>
      <c r="AB106" s="3" t="str">
        <f>IF(AND(Tabelle1[[#This Row],[total_stock_value_calc]]&lt;&gt;Tabelle1[[#This Row],[total_stock_value]]),IF(Tabelle1[[#This Row],[total_stock_value]]="NaN","recalculate total","one-off/hardcoded"),"")</f>
        <v/>
      </c>
    </row>
    <row r="107" spans="1:36" hidden="1" x14ac:dyDescent="0.3">
      <c r="A107" t="s">
        <v>208</v>
      </c>
      <c r="B107" t="s">
        <v>24</v>
      </c>
      <c r="C107">
        <v>0</v>
      </c>
      <c r="D107">
        <v>36</v>
      </c>
      <c r="E107">
        <v>517</v>
      </c>
      <c r="F107">
        <v>10</v>
      </c>
      <c r="G107">
        <v>0</v>
      </c>
      <c r="H107" t="s">
        <v>209</v>
      </c>
      <c r="J107" t="s">
        <v>23</v>
      </c>
      <c r="K107" t="s">
        <v>23</v>
      </c>
      <c r="L107" t="s">
        <v>23</v>
      </c>
      <c r="M107" t="s">
        <v>23</v>
      </c>
      <c r="N107" t="s">
        <v>23</v>
      </c>
      <c r="O107" t="s">
        <v>23</v>
      </c>
      <c r="P107" t="s">
        <v>23</v>
      </c>
      <c r="Q107" t="s">
        <v>23</v>
      </c>
      <c r="R107" t="s">
        <v>23</v>
      </c>
      <c r="S107" s="12" t="s">
        <v>23</v>
      </c>
      <c r="T107" s="1" t="str">
        <f>IF(COUNT(Tabelle1[[#This Row],[salary]:[director_fees]])=0,"NaN",SUM(Tabelle1[[#This Row],[salary]:[director_fees]]))</f>
        <v>NaN</v>
      </c>
      <c r="U107" s="3" t="str">
        <f>IF(AND(Tabelle1[[#This Row],[total_payments_calc]]&lt;&gt;Tabelle1[[#This Row],[total_payments]]),IF(Tabelle1[[#This Row],[total_payments]]="NaN","recalculate total","one-off/hardcoded"),"")</f>
        <v/>
      </c>
      <c r="V107" s="14"/>
      <c r="W107">
        <v>1324578</v>
      </c>
      <c r="X107">
        <v>560170</v>
      </c>
      <c r="Y107" t="s">
        <v>23</v>
      </c>
      <c r="Z107" s="12">
        <v>1884748</v>
      </c>
      <c r="AA107" s="1">
        <f>IF(COUNT(Tabelle1[[#This Row],[exercised_stock_options]:[restricted_stock_deferred]])=0,"NaN",SUM(Tabelle1[[#This Row],[exercised_stock_options]:[restricted_stock_deferred]]))</f>
        <v>1884748</v>
      </c>
      <c r="AB107" s="3" t="str">
        <f>IF(AND(Tabelle1[[#This Row],[total_stock_value_calc]]&lt;&gt;Tabelle1[[#This Row],[total_stock_value]]),IF(Tabelle1[[#This Row],[total_stock_value]]="NaN","recalculate total","one-off/hardcoded"),"")</f>
        <v/>
      </c>
      <c r="AC107"/>
      <c r="AD107"/>
      <c r="AE107"/>
      <c r="AF107"/>
      <c r="AI107"/>
      <c r="AJ107"/>
    </row>
    <row r="108" spans="1:36" hidden="1" x14ac:dyDescent="0.3">
      <c r="A108" t="s">
        <v>210</v>
      </c>
      <c r="B108" t="s">
        <v>24</v>
      </c>
      <c r="C108">
        <v>22</v>
      </c>
      <c r="D108">
        <v>30</v>
      </c>
      <c r="E108">
        <v>400</v>
      </c>
      <c r="F108">
        <v>337</v>
      </c>
      <c r="G108">
        <v>7</v>
      </c>
      <c r="H108" t="s">
        <v>211</v>
      </c>
      <c r="J108">
        <v>259996</v>
      </c>
      <c r="K108">
        <v>325000</v>
      </c>
      <c r="L108">
        <v>200000</v>
      </c>
      <c r="M108">
        <v>-583325</v>
      </c>
      <c r="N108">
        <v>831299</v>
      </c>
      <c r="O108" t="s">
        <v>23</v>
      </c>
      <c r="P108">
        <v>1425</v>
      </c>
      <c r="Q108" t="s">
        <v>23</v>
      </c>
      <c r="R108" t="s">
        <v>23</v>
      </c>
      <c r="S108" s="12">
        <v>1034395</v>
      </c>
      <c r="T108" s="1">
        <f>IF(COUNT(Tabelle1[[#This Row],[salary]:[director_fees]])=0,"NaN",SUM(Tabelle1[[#This Row],[salary]:[director_fees]]))</f>
        <v>1034395</v>
      </c>
      <c r="U108" s="3" t="str">
        <f>IF(AND(Tabelle1[[#This Row],[total_payments_calc]]&lt;&gt;Tabelle1[[#This Row],[total_payments]]),IF(Tabelle1[[#This Row],[total_payments]]="NaN","recalculate total","one-off/hardcoded"),"")</f>
        <v/>
      </c>
      <c r="V108" s="14"/>
      <c r="W108">
        <v>1668260</v>
      </c>
      <c r="X108">
        <v>388167</v>
      </c>
      <c r="Y108" t="s">
        <v>23</v>
      </c>
      <c r="Z108">
        <v>2056427</v>
      </c>
      <c r="AA108" s="1">
        <f>IF(COUNT(Tabelle1[[#This Row],[exercised_stock_options]:[restricted_stock_deferred]])=0,"NaN",SUM(Tabelle1[[#This Row],[exercised_stock_options]:[restricted_stock_deferred]]))</f>
        <v>2056427</v>
      </c>
      <c r="AB108" s="3" t="str">
        <f>IF(AND(Tabelle1[[#This Row],[total_stock_value_calc]]&lt;&gt;Tabelle1[[#This Row],[total_stock_value]]),IF(Tabelle1[[#This Row],[total_stock_value]]="NaN","recalculate total","one-off/hardcoded"),"")</f>
        <v/>
      </c>
      <c r="AC108"/>
      <c r="AD108"/>
      <c r="AE108"/>
      <c r="AF108"/>
      <c r="AI108"/>
      <c r="AJ108"/>
    </row>
    <row r="109" spans="1:36" hidden="1" x14ac:dyDescent="0.3">
      <c r="A109" t="s">
        <v>212</v>
      </c>
      <c r="B109" t="s">
        <v>24</v>
      </c>
      <c r="C109" t="s">
        <v>23</v>
      </c>
      <c r="D109" t="s">
        <v>23</v>
      </c>
      <c r="E109" t="s">
        <v>23</v>
      </c>
      <c r="F109" t="s">
        <v>23</v>
      </c>
      <c r="G109" t="s">
        <v>23</v>
      </c>
      <c r="H109" t="s">
        <v>213</v>
      </c>
      <c r="J109">
        <v>317543</v>
      </c>
      <c r="K109">
        <v>450000</v>
      </c>
      <c r="L109" t="s">
        <v>23</v>
      </c>
      <c r="M109" t="s">
        <v>23</v>
      </c>
      <c r="N109" t="s">
        <v>23</v>
      </c>
      <c r="O109" t="s">
        <v>23</v>
      </c>
      <c r="P109">
        <v>1085463</v>
      </c>
      <c r="Q109">
        <v>81353</v>
      </c>
      <c r="R109" t="s">
        <v>23</v>
      </c>
      <c r="S109" s="12">
        <v>1934359</v>
      </c>
      <c r="T109" s="1">
        <f>IF(COUNT(Tabelle1[[#This Row],[salary]:[director_fees]])=0,"NaN",SUM(Tabelle1[[#This Row],[salary]:[director_fees]]))</f>
        <v>1934359</v>
      </c>
      <c r="U109" s="3" t="str">
        <f>IF(AND(Tabelle1[[#This Row],[total_payments_calc]]&lt;&gt;Tabelle1[[#This Row],[total_payments]]),IF(Tabelle1[[#This Row],[total_payments]]="NaN","recalculate total","one-off/hardcoded"),"")</f>
        <v/>
      </c>
      <c r="V109" s="14"/>
      <c r="W109">
        <v>1297049</v>
      </c>
      <c r="X109">
        <v>13847074</v>
      </c>
      <c r="Y109" t="s">
        <v>23</v>
      </c>
      <c r="Z109">
        <v>15144123</v>
      </c>
      <c r="AA109" s="1">
        <f>IF(COUNT(Tabelle1[[#This Row],[exercised_stock_options]:[restricted_stock_deferred]])=0,"NaN",SUM(Tabelle1[[#This Row],[exercised_stock_options]:[restricted_stock_deferred]]))</f>
        <v>15144123</v>
      </c>
      <c r="AB109" s="3" t="str">
        <f>IF(AND(Tabelle1[[#This Row],[total_stock_value_calc]]&lt;&gt;Tabelle1[[#This Row],[total_stock_value]]),IF(Tabelle1[[#This Row],[total_stock_value]]="NaN","recalculate total","one-off/hardcoded"),"")</f>
        <v/>
      </c>
      <c r="AC109"/>
      <c r="AD109"/>
      <c r="AE109"/>
      <c r="AF109"/>
      <c r="AI109"/>
      <c r="AJ109"/>
    </row>
    <row r="110" spans="1:36" hidden="1" x14ac:dyDescent="0.3">
      <c r="A110" t="s">
        <v>214</v>
      </c>
      <c r="B110" t="s">
        <v>24</v>
      </c>
      <c r="C110" t="s">
        <v>23</v>
      </c>
      <c r="D110" t="s">
        <v>23</v>
      </c>
      <c r="E110" t="s">
        <v>23</v>
      </c>
      <c r="F110" t="s">
        <v>23</v>
      </c>
      <c r="G110" t="s">
        <v>23</v>
      </c>
      <c r="H110" t="s">
        <v>215</v>
      </c>
      <c r="J110" t="s">
        <v>23</v>
      </c>
      <c r="K110" t="s">
        <v>23</v>
      </c>
      <c r="L110" t="s">
        <v>23</v>
      </c>
      <c r="M110" t="s">
        <v>23</v>
      </c>
      <c r="N110" t="s">
        <v>23</v>
      </c>
      <c r="O110" t="s">
        <v>23</v>
      </c>
      <c r="P110" t="s">
        <v>23</v>
      </c>
      <c r="Q110" t="s">
        <v>23</v>
      </c>
      <c r="R110" t="s">
        <v>23</v>
      </c>
      <c r="S110" s="12" t="s">
        <v>23</v>
      </c>
      <c r="T110" s="1" t="str">
        <f>IF(COUNT(Tabelle1[[#This Row],[salary]:[director_fees]])=0,"NaN",SUM(Tabelle1[[#This Row],[salary]:[director_fees]]))</f>
        <v>NaN</v>
      </c>
      <c r="U110" s="3" t="str">
        <f>IF(AND(Tabelle1[[#This Row],[total_payments_calc]]&lt;&gt;Tabelle1[[#This Row],[total_payments]]),IF(Tabelle1[[#This Row],[total_payments]]="NaN","recalculate total","one-off/hardcoded"),"")</f>
        <v/>
      </c>
      <c r="V110" s="14"/>
      <c r="W110">
        <v>5127155</v>
      </c>
      <c r="X110">
        <v>950730</v>
      </c>
      <c r="Y110" t="s">
        <v>23</v>
      </c>
      <c r="Z110" s="12">
        <v>6077885</v>
      </c>
      <c r="AA110" s="1">
        <f>IF(COUNT(Tabelle1[[#This Row],[exercised_stock_options]:[restricted_stock_deferred]])=0,"NaN",SUM(Tabelle1[[#This Row],[exercised_stock_options]:[restricted_stock_deferred]]))</f>
        <v>6077885</v>
      </c>
      <c r="AB110" s="3" t="str">
        <f>IF(AND(Tabelle1[[#This Row],[total_stock_value_calc]]&lt;&gt;Tabelle1[[#This Row],[total_stock_value]]),IF(Tabelle1[[#This Row],[total_stock_value]]="NaN","recalculate total","one-off/hardcoded"),"")</f>
        <v/>
      </c>
      <c r="AC110"/>
      <c r="AD110"/>
      <c r="AE110"/>
      <c r="AF110"/>
      <c r="AI110"/>
      <c r="AJ110"/>
    </row>
    <row r="111" spans="1:36" hidden="1" x14ac:dyDescent="0.3">
      <c r="A111" t="s">
        <v>216</v>
      </c>
      <c r="B111" t="s">
        <v>24</v>
      </c>
      <c r="C111">
        <v>47</v>
      </c>
      <c r="D111">
        <v>2195</v>
      </c>
      <c r="E111">
        <v>2902</v>
      </c>
      <c r="F111">
        <v>1407</v>
      </c>
      <c r="G111">
        <v>65</v>
      </c>
      <c r="H111" t="s">
        <v>217</v>
      </c>
      <c r="J111">
        <v>201955</v>
      </c>
      <c r="K111">
        <v>4175000</v>
      </c>
      <c r="L111">
        <v>304805</v>
      </c>
      <c r="M111">
        <v>-3081055</v>
      </c>
      <c r="N111">
        <v>2869717</v>
      </c>
      <c r="O111" t="s">
        <v>23</v>
      </c>
      <c r="P111">
        <v>152</v>
      </c>
      <c r="Q111">
        <v>13868</v>
      </c>
      <c r="R111" t="s">
        <v>23</v>
      </c>
      <c r="S111" s="12">
        <v>4484442</v>
      </c>
      <c r="T111" s="1">
        <f>IF(COUNT(Tabelle1[[#This Row],[salary]:[director_fees]])=0,"NaN",SUM(Tabelle1[[#This Row],[salary]:[director_fees]]))</f>
        <v>4484442</v>
      </c>
      <c r="U111" s="3" t="str">
        <f>IF(AND(Tabelle1[[#This Row],[total_payments_calc]]&lt;&gt;Tabelle1[[#This Row],[total_payments]]),IF(Tabelle1[[#This Row],[total_payments]]="NaN","recalculate total","one-off/hardcoded"),"")</f>
        <v/>
      </c>
      <c r="V111" s="14"/>
      <c r="W111">
        <v>1729541</v>
      </c>
      <c r="X111">
        <v>126027</v>
      </c>
      <c r="Y111">
        <v>-126027</v>
      </c>
      <c r="Z111">
        <v>1729541</v>
      </c>
      <c r="AA111" s="1">
        <f>IF(COUNT(Tabelle1[[#This Row],[exercised_stock_options]:[restricted_stock_deferred]])=0,"NaN",SUM(Tabelle1[[#This Row],[exercised_stock_options]:[restricted_stock_deferred]]))</f>
        <v>1729541</v>
      </c>
      <c r="AB111" s="3" t="str">
        <f>IF(AND(Tabelle1[[#This Row],[total_stock_value_calc]]&lt;&gt;Tabelle1[[#This Row],[total_stock_value]]),IF(Tabelle1[[#This Row],[total_stock_value]]="NaN","recalculate total","one-off/hardcoded"),"")</f>
        <v/>
      </c>
      <c r="AC111"/>
      <c r="AD111"/>
      <c r="AE111"/>
      <c r="AF111"/>
      <c r="AI111"/>
      <c r="AJ111"/>
    </row>
    <row r="112" spans="1:36" hidden="1" x14ac:dyDescent="0.3">
      <c r="A112" t="s">
        <v>218</v>
      </c>
      <c r="B112" t="s">
        <v>24</v>
      </c>
      <c r="C112">
        <v>24</v>
      </c>
      <c r="D112">
        <v>136</v>
      </c>
      <c r="E112">
        <v>3136</v>
      </c>
      <c r="F112">
        <v>2477</v>
      </c>
      <c r="G112">
        <v>6</v>
      </c>
      <c r="H112" t="s">
        <v>219</v>
      </c>
      <c r="J112">
        <v>248146</v>
      </c>
      <c r="K112">
        <v>600000</v>
      </c>
      <c r="L112">
        <v>422158</v>
      </c>
      <c r="M112" t="s">
        <v>23</v>
      </c>
      <c r="N112">
        <v>187469</v>
      </c>
      <c r="O112" t="s">
        <v>23</v>
      </c>
      <c r="P112">
        <v>2401</v>
      </c>
      <c r="Q112">
        <v>116337</v>
      </c>
      <c r="R112" t="s">
        <v>23</v>
      </c>
      <c r="S112" s="12">
        <v>1576511</v>
      </c>
      <c r="T112" s="1">
        <f>IF(COUNT(Tabelle1[[#This Row],[salary]:[director_fees]])=0,"NaN",SUM(Tabelle1[[#This Row],[salary]:[director_fees]]))</f>
        <v>1576511</v>
      </c>
      <c r="U112" s="3" t="str">
        <f>IF(AND(Tabelle1[[#This Row],[total_payments_calc]]&lt;&gt;Tabelle1[[#This Row],[total_payments]]),IF(Tabelle1[[#This Row],[total_payments]]="NaN","recalculate total","one-off/hardcoded"),"")</f>
        <v/>
      </c>
      <c r="V112" s="14"/>
      <c r="W112">
        <v>281073</v>
      </c>
      <c r="X112">
        <v>213063</v>
      </c>
      <c r="Y112" t="s">
        <v>23</v>
      </c>
      <c r="Z112">
        <v>494136</v>
      </c>
      <c r="AA112" s="1">
        <f>IF(COUNT(Tabelle1[[#This Row],[exercised_stock_options]:[restricted_stock_deferred]])=0,"NaN",SUM(Tabelle1[[#This Row],[exercised_stock_options]:[restricted_stock_deferred]]))</f>
        <v>494136</v>
      </c>
      <c r="AB112" s="3" t="str">
        <f>IF(AND(Tabelle1[[#This Row],[total_stock_value_calc]]&lt;&gt;Tabelle1[[#This Row],[total_stock_value]]),IF(Tabelle1[[#This Row],[total_stock_value]]="NaN","recalculate total","one-off/hardcoded"),"")</f>
        <v/>
      </c>
      <c r="AC112"/>
      <c r="AD112"/>
      <c r="AE112"/>
      <c r="AF112"/>
      <c r="AI112"/>
      <c r="AJ112"/>
    </row>
    <row r="113" spans="1:36" hidden="1" x14ac:dyDescent="0.3">
      <c r="A113" t="s">
        <v>220</v>
      </c>
      <c r="B113" t="s">
        <v>24</v>
      </c>
      <c r="C113" t="s">
        <v>23</v>
      </c>
      <c r="D113" t="s">
        <v>23</v>
      </c>
      <c r="E113" t="s">
        <v>23</v>
      </c>
      <c r="F113" t="s">
        <v>23</v>
      </c>
      <c r="G113" t="s">
        <v>23</v>
      </c>
      <c r="H113" t="s">
        <v>23</v>
      </c>
      <c r="J113" t="s">
        <v>23</v>
      </c>
      <c r="K113" t="s">
        <v>23</v>
      </c>
      <c r="L113" t="s">
        <v>23</v>
      </c>
      <c r="M113">
        <v>-25000</v>
      </c>
      <c r="N113" t="s">
        <v>23</v>
      </c>
      <c r="O113" t="s">
        <v>23</v>
      </c>
      <c r="P113" t="s">
        <v>23</v>
      </c>
      <c r="Q113" t="s">
        <v>23</v>
      </c>
      <c r="R113">
        <v>108750</v>
      </c>
      <c r="S113" s="12">
        <v>83750</v>
      </c>
      <c r="T113" s="1">
        <f>IF(COUNT(Tabelle1[[#This Row],[salary]:[director_fees]])=0,"NaN",SUM(Tabelle1[[#This Row],[salary]:[director_fees]]))</f>
        <v>83750</v>
      </c>
      <c r="U113" s="3" t="str">
        <f>IF(AND(Tabelle1[[#This Row],[total_payments_calc]]&lt;&gt;Tabelle1[[#This Row],[total_payments]]),IF(Tabelle1[[#This Row],[total_payments]]="NaN","recalculate total","one-off/hardcoded"),"")</f>
        <v/>
      </c>
      <c r="V113" s="14"/>
      <c r="W113">
        <v>431750</v>
      </c>
      <c r="X113">
        <v>44093</v>
      </c>
      <c r="Y113">
        <v>-44093</v>
      </c>
      <c r="Z113">
        <v>431750</v>
      </c>
      <c r="AA113" s="1">
        <f>IF(COUNT(Tabelle1[[#This Row],[exercised_stock_options]:[restricted_stock_deferred]])=0,"NaN",SUM(Tabelle1[[#This Row],[exercised_stock_options]:[restricted_stock_deferred]]))</f>
        <v>431750</v>
      </c>
      <c r="AB113" s="3" t="str">
        <f>IF(AND(Tabelle1[[#This Row],[total_stock_value_calc]]&lt;&gt;Tabelle1[[#This Row],[total_stock_value]]),IF(Tabelle1[[#This Row],[total_stock_value]]="NaN","recalculate total","one-off/hardcoded"),"")</f>
        <v/>
      </c>
      <c r="AC113"/>
      <c r="AD113"/>
      <c r="AE113"/>
      <c r="AF113"/>
      <c r="AI113"/>
      <c r="AJ113"/>
    </row>
    <row r="114" spans="1:36" hidden="1" x14ac:dyDescent="0.3">
      <c r="A114" t="s">
        <v>221</v>
      </c>
      <c r="B114" t="s">
        <v>24</v>
      </c>
      <c r="C114" t="s">
        <v>23</v>
      </c>
      <c r="D114" t="s">
        <v>23</v>
      </c>
      <c r="E114" t="s">
        <v>23</v>
      </c>
      <c r="F114" t="s">
        <v>23</v>
      </c>
      <c r="G114" t="s">
        <v>23</v>
      </c>
      <c r="H114" t="s">
        <v>23</v>
      </c>
      <c r="J114" t="s">
        <v>23</v>
      </c>
      <c r="K114" t="s">
        <v>23</v>
      </c>
      <c r="L114" t="s">
        <v>23</v>
      </c>
      <c r="M114">
        <v>-25000</v>
      </c>
      <c r="N114" t="s">
        <v>23</v>
      </c>
      <c r="O114" t="s">
        <v>23</v>
      </c>
      <c r="P114" t="s">
        <v>23</v>
      </c>
      <c r="Q114">
        <v>1413</v>
      </c>
      <c r="R114">
        <v>108579</v>
      </c>
      <c r="S114" s="12">
        <v>84992</v>
      </c>
      <c r="T114" s="1">
        <f>IF(COUNT(Tabelle1[[#This Row],[salary]:[director_fees]])=0,"NaN",SUM(Tabelle1[[#This Row],[salary]:[director_fees]]))</f>
        <v>84992</v>
      </c>
      <c r="U114" s="3" t="str">
        <f>IF(AND(Tabelle1[[#This Row],[total_payments_calc]]&lt;&gt;Tabelle1[[#This Row],[total_payments]]),IF(Tabelle1[[#This Row],[total_payments]]="NaN","recalculate total","one-off/hardcoded"),"")</f>
        <v/>
      </c>
      <c r="V114" s="14"/>
      <c r="W114" t="s">
        <v>23</v>
      </c>
      <c r="X114" t="s">
        <v>23</v>
      </c>
      <c r="Y114" t="s">
        <v>23</v>
      </c>
      <c r="Z114" t="s">
        <v>23</v>
      </c>
      <c r="AA114" s="1" t="str">
        <f>IF(COUNT(Tabelle1[[#This Row],[exercised_stock_options]:[restricted_stock_deferred]])=0,"NaN",SUM(Tabelle1[[#This Row],[exercised_stock_options]:[restricted_stock_deferred]]))</f>
        <v>NaN</v>
      </c>
      <c r="AB114" s="3" t="str">
        <f>IF(AND(Tabelle1[[#This Row],[total_stock_value_calc]]&lt;&gt;Tabelle1[[#This Row],[total_stock_value]]),IF(Tabelle1[[#This Row],[total_stock_value]]="NaN","recalculate total","one-off/hardcoded"),"")</f>
        <v/>
      </c>
      <c r="AC114"/>
      <c r="AD114"/>
      <c r="AE114"/>
      <c r="AF114"/>
      <c r="AI114"/>
      <c r="AJ114"/>
    </row>
    <row r="115" spans="1:36" hidden="1" x14ac:dyDescent="0.3">
      <c r="A115" t="s">
        <v>222</v>
      </c>
      <c r="B115" t="s">
        <v>24</v>
      </c>
      <c r="C115">
        <v>13</v>
      </c>
      <c r="D115">
        <v>41</v>
      </c>
      <c r="E115">
        <v>1486</v>
      </c>
      <c r="F115">
        <v>761</v>
      </c>
      <c r="G115">
        <v>1</v>
      </c>
      <c r="H115" t="s">
        <v>223</v>
      </c>
      <c r="J115" t="s">
        <v>23</v>
      </c>
      <c r="K115" t="s">
        <v>23</v>
      </c>
      <c r="L115" t="s">
        <v>23</v>
      </c>
      <c r="M115" t="s">
        <v>23</v>
      </c>
      <c r="N115" t="s">
        <v>23</v>
      </c>
      <c r="O115" t="s">
        <v>23</v>
      </c>
      <c r="P115" t="s">
        <v>23</v>
      </c>
      <c r="Q115">
        <v>49288</v>
      </c>
      <c r="R115" t="s">
        <v>23</v>
      </c>
      <c r="S115" s="12">
        <v>49288</v>
      </c>
      <c r="T115" s="1">
        <f>IF(COUNT(Tabelle1[[#This Row],[salary]:[director_fees]])=0,"NaN",SUM(Tabelle1[[#This Row],[salary]:[director_fees]]))</f>
        <v>49288</v>
      </c>
      <c r="U115" s="3" t="str">
        <f>IF(AND(Tabelle1[[#This Row],[total_payments_calc]]&lt;&gt;Tabelle1[[#This Row],[total_payments]]),IF(Tabelle1[[#This Row],[total_payments]]="NaN","recalculate total","one-off/hardcoded"),"")</f>
        <v/>
      </c>
      <c r="V115" s="14"/>
      <c r="W115" t="s">
        <v>23</v>
      </c>
      <c r="X115" t="s">
        <v>23</v>
      </c>
      <c r="Y115" t="s">
        <v>23</v>
      </c>
      <c r="Z115" t="s">
        <v>23</v>
      </c>
      <c r="AA115" s="1" t="str">
        <f>IF(COUNT(Tabelle1[[#This Row],[exercised_stock_options]:[restricted_stock_deferred]])=0,"NaN",SUM(Tabelle1[[#This Row],[exercised_stock_options]:[restricted_stock_deferred]]))</f>
        <v>NaN</v>
      </c>
      <c r="AB115" s="3" t="str">
        <f>IF(AND(Tabelle1[[#This Row],[total_stock_value_calc]]&lt;&gt;Tabelle1[[#This Row],[total_stock_value]]),IF(Tabelle1[[#This Row],[total_stock_value]]="NaN","recalculate total","one-off/hardcoded"),"")</f>
        <v/>
      </c>
      <c r="AC115"/>
      <c r="AD115"/>
      <c r="AE115"/>
      <c r="AF115"/>
      <c r="AI115"/>
      <c r="AJ115"/>
    </row>
    <row r="116" spans="1:36" hidden="1" x14ac:dyDescent="0.3">
      <c r="A116" t="s">
        <v>224</v>
      </c>
      <c r="B116" t="s">
        <v>24</v>
      </c>
      <c r="C116" t="s">
        <v>23</v>
      </c>
      <c r="D116" t="s">
        <v>23</v>
      </c>
      <c r="E116" t="s">
        <v>23</v>
      </c>
      <c r="F116" t="s">
        <v>23</v>
      </c>
      <c r="G116" t="s">
        <v>23</v>
      </c>
      <c r="H116" t="s">
        <v>23</v>
      </c>
      <c r="J116" t="s">
        <v>23</v>
      </c>
      <c r="K116" t="s">
        <v>23</v>
      </c>
      <c r="L116" t="s">
        <v>23</v>
      </c>
      <c r="M116" t="s">
        <v>23</v>
      </c>
      <c r="N116">
        <v>178980</v>
      </c>
      <c r="O116" t="s">
        <v>23</v>
      </c>
      <c r="P116" t="s">
        <v>23</v>
      </c>
      <c r="Q116">
        <v>3486</v>
      </c>
      <c r="R116" t="s">
        <v>23</v>
      </c>
      <c r="S116" s="12">
        <v>182466</v>
      </c>
      <c r="T116" s="1">
        <f>IF(COUNT(Tabelle1[[#This Row],[salary]:[director_fees]])=0,"NaN",SUM(Tabelle1[[#This Row],[salary]:[director_fees]]))</f>
        <v>182466</v>
      </c>
      <c r="U116" s="3" t="str">
        <f>IF(AND(Tabelle1[[#This Row],[total_payments_calc]]&lt;&gt;Tabelle1[[#This Row],[total_payments]]),IF(Tabelle1[[#This Row],[total_payments]]="NaN","recalculate total","one-off/hardcoded"),"")</f>
        <v/>
      </c>
      <c r="V116" s="14"/>
      <c r="W116">
        <v>257817</v>
      </c>
      <c r="X116" t="s">
        <v>23</v>
      </c>
      <c r="Y116" t="s">
        <v>23</v>
      </c>
      <c r="Z116">
        <v>257817</v>
      </c>
      <c r="AA116" s="1">
        <f>IF(COUNT(Tabelle1[[#This Row],[exercised_stock_options]:[restricted_stock_deferred]])=0,"NaN",SUM(Tabelle1[[#This Row],[exercised_stock_options]:[restricted_stock_deferred]]))</f>
        <v>257817</v>
      </c>
      <c r="AB116" s="3" t="str">
        <f>IF(AND(Tabelle1[[#This Row],[total_stock_value_calc]]&lt;&gt;Tabelle1[[#This Row],[total_stock_value]]),IF(Tabelle1[[#This Row],[total_stock_value]]="NaN","recalculate total","one-off/hardcoded"),"")</f>
        <v/>
      </c>
      <c r="AC116"/>
      <c r="AD116"/>
      <c r="AE116"/>
      <c r="AF116"/>
      <c r="AI116"/>
      <c r="AJ116"/>
    </row>
    <row r="117" spans="1:36" hidden="1" x14ac:dyDescent="0.3">
      <c r="A117" t="s">
        <v>225</v>
      </c>
      <c r="B117" t="s">
        <v>24</v>
      </c>
      <c r="C117">
        <v>35</v>
      </c>
      <c r="D117">
        <v>34</v>
      </c>
      <c r="E117">
        <v>719</v>
      </c>
      <c r="F117">
        <v>589</v>
      </c>
      <c r="G117">
        <v>5</v>
      </c>
      <c r="H117" t="s">
        <v>226</v>
      </c>
      <c r="J117" t="s">
        <v>23</v>
      </c>
      <c r="K117" t="s">
        <v>23</v>
      </c>
      <c r="L117" t="s">
        <v>23</v>
      </c>
      <c r="M117" t="s">
        <v>23</v>
      </c>
      <c r="N117" t="s">
        <v>23</v>
      </c>
      <c r="O117" t="s">
        <v>23</v>
      </c>
      <c r="P117" t="s">
        <v>23</v>
      </c>
      <c r="Q117" t="s">
        <v>23</v>
      </c>
      <c r="R117" t="s">
        <v>23</v>
      </c>
      <c r="S117" s="12" t="s">
        <v>23</v>
      </c>
      <c r="T117" s="1" t="str">
        <f>IF(COUNT(Tabelle1[[#This Row],[salary]:[director_fees]])=0,"NaN",SUM(Tabelle1[[#This Row],[salary]:[director_fees]]))</f>
        <v>NaN</v>
      </c>
      <c r="U117" s="3" t="str">
        <f>IF(AND(Tabelle1[[#This Row],[total_payments_calc]]&lt;&gt;Tabelle1[[#This Row],[total_payments]]),IF(Tabelle1[[#This Row],[total_payments]]="NaN","recalculate total","one-off/hardcoded"),"")</f>
        <v/>
      </c>
      <c r="V117" s="14"/>
      <c r="W117">
        <v>754966</v>
      </c>
      <c r="X117">
        <v>363428</v>
      </c>
      <c r="Y117" t="s">
        <v>23</v>
      </c>
      <c r="Z117" s="12">
        <v>1118394</v>
      </c>
      <c r="AA117" s="1">
        <f>IF(COUNT(Tabelle1[[#This Row],[exercised_stock_options]:[restricted_stock_deferred]])=0,"NaN",SUM(Tabelle1[[#This Row],[exercised_stock_options]:[restricted_stock_deferred]]))</f>
        <v>1118394</v>
      </c>
      <c r="AB117" s="3" t="str">
        <f>IF(AND(Tabelle1[[#This Row],[total_stock_value_calc]]&lt;&gt;Tabelle1[[#This Row],[total_stock_value]]),IF(Tabelle1[[#This Row],[total_stock_value]]="NaN","recalculate total","one-off/hardcoded"),"")</f>
        <v/>
      </c>
      <c r="AC117"/>
      <c r="AD117"/>
      <c r="AE117"/>
      <c r="AF117"/>
      <c r="AI117"/>
      <c r="AJ117"/>
    </row>
    <row r="118" spans="1:36" hidden="1" x14ac:dyDescent="0.3">
      <c r="A118" t="s">
        <v>227</v>
      </c>
      <c r="B118" t="s">
        <v>24</v>
      </c>
      <c r="C118" t="s">
        <v>23</v>
      </c>
      <c r="D118" t="s">
        <v>23</v>
      </c>
      <c r="E118" t="s">
        <v>23</v>
      </c>
      <c r="F118" t="s">
        <v>23</v>
      </c>
      <c r="G118" t="s">
        <v>23</v>
      </c>
      <c r="H118" t="s">
        <v>23</v>
      </c>
      <c r="J118">
        <v>76399</v>
      </c>
      <c r="K118">
        <v>100000</v>
      </c>
      <c r="L118">
        <v>156250</v>
      </c>
      <c r="M118">
        <v>-200000</v>
      </c>
      <c r="N118">
        <v>51365</v>
      </c>
      <c r="O118" t="s">
        <v>23</v>
      </c>
      <c r="P118">
        <v>202052</v>
      </c>
      <c r="Q118">
        <v>8409</v>
      </c>
      <c r="R118" t="s">
        <v>23</v>
      </c>
      <c r="S118" s="12">
        <v>394475</v>
      </c>
      <c r="T118" s="1">
        <f>IF(COUNT(Tabelle1[[#This Row],[salary]:[director_fees]])=0,"NaN",SUM(Tabelle1[[#This Row],[salary]:[director_fees]]))</f>
        <v>394475</v>
      </c>
      <c r="U118" s="3" t="str">
        <f>IF(AND(Tabelle1[[#This Row],[total_payments_calc]]&lt;&gt;Tabelle1[[#This Row],[total_payments]]),IF(Tabelle1[[#This Row],[total_payments]]="NaN","recalculate total","one-off/hardcoded"),"")</f>
        <v/>
      </c>
      <c r="V118" s="14"/>
      <c r="W118">
        <v>4160672</v>
      </c>
      <c r="X118">
        <v>201483</v>
      </c>
      <c r="Y118">
        <v>-140264</v>
      </c>
      <c r="Z118">
        <v>4221891</v>
      </c>
      <c r="AA118" s="1">
        <f>IF(COUNT(Tabelle1[[#This Row],[exercised_stock_options]:[restricted_stock_deferred]])=0,"NaN",SUM(Tabelle1[[#This Row],[exercised_stock_options]:[restricted_stock_deferred]]))</f>
        <v>4221891</v>
      </c>
      <c r="AB118" s="3" t="str">
        <f>IF(AND(Tabelle1[[#This Row],[total_stock_value_calc]]&lt;&gt;Tabelle1[[#This Row],[total_stock_value]]),IF(Tabelle1[[#This Row],[total_stock_value]]="NaN","recalculate total","one-off/hardcoded"),"")</f>
        <v/>
      </c>
      <c r="AC118"/>
      <c r="AD118"/>
      <c r="AE118"/>
      <c r="AF118"/>
      <c r="AI118"/>
      <c r="AJ118"/>
    </row>
    <row r="119" spans="1:36" hidden="1" x14ac:dyDescent="0.3">
      <c r="A119" t="s">
        <v>228</v>
      </c>
      <c r="B119" t="s">
        <v>24</v>
      </c>
      <c r="C119" t="s">
        <v>23</v>
      </c>
      <c r="D119" t="s">
        <v>23</v>
      </c>
      <c r="E119" t="s">
        <v>23</v>
      </c>
      <c r="F119" t="s">
        <v>23</v>
      </c>
      <c r="G119" t="s">
        <v>23</v>
      </c>
      <c r="H119" t="s">
        <v>229</v>
      </c>
      <c r="J119">
        <v>262788</v>
      </c>
      <c r="K119">
        <v>1000000</v>
      </c>
      <c r="L119">
        <v>694862</v>
      </c>
      <c r="M119" t="s">
        <v>23</v>
      </c>
      <c r="N119" t="s">
        <v>23</v>
      </c>
      <c r="O119" t="s">
        <v>23</v>
      </c>
      <c r="P119">
        <v>374689</v>
      </c>
      <c r="Q119">
        <v>35812</v>
      </c>
      <c r="R119" t="s">
        <v>23</v>
      </c>
      <c r="S119" s="12">
        <v>2368151</v>
      </c>
      <c r="T119" s="1">
        <f>IF(COUNT(Tabelle1[[#This Row],[salary]:[director_fees]])=0,"NaN",SUM(Tabelle1[[#This Row],[salary]:[director_fees]]))</f>
        <v>2368151</v>
      </c>
      <c r="U119" s="3" t="str">
        <f>IF(AND(Tabelle1[[#This Row],[total_payments_calc]]&lt;&gt;Tabelle1[[#This Row],[total_payments]]),IF(Tabelle1[[#This Row],[total_payments]]="NaN","recalculate total","one-off/hardcoded"),"")</f>
        <v/>
      </c>
      <c r="V119" s="14"/>
      <c r="W119">
        <v>8191755</v>
      </c>
      <c r="X119">
        <v>126027</v>
      </c>
      <c r="Y119" t="s">
        <v>23</v>
      </c>
      <c r="Z119">
        <v>8317782</v>
      </c>
      <c r="AA119" s="1">
        <f>IF(COUNT(Tabelle1[[#This Row],[exercised_stock_options]:[restricted_stock_deferred]])=0,"NaN",SUM(Tabelle1[[#This Row],[exercised_stock_options]:[restricted_stock_deferred]]))</f>
        <v>8317782</v>
      </c>
      <c r="AB119" s="3" t="str">
        <f>IF(AND(Tabelle1[[#This Row],[total_stock_value_calc]]&lt;&gt;Tabelle1[[#This Row],[total_stock_value]]),IF(Tabelle1[[#This Row],[total_stock_value]]="NaN","recalculate total","one-off/hardcoded"),"")</f>
        <v/>
      </c>
      <c r="AC119"/>
      <c r="AD119"/>
      <c r="AE119"/>
      <c r="AF119"/>
      <c r="AI119"/>
      <c r="AJ119"/>
    </row>
    <row r="120" spans="1:36" hidden="1" x14ac:dyDescent="0.3">
      <c r="A120" t="s">
        <v>230</v>
      </c>
      <c r="B120" t="s">
        <v>24</v>
      </c>
      <c r="C120">
        <v>0</v>
      </c>
      <c r="D120">
        <v>29</v>
      </c>
      <c r="E120">
        <v>523</v>
      </c>
      <c r="F120">
        <v>463</v>
      </c>
      <c r="G120">
        <v>1</v>
      </c>
      <c r="H120" t="s">
        <v>231</v>
      </c>
      <c r="J120" t="s">
        <v>23</v>
      </c>
      <c r="K120" t="s">
        <v>23</v>
      </c>
      <c r="L120" t="s">
        <v>23</v>
      </c>
      <c r="M120" t="s">
        <v>23</v>
      </c>
      <c r="N120" t="s">
        <v>23</v>
      </c>
      <c r="O120" t="s">
        <v>23</v>
      </c>
      <c r="P120">
        <v>137864</v>
      </c>
      <c r="Q120" t="s">
        <v>23</v>
      </c>
      <c r="R120">
        <v>137864</v>
      </c>
      <c r="S120" s="12">
        <v>15456290</v>
      </c>
      <c r="T120" s="1">
        <f>IF(COUNT(Tabelle1[[#This Row],[salary]:[director_fees]])=0,"NaN",SUM(Tabelle1[[#This Row],[salary]:[director_fees]]))</f>
        <v>275728</v>
      </c>
      <c r="U120" s="3" t="str">
        <f>IF(AND(Tabelle1[[#This Row],[total_payments_calc]]&lt;&gt;Tabelle1[[#This Row],[total_payments]]),IF(Tabelle1[[#This Row],[total_payments]]="NaN","recalculate total","one-off/hardcoded"),"")</f>
        <v>one-off/hardcoded</v>
      </c>
      <c r="V120" s="14"/>
      <c r="W120">
        <v>2604490</v>
      </c>
      <c r="X120">
        <v>-2604490</v>
      </c>
      <c r="Y120">
        <v>15456290</v>
      </c>
      <c r="Z120" s="12" t="s">
        <v>23</v>
      </c>
      <c r="AA120" s="1">
        <f>IF(COUNT(Tabelle1[[#This Row],[exercised_stock_options]:[restricted_stock_deferred]])=0,"NaN",SUM(Tabelle1[[#This Row],[exercised_stock_options]:[restricted_stock_deferred]]))</f>
        <v>15456290</v>
      </c>
      <c r="AB120" s="3" t="str">
        <f>IF(AND(Tabelle1[[#This Row],[total_stock_value_calc]]&lt;&gt;Tabelle1[[#This Row],[total_stock_value]]),IF(Tabelle1[[#This Row],[total_stock_value]]="NaN","recalculate total","one-off/hardcoded"),"")</f>
        <v>recalculate total</v>
      </c>
      <c r="AC120"/>
      <c r="AD120"/>
      <c r="AE120"/>
      <c r="AF120"/>
      <c r="AI120"/>
      <c r="AJ120"/>
    </row>
    <row r="121" spans="1:36" hidden="1" x14ac:dyDescent="0.3">
      <c r="A121" t="s">
        <v>232</v>
      </c>
      <c r="B121" t="s">
        <v>24</v>
      </c>
      <c r="C121">
        <v>29</v>
      </c>
      <c r="D121">
        <v>15</v>
      </c>
      <c r="E121">
        <v>312</v>
      </c>
      <c r="F121">
        <v>196</v>
      </c>
      <c r="G121">
        <v>7</v>
      </c>
      <c r="H121" t="s">
        <v>233</v>
      </c>
      <c r="J121">
        <v>261809</v>
      </c>
      <c r="K121">
        <v>300000</v>
      </c>
      <c r="L121">
        <v>75000</v>
      </c>
      <c r="M121">
        <v>-159792</v>
      </c>
      <c r="N121" t="s">
        <v>23</v>
      </c>
      <c r="O121" t="s">
        <v>23</v>
      </c>
      <c r="P121">
        <v>540</v>
      </c>
      <c r="Q121" t="s">
        <v>23</v>
      </c>
      <c r="R121" t="s">
        <v>23</v>
      </c>
      <c r="S121" s="12">
        <v>477557</v>
      </c>
      <c r="T121" s="1">
        <f>IF(COUNT(Tabelle1[[#This Row],[salary]:[director_fees]])=0,"NaN",SUM(Tabelle1[[#This Row],[salary]:[director_fees]]))</f>
        <v>477557</v>
      </c>
      <c r="U121" s="3" t="str">
        <f>IF(AND(Tabelle1[[#This Row],[total_payments_calc]]&lt;&gt;Tabelle1[[#This Row],[total_payments]]),IF(Tabelle1[[#This Row],[total_payments]]="NaN","recalculate total","one-off/hardcoded"),"")</f>
        <v/>
      </c>
      <c r="V121" s="14"/>
      <c r="W121" t="s">
        <v>23</v>
      </c>
      <c r="X121">
        <v>307301</v>
      </c>
      <c r="Y121">
        <v>-307301</v>
      </c>
      <c r="Z121" t="s">
        <v>23</v>
      </c>
      <c r="AA121" s="1">
        <f>IF(COUNT(Tabelle1[[#This Row],[exercised_stock_options]:[restricted_stock_deferred]])=0,"NaN",SUM(Tabelle1[[#This Row],[exercised_stock_options]:[restricted_stock_deferred]]))</f>
        <v>0</v>
      </c>
      <c r="AB121" s="3" t="str">
        <f>IF(AND(Tabelle1[[#This Row],[total_stock_value_calc]]&lt;&gt;Tabelle1[[#This Row],[total_stock_value]]),IF(Tabelle1[[#This Row],[total_stock_value]]="NaN","recalculate total","one-off/hardcoded"),"")</f>
        <v>recalculate total</v>
      </c>
      <c r="AC121"/>
      <c r="AD121"/>
      <c r="AE121"/>
      <c r="AF121"/>
      <c r="AI121"/>
      <c r="AJ121"/>
    </row>
    <row r="122" spans="1:36" hidden="1" x14ac:dyDescent="0.3">
      <c r="A122" t="s">
        <v>234</v>
      </c>
      <c r="B122" t="s">
        <v>24</v>
      </c>
      <c r="C122">
        <v>0</v>
      </c>
      <c r="D122">
        <v>125</v>
      </c>
      <c r="E122">
        <v>1088</v>
      </c>
      <c r="F122">
        <v>23</v>
      </c>
      <c r="G122">
        <v>0</v>
      </c>
      <c r="H122" t="s">
        <v>235</v>
      </c>
      <c r="J122">
        <v>248017</v>
      </c>
      <c r="K122">
        <v>500000</v>
      </c>
      <c r="L122">
        <v>304805</v>
      </c>
      <c r="M122" t="s">
        <v>23</v>
      </c>
      <c r="N122" t="s">
        <v>23</v>
      </c>
      <c r="O122" t="s">
        <v>23</v>
      </c>
      <c r="P122">
        <v>1215</v>
      </c>
      <c r="Q122">
        <v>600</v>
      </c>
      <c r="R122" t="s">
        <v>23</v>
      </c>
      <c r="S122" s="12">
        <v>1054637</v>
      </c>
      <c r="T122" s="1">
        <f>IF(COUNT(Tabelle1[[#This Row],[salary]:[director_fees]])=0,"NaN",SUM(Tabelle1[[#This Row],[salary]:[director_fees]]))</f>
        <v>1054637</v>
      </c>
      <c r="U122" s="3" t="str">
        <f>IF(AND(Tabelle1[[#This Row],[total_payments_calc]]&lt;&gt;Tabelle1[[#This Row],[total_payments]]),IF(Tabelle1[[#This Row],[total_payments]]="NaN","recalculate total","one-off/hardcoded"),"")</f>
        <v/>
      </c>
      <c r="V122" s="14"/>
      <c r="W122">
        <v>825464</v>
      </c>
      <c r="X122">
        <v>189041</v>
      </c>
      <c r="Y122" t="s">
        <v>23</v>
      </c>
      <c r="Z122">
        <v>1014505</v>
      </c>
      <c r="AA122" s="1">
        <f>IF(COUNT(Tabelle1[[#This Row],[exercised_stock_options]:[restricted_stock_deferred]])=0,"NaN",SUM(Tabelle1[[#This Row],[exercised_stock_options]:[restricted_stock_deferred]]))</f>
        <v>1014505</v>
      </c>
      <c r="AB122" s="3" t="str">
        <f>IF(AND(Tabelle1[[#This Row],[total_stock_value_calc]]&lt;&gt;Tabelle1[[#This Row],[total_stock_value]]),IF(Tabelle1[[#This Row],[total_stock_value]]="NaN","recalculate total","one-off/hardcoded"),"")</f>
        <v/>
      </c>
      <c r="AC122"/>
      <c r="AD122"/>
      <c r="AE122"/>
      <c r="AF122"/>
      <c r="AI122"/>
      <c r="AJ122"/>
    </row>
    <row r="123" spans="1:36" hidden="1" x14ac:dyDescent="0.3">
      <c r="A123" t="s">
        <v>236</v>
      </c>
      <c r="B123" t="s">
        <v>24</v>
      </c>
      <c r="C123" t="s">
        <v>23</v>
      </c>
      <c r="D123" t="s">
        <v>23</v>
      </c>
      <c r="E123" t="s">
        <v>23</v>
      </c>
      <c r="F123" t="s">
        <v>23</v>
      </c>
      <c r="G123" t="s">
        <v>23</v>
      </c>
      <c r="H123" t="s">
        <v>23</v>
      </c>
      <c r="J123" t="s">
        <v>23</v>
      </c>
      <c r="K123" t="s">
        <v>23</v>
      </c>
      <c r="L123" t="s">
        <v>23</v>
      </c>
      <c r="M123" t="s">
        <v>23</v>
      </c>
      <c r="N123" t="s">
        <v>23</v>
      </c>
      <c r="O123" t="s">
        <v>23</v>
      </c>
      <c r="P123" t="s">
        <v>23</v>
      </c>
      <c r="Q123">
        <v>55097</v>
      </c>
      <c r="R123" t="s">
        <v>23</v>
      </c>
      <c r="S123" s="12">
        <v>55097</v>
      </c>
      <c r="T123" s="1">
        <f>IF(COUNT(Tabelle1[[#This Row],[salary]:[director_fees]])=0,"NaN",SUM(Tabelle1[[#This Row],[salary]:[director_fees]]))</f>
        <v>55097</v>
      </c>
      <c r="U123" s="3" t="str">
        <f>IF(AND(Tabelle1[[#This Row],[total_payments_calc]]&lt;&gt;Tabelle1[[#This Row],[total_payments]]),IF(Tabelle1[[#This Row],[total_payments]]="NaN","recalculate total","one-off/hardcoded"),"")</f>
        <v/>
      </c>
      <c r="V123" s="14"/>
      <c r="W123">
        <v>192758</v>
      </c>
      <c r="X123" t="s">
        <v>23</v>
      </c>
      <c r="Y123" t="s">
        <v>23</v>
      </c>
      <c r="Z123">
        <v>192758</v>
      </c>
      <c r="AA123" s="1">
        <f>IF(COUNT(Tabelle1[[#This Row],[exercised_stock_options]:[restricted_stock_deferred]])=0,"NaN",SUM(Tabelle1[[#This Row],[exercised_stock_options]:[restricted_stock_deferred]]))</f>
        <v>192758</v>
      </c>
      <c r="AB123" s="3" t="str">
        <f>IF(AND(Tabelle1[[#This Row],[total_stock_value_calc]]&lt;&gt;Tabelle1[[#This Row],[total_stock_value]]),IF(Tabelle1[[#This Row],[total_stock_value]]="NaN","recalculate total","one-off/hardcoded"),"")</f>
        <v/>
      </c>
      <c r="AC123"/>
      <c r="AD123"/>
      <c r="AE123"/>
      <c r="AF123"/>
      <c r="AI123"/>
      <c r="AJ123"/>
    </row>
    <row r="124" spans="1:36" hidden="1" x14ac:dyDescent="0.3">
      <c r="A124" t="s">
        <v>237</v>
      </c>
      <c r="B124" t="s">
        <v>24</v>
      </c>
      <c r="C124">
        <v>11</v>
      </c>
      <c r="D124">
        <v>45</v>
      </c>
      <c r="E124">
        <v>2192</v>
      </c>
      <c r="F124">
        <v>395</v>
      </c>
      <c r="G124">
        <v>2</v>
      </c>
      <c r="H124" t="s">
        <v>238</v>
      </c>
      <c r="J124">
        <v>229284</v>
      </c>
      <c r="K124">
        <v>400000</v>
      </c>
      <c r="L124">
        <v>125000</v>
      </c>
      <c r="M124" t="s">
        <v>23</v>
      </c>
      <c r="N124" t="s">
        <v>23</v>
      </c>
      <c r="O124" t="s">
        <v>23</v>
      </c>
      <c r="P124">
        <v>330</v>
      </c>
      <c r="Q124">
        <v>57580</v>
      </c>
      <c r="R124" t="s">
        <v>23</v>
      </c>
      <c r="S124" s="12">
        <v>812194</v>
      </c>
      <c r="T124" s="1">
        <f>IF(COUNT(Tabelle1[[#This Row],[salary]:[director_fees]])=0,"NaN",SUM(Tabelle1[[#This Row],[salary]:[director_fees]]))</f>
        <v>812194</v>
      </c>
      <c r="U124" s="3" t="str">
        <f>IF(AND(Tabelle1[[#This Row],[total_payments_calc]]&lt;&gt;Tabelle1[[#This Row],[total_payments]]),IF(Tabelle1[[#This Row],[total_payments]]="NaN","recalculate total","one-off/hardcoded"),"")</f>
        <v/>
      </c>
      <c r="V124" s="14"/>
      <c r="W124">
        <v>400478</v>
      </c>
      <c r="X124">
        <v>196983</v>
      </c>
      <c r="Y124" t="s">
        <v>23</v>
      </c>
      <c r="Z124">
        <v>597461</v>
      </c>
      <c r="AA124" s="1">
        <f>IF(COUNT(Tabelle1[[#This Row],[exercised_stock_options]:[restricted_stock_deferred]])=0,"NaN",SUM(Tabelle1[[#This Row],[exercised_stock_options]:[restricted_stock_deferred]]))</f>
        <v>597461</v>
      </c>
      <c r="AB124" s="3" t="str">
        <f>IF(AND(Tabelle1[[#This Row],[total_stock_value_calc]]&lt;&gt;Tabelle1[[#This Row],[total_stock_value]]),IF(Tabelle1[[#This Row],[total_stock_value]]="NaN","recalculate total","one-off/hardcoded"),"")</f>
        <v/>
      </c>
      <c r="AC124"/>
      <c r="AD124"/>
      <c r="AE124"/>
      <c r="AF124"/>
      <c r="AI124"/>
      <c r="AJ124"/>
    </row>
    <row r="125" spans="1:36" hidden="1" x14ac:dyDescent="0.3">
      <c r="A125" t="s">
        <v>239</v>
      </c>
      <c r="B125" t="s">
        <v>24</v>
      </c>
      <c r="C125">
        <v>10</v>
      </c>
      <c r="D125">
        <v>44</v>
      </c>
      <c r="E125">
        <v>209</v>
      </c>
      <c r="F125">
        <v>178</v>
      </c>
      <c r="G125">
        <v>27</v>
      </c>
      <c r="H125" t="s">
        <v>240</v>
      </c>
      <c r="J125">
        <v>231946</v>
      </c>
      <c r="K125">
        <v>850000</v>
      </c>
      <c r="L125">
        <v>375304</v>
      </c>
      <c r="M125" t="s">
        <v>23</v>
      </c>
      <c r="N125" t="s">
        <v>23</v>
      </c>
      <c r="O125" t="s">
        <v>23</v>
      </c>
      <c r="P125">
        <v>60814</v>
      </c>
      <c r="Q125">
        <v>48405</v>
      </c>
      <c r="R125" t="s">
        <v>23</v>
      </c>
      <c r="S125" s="12">
        <v>1566469</v>
      </c>
      <c r="T125" s="1">
        <f>IF(COUNT(Tabelle1[[#This Row],[salary]:[director_fees]])=0,"NaN",SUM(Tabelle1[[#This Row],[salary]:[director_fees]]))</f>
        <v>1566469</v>
      </c>
      <c r="U125" s="3" t="str">
        <f>IF(AND(Tabelle1[[#This Row],[total_payments_calc]]&lt;&gt;Tabelle1[[#This Row],[total_payments]]),IF(Tabelle1[[#This Row],[total_payments]]="NaN","recalculate total","one-off/hardcoded"),"")</f>
        <v/>
      </c>
      <c r="V125" s="14"/>
      <c r="W125">
        <v>636246</v>
      </c>
      <c r="X125">
        <v>259907</v>
      </c>
      <c r="Y125" t="s">
        <v>23</v>
      </c>
      <c r="Z125">
        <v>896153</v>
      </c>
      <c r="AA125" s="1">
        <f>IF(COUNT(Tabelle1[[#This Row],[exercised_stock_options]:[restricted_stock_deferred]])=0,"NaN",SUM(Tabelle1[[#This Row],[exercised_stock_options]:[restricted_stock_deferred]]))</f>
        <v>896153</v>
      </c>
      <c r="AB125" s="3" t="str">
        <f>IF(AND(Tabelle1[[#This Row],[total_stock_value_calc]]&lt;&gt;Tabelle1[[#This Row],[total_stock_value]]),IF(Tabelle1[[#This Row],[total_stock_value]]="NaN","recalculate total","one-off/hardcoded"),"")</f>
        <v/>
      </c>
      <c r="AC125"/>
      <c r="AD125"/>
      <c r="AE125"/>
      <c r="AF125"/>
      <c r="AI125"/>
      <c r="AJ125"/>
    </row>
    <row r="126" spans="1:36" hidden="1" x14ac:dyDescent="0.3">
      <c r="A126" t="s">
        <v>241</v>
      </c>
      <c r="B126" t="s">
        <v>24</v>
      </c>
      <c r="C126">
        <v>10</v>
      </c>
      <c r="D126">
        <v>14</v>
      </c>
      <c r="E126">
        <v>176</v>
      </c>
      <c r="F126">
        <v>114</v>
      </c>
      <c r="G126">
        <v>3</v>
      </c>
      <c r="H126" t="s">
        <v>242</v>
      </c>
      <c r="J126">
        <v>221003</v>
      </c>
      <c r="K126">
        <v>70000</v>
      </c>
      <c r="L126" t="s">
        <v>23</v>
      </c>
      <c r="M126" t="s">
        <v>23</v>
      </c>
      <c r="N126" t="s">
        <v>23</v>
      </c>
      <c r="O126" t="s">
        <v>23</v>
      </c>
      <c r="P126">
        <v>774</v>
      </c>
      <c r="Q126">
        <v>28164</v>
      </c>
      <c r="R126" t="s">
        <v>23</v>
      </c>
      <c r="S126" s="12">
        <v>319941</v>
      </c>
      <c r="T126" s="1">
        <f>IF(COUNT(Tabelle1[[#This Row],[salary]:[director_fees]])=0,"NaN",SUM(Tabelle1[[#This Row],[salary]:[director_fees]]))</f>
        <v>319941</v>
      </c>
      <c r="U126" s="3" t="str">
        <f>IF(AND(Tabelle1[[#This Row],[total_payments_calc]]&lt;&gt;Tabelle1[[#This Row],[total_payments]]),IF(Tabelle1[[#This Row],[total_payments]]="NaN","recalculate total","one-off/hardcoded"),"")</f>
        <v/>
      </c>
      <c r="V126" s="14"/>
      <c r="W126" t="s">
        <v>23</v>
      </c>
      <c r="X126" t="s">
        <v>23</v>
      </c>
      <c r="Y126" t="s">
        <v>23</v>
      </c>
      <c r="Z126" t="s">
        <v>23</v>
      </c>
      <c r="AA126" s="1" t="str">
        <f>IF(COUNT(Tabelle1[[#This Row],[exercised_stock_options]:[restricted_stock_deferred]])=0,"NaN",SUM(Tabelle1[[#This Row],[exercised_stock_options]:[restricted_stock_deferred]]))</f>
        <v>NaN</v>
      </c>
      <c r="AB126" s="3" t="str">
        <f>IF(AND(Tabelle1[[#This Row],[total_stock_value_calc]]&lt;&gt;Tabelle1[[#This Row],[total_stock_value]]),IF(Tabelle1[[#This Row],[total_stock_value]]="NaN","recalculate total","one-off/hardcoded"),"")</f>
        <v/>
      </c>
      <c r="AC126"/>
      <c r="AD126"/>
      <c r="AE126"/>
      <c r="AF126"/>
      <c r="AI126"/>
      <c r="AJ126"/>
    </row>
    <row r="127" spans="1:36" x14ac:dyDescent="0.3">
      <c r="A127" t="s">
        <v>243</v>
      </c>
      <c r="B127" t="s">
        <v>32</v>
      </c>
      <c r="C127" t="s">
        <v>23</v>
      </c>
      <c r="D127" t="s">
        <v>23</v>
      </c>
      <c r="E127" t="s">
        <v>23</v>
      </c>
      <c r="F127" t="s">
        <v>23</v>
      </c>
      <c r="G127" t="s">
        <v>23</v>
      </c>
      <c r="H127" t="s">
        <v>244</v>
      </c>
      <c r="J127">
        <v>158403</v>
      </c>
      <c r="K127" t="s">
        <v>23</v>
      </c>
      <c r="L127" t="s">
        <v>23</v>
      </c>
      <c r="M127" t="s">
        <v>23</v>
      </c>
      <c r="N127" t="s">
        <v>23</v>
      </c>
      <c r="O127" t="s">
        <v>23</v>
      </c>
      <c r="P127">
        <v>147950</v>
      </c>
      <c r="Q127">
        <v>53947</v>
      </c>
      <c r="R127" t="s">
        <v>23</v>
      </c>
      <c r="S127" s="12">
        <v>360300</v>
      </c>
      <c r="T127" s="1">
        <f>IF(COUNT(Tabelle1[[#This Row],[salary]:[director_fees]])=0,"NaN",SUM(Tabelle1[[#This Row],[salary]:[director_fees]]))</f>
        <v>360300</v>
      </c>
      <c r="U127" s="3" t="str">
        <f>IF(AND(Tabelle1[[#This Row],[total_payments_calc]]&lt;&gt;Tabelle1[[#This Row],[total_payments]]),IF(Tabelle1[[#This Row],[total_payments]]="NaN","recalculate total","one-off/hardcoded"),"")</f>
        <v/>
      </c>
      <c r="V127" s="14"/>
      <c r="W127">
        <v>8308552</v>
      </c>
      <c r="X127">
        <v>3576206</v>
      </c>
      <c r="Y127" t="s">
        <v>23</v>
      </c>
      <c r="Z127">
        <v>11884758</v>
      </c>
      <c r="AA127" s="1">
        <f>IF(COUNT(Tabelle1[[#This Row],[exercised_stock_options]:[restricted_stock_deferred]])=0,"NaN",SUM(Tabelle1[[#This Row],[exercised_stock_options]:[restricted_stock_deferred]]))</f>
        <v>11884758</v>
      </c>
      <c r="AB127" s="3" t="str">
        <f>IF(AND(Tabelle1[[#This Row],[total_stock_value_calc]]&lt;&gt;Tabelle1[[#This Row],[total_stock_value]]),IF(Tabelle1[[#This Row],[total_stock_value]]="NaN","recalculate total","one-off/hardcoded"),"")</f>
        <v/>
      </c>
      <c r="AC127"/>
      <c r="AD127"/>
      <c r="AE127"/>
      <c r="AF127"/>
      <c r="AI127"/>
      <c r="AJ127"/>
    </row>
    <row r="128" spans="1:36" x14ac:dyDescent="0.3">
      <c r="A128" t="s">
        <v>245</v>
      </c>
      <c r="B128" t="s">
        <v>32</v>
      </c>
      <c r="C128" t="s">
        <v>23</v>
      </c>
      <c r="D128" t="s">
        <v>23</v>
      </c>
      <c r="E128" t="s">
        <v>23</v>
      </c>
      <c r="F128" t="s">
        <v>23</v>
      </c>
      <c r="G128" t="s">
        <v>23</v>
      </c>
      <c r="H128" t="s">
        <v>246</v>
      </c>
      <c r="J128" t="s">
        <v>23</v>
      </c>
      <c r="K128" t="s">
        <v>23</v>
      </c>
      <c r="L128" t="s">
        <v>23</v>
      </c>
      <c r="M128" t="s">
        <v>23</v>
      </c>
      <c r="N128">
        <v>10259</v>
      </c>
      <c r="O128" t="s">
        <v>23</v>
      </c>
      <c r="P128">
        <v>2856</v>
      </c>
      <c r="Q128">
        <v>77978</v>
      </c>
      <c r="R128" t="s">
        <v>23</v>
      </c>
      <c r="S128" s="12">
        <v>91093</v>
      </c>
      <c r="T128" s="1">
        <f>IF(COUNT(Tabelle1[[#This Row],[salary]:[director_fees]])=0,"NaN",SUM(Tabelle1[[#This Row],[salary]:[director_fees]]))</f>
        <v>91093</v>
      </c>
      <c r="U128" s="3" t="str">
        <f>IF(AND(Tabelle1[[#This Row],[total_payments_calc]]&lt;&gt;Tabelle1[[#This Row],[total_payments]]),IF(Tabelle1[[#This Row],[total_payments]]="NaN","recalculate total","one-off/hardcoded"),"")</f>
        <v/>
      </c>
      <c r="V128" s="14"/>
      <c r="W128">
        <v>30766064</v>
      </c>
      <c r="X128" t="s">
        <v>23</v>
      </c>
      <c r="Y128" t="s">
        <v>23</v>
      </c>
      <c r="Z128">
        <v>30766064</v>
      </c>
      <c r="AA128" s="1">
        <f>IF(COUNT(Tabelle1[[#This Row],[exercised_stock_options]:[restricted_stock_deferred]])=0,"NaN",SUM(Tabelle1[[#This Row],[exercised_stock_options]:[restricted_stock_deferred]]))</f>
        <v>30766064</v>
      </c>
      <c r="AB128" s="3" t="str">
        <f>IF(AND(Tabelle1[[#This Row],[total_stock_value_calc]]&lt;&gt;Tabelle1[[#This Row],[total_stock_value]]),IF(Tabelle1[[#This Row],[total_stock_value]]="NaN","recalculate total","one-off/hardcoded"),"")</f>
        <v/>
      </c>
      <c r="AC128"/>
      <c r="AD128"/>
      <c r="AE128"/>
      <c r="AF128"/>
      <c r="AI128"/>
      <c r="AJ128"/>
    </row>
    <row r="129" spans="1:36" hidden="1" x14ac:dyDescent="0.3">
      <c r="A129" t="s">
        <v>247</v>
      </c>
      <c r="B129" t="s">
        <v>24</v>
      </c>
      <c r="C129">
        <v>305</v>
      </c>
      <c r="D129">
        <v>63</v>
      </c>
      <c r="E129">
        <v>2572</v>
      </c>
      <c r="F129">
        <v>1902</v>
      </c>
      <c r="G129">
        <v>14</v>
      </c>
      <c r="H129" t="s">
        <v>248</v>
      </c>
      <c r="J129">
        <v>250100</v>
      </c>
      <c r="K129">
        <v>600000</v>
      </c>
      <c r="L129">
        <v>556416</v>
      </c>
      <c r="M129" t="s">
        <v>23</v>
      </c>
      <c r="N129" t="s">
        <v>23</v>
      </c>
      <c r="O129" t="s">
        <v>23</v>
      </c>
      <c r="P129">
        <v>473</v>
      </c>
      <c r="Q129">
        <v>3475</v>
      </c>
      <c r="R129" t="s">
        <v>23</v>
      </c>
      <c r="S129" s="12">
        <v>1410464</v>
      </c>
      <c r="T129" s="1">
        <f>IF(COUNT(Tabelle1[[#This Row],[salary]:[director_fees]])=0,"NaN",SUM(Tabelle1[[#This Row],[salary]:[director_fees]]))</f>
        <v>1410464</v>
      </c>
      <c r="U129" s="3" t="str">
        <f>IF(AND(Tabelle1[[#This Row],[total_payments_calc]]&lt;&gt;Tabelle1[[#This Row],[total_payments]]),IF(Tabelle1[[#This Row],[total_payments]]="NaN","recalculate total","one-off/hardcoded"),"")</f>
        <v/>
      </c>
      <c r="V129" s="14"/>
      <c r="W129">
        <v>1550019</v>
      </c>
      <c r="X129">
        <v>315068</v>
      </c>
      <c r="Y129" t="s">
        <v>23</v>
      </c>
      <c r="Z129">
        <v>1865087</v>
      </c>
      <c r="AA129" s="1">
        <f>IF(COUNT(Tabelle1[[#This Row],[exercised_stock_options]:[restricted_stock_deferred]])=0,"NaN",SUM(Tabelle1[[#This Row],[exercised_stock_options]:[restricted_stock_deferred]]))</f>
        <v>1865087</v>
      </c>
      <c r="AB129" s="3" t="str">
        <f>IF(AND(Tabelle1[[#This Row],[total_stock_value_calc]]&lt;&gt;Tabelle1[[#This Row],[total_stock_value]]),IF(Tabelle1[[#This Row],[total_stock_value]]="NaN","recalculate total","one-off/hardcoded"),"")</f>
        <v/>
      </c>
      <c r="AC129"/>
      <c r="AD129"/>
      <c r="AE129"/>
      <c r="AF129"/>
      <c r="AI129"/>
      <c r="AJ129"/>
    </row>
    <row r="130" spans="1:36" hidden="1" x14ac:dyDescent="0.3">
      <c r="A130" t="s">
        <v>249</v>
      </c>
      <c r="B130" t="s">
        <v>24</v>
      </c>
      <c r="C130">
        <v>64</v>
      </c>
      <c r="D130">
        <v>909</v>
      </c>
      <c r="E130">
        <v>2181</v>
      </c>
      <c r="F130">
        <v>1401</v>
      </c>
      <c r="G130">
        <v>20</v>
      </c>
      <c r="H130" t="s">
        <v>250</v>
      </c>
      <c r="J130">
        <v>492375</v>
      </c>
      <c r="K130">
        <v>800000</v>
      </c>
      <c r="L130">
        <v>484000</v>
      </c>
      <c r="M130">
        <v>-1284000</v>
      </c>
      <c r="N130" t="s">
        <v>23</v>
      </c>
      <c r="O130" t="s">
        <v>23</v>
      </c>
      <c r="P130">
        <v>7482</v>
      </c>
      <c r="Q130">
        <v>51124</v>
      </c>
      <c r="R130" t="s">
        <v>23</v>
      </c>
      <c r="S130" s="12">
        <v>550981</v>
      </c>
      <c r="T130" s="1">
        <f>IF(COUNT(Tabelle1[[#This Row],[salary]:[director_fees]])=0,"NaN",SUM(Tabelle1[[#This Row],[salary]:[director_fees]]))</f>
        <v>550981</v>
      </c>
      <c r="U130" s="3" t="str">
        <f>IF(AND(Tabelle1[[#This Row],[total_payments_calc]]&lt;&gt;Tabelle1[[#This Row],[total_payments]]),IF(Tabelle1[[#This Row],[total_payments]]="NaN","recalculate total","one-off/hardcoded"),"")</f>
        <v/>
      </c>
      <c r="V130" s="14"/>
      <c r="W130">
        <v>8831913</v>
      </c>
      <c r="X130">
        <v>1787380</v>
      </c>
      <c r="Y130">
        <v>-1787380</v>
      </c>
      <c r="Z130">
        <v>8831913</v>
      </c>
      <c r="AA130" s="1">
        <f>IF(COUNT(Tabelle1[[#This Row],[exercised_stock_options]:[restricted_stock_deferred]])=0,"NaN",SUM(Tabelle1[[#This Row],[exercised_stock_options]:[restricted_stock_deferred]]))</f>
        <v>8831913</v>
      </c>
      <c r="AB130" s="3" t="str">
        <f>IF(AND(Tabelle1[[#This Row],[total_stock_value_calc]]&lt;&gt;Tabelle1[[#This Row],[total_stock_value]]),IF(Tabelle1[[#This Row],[total_stock_value]]="NaN","recalculate total","one-off/hardcoded"),"")</f>
        <v/>
      </c>
      <c r="AC130"/>
      <c r="AD130"/>
      <c r="AE130"/>
      <c r="AF130"/>
      <c r="AI130"/>
      <c r="AJ130"/>
    </row>
    <row r="131" spans="1:36" hidden="1" x14ac:dyDescent="0.3">
      <c r="A131" t="s">
        <v>251</v>
      </c>
      <c r="B131" t="s">
        <v>24</v>
      </c>
      <c r="C131">
        <v>242</v>
      </c>
      <c r="D131">
        <v>21</v>
      </c>
      <c r="E131">
        <v>3275</v>
      </c>
      <c r="F131">
        <v>2979</v>
      </c>
      <c r="G131">
        <v>6</v>
      </c>
      <c r="H131" t="s">
        <v>252</v>
      </c>
      <c r="J131">
        <v>1060932</v>
      </c>
      <c r="K131">
        <v>2000000</v>
      </c>
      <c r="L131">
        <v>1617011</v>
      </c>
      <c r="M131">
        <v>-3367011</v>
      </c>
      <c r="N131">
        <v>6426990</v>
      </c>
      <c r="O131">
        <v>2000000</v>
      </c>
      <c r="P131">
        <v>7427621</v>
      </c>
      <c r="Q131">
        <v>86987</v>
      </c>
      <c r="R131" t="s">
        <v>23</v>
      </c>
      <c r="S131" s="12">
        <v>17252530</v>
      </c>
      <c r="T131" s="1">
        <f>IF(COUNT(Tabelle1[[#This Row],[salary]:[director_fees]])=0,"NaN",SUM(Tabelle1[[#This Row],[salary]:[director_fees]]))</f>
        <v>17252530</v>
      </c>
      <c r="U131" s="3" t="str">
        <f>IF(AND(Tabelle1[[#This Row],[total_payments_calc]]&lt;&gt;Tabelle1[[#This Row],[total_payments]]),IF(Tabelle1[[#This Row],[total_payments]]="NaN","recalculate total","one-off/hardcoded"),"")</f>
        <v/>
      </c>
      <c r="V131" s="14"/>
      <c r="W131">
        <v>10433518</v>
      </c>
      <c r="X131">
        <v>4188667</v>
      </c>
      <c r="Y131" t="s">
        <v>23</v>
      </c>
      <c r="Z131">
        <v>14622185</v>
      </c>
      <c r="AA131" s="1">
        <f>IF(COUNT(Tabelle1[[#This Row],[exercised_stock_options]:[restricted_stock_deferred]])=0,"NaN",SUM(Tabelle1[[#This Row],[exercised_stock_options]:[restricted_stock_deferred]]))</f>
        <v>14622185</v>
      </c>
      <c r="AB131" s="3" t="str">
        <f>IF(AND(Tabelle1[[#This Row],[total_stock_value_calc]]&lt;&gt;Tabelle1[[#This Row],[total_stock_value]]),IF(Tabelle1[[#This Row],[total_stock_value]]="NaN","recalculate total","one-off/hardcoded"),"")</f>
        <v/>
      </c>
      <c r="AC131"/>
      <c r="AD131"/>
      <c r="AE131"/>
      <c r="AF131"/>
      <c r="AI131"/>
      <c r="AJ131"/>
    </row>
    <row r="132" spans="1:36" hidden="1" x14ac:dyDescent="0.3">
      <c r="A132" t="s">
        <v>253</v>
      </c>
      <c r="B132" t="s">
        <v>24</v>
      </c>
      <c r="C132" t="s">
        <v>23</v>
      </c>
      <c r="D132" t="s">
        <v>23</v>
      </c>
      <c r="E132" t="s">
        <v>23</v>
      </c>
      <c r="F132" t="s">
        <v>23</v>
      </c>
      <c r="G132" t="s">
        <v>23</v>
      </c>
      <c r="H132" t="s">
        <v>254</v>
      </c>
      <c r="J132">
        <v>261879</v>
      </c>
      <c r="K132">
        <v>1000000</v>
      </c>
      <c r="L132" t="s">
        <v>23</v>
      </c>
      <c r="M132" t="s">
        <v>23</v>
      </c>
      <c r="N132" t="s">
        <v>23</v>
      </c>
      <c r="O132" t="s">
        <v>23</v>
      </c>
      <c r="P132">
        <v>1829457</v>
      </c>
      <c r="Q132">
        <v>32047</v>
      </c>
      <c r="R132" t="s">
        <v>23</v>
      </c>
      <c r="S132" s="12">
        <v>3123383</v>
      </c>
      <c r="T132" s="1">
        <f>IF(COUNT(Tabelle1[[#This Row],[salary]:[director_fees]])=0,"NaN",SUM(Tabelle1[[#This Row],[salary]:[director_fees]]))</f>
        <v>3123383</v>
      </c>
      <c r="U132" s="3" t="str">
        <f>IF(AND(Tabelle1[[#This Row],[total_payments_calc]]&lt;&gt;Tabelle1[[#This Row],[total_payments]]),IF(Tabelle1[[#This Row],[total_payments]]="NaN","recalculate total","one-off/hardcoded"),"")</f>
        <v/>
      </c>
      <c r="V132" s="14"/>
      <c r="W132">
        <v>15364167</v>
      </c>
      <c r="X132">
        <v>8453763</v>
      </c>
      <c r="Y132" t="s">
        <v>23</v>
      </c>
      <c r="Z132">
        <v>23817930</v>
      </c>
      <c r="AA132" s="1">
        <f>IF(COUNT(Tabelle1[[#This Row],[exercised_stock_options]:[restricted_stock_deferred]])=0,"NaN",SUM(Tabelle1[[#This Row],[exercised_stock_options]:[restricted_stock_deferred]]))</f>
        <v>23817930</v>
      </c>
      <c r="AB132" s="3" t="str">
        <f>IF(AND(Tabelle1[[#This Row],[total_stock_value_calc]]&lt;&gt;Tabelle1[[#This Row],[total_stock_value]]),IF(Tabelle1[[#This Row],[total_stock_value]]="NaN","recalculate total","one-off/hardcoded"),"")</f>
        <v/>
      </c>
      <c r="AC132"/>
      <c r="AD132"/>
      <c r="AE132"/>
      <c r="AF132"/>
      <c r="AI132"/>
      <c r="AJ132"/>
    </row>
    <row r="133" spans="1:36" hidden="1" x14ac:dyDescent="0.3">
      <c r="A133" t="s">
        <v>255</v>
      </c>
      <c r="B133" t="s">
        <v>24</v>
      </c>
      <c r="C133" t="s">
        <v>23</v>
      </c>
      <c r="D133" t="s">
        <v>23</v>
      </c>
      <c r="E133" t="s">
        <v>23</v>
      </c>
      <c r="F133" t="s">
        <v>23</v>
      </c>
      <c r="G133" t="s">
        <v>23</v>
      </c>
      <c r="H133" t="s">
        <v>256</v>
      </c>
      <c r="J133">
        <v>239671</v>
      </c>
      <c r="K133">
        <v>400000</v>
      </c>
      <c r="L133" t="s">
        <v>23</v>
      </c>
      <c r="M133">
        <v>-201641</v>
      </c>
      <c r="N133">
        <v>260455</v>
      </c>
      <c r="O133" t="s">
        <v>23</v>
      </c>
      <c r="P133">
        <v>69</v>
      </c>
      <c r="Q133">
        <v>129142</v>
      </c>
      <c r="R133" t="s">
        <v>23</v>
      </c>
      <c r="S133" s="12">
        <v>827696</v>
      </c>
      <c r="T133" s="1">
        <f>IF(COUNT(Tabelle1[[#This Row],[salary]:[director_fees]])=0,"NaN",SUM(Tabelle1[[#This Row],[salary]:[director_fees]]))</f>
        <v>827696</v>
      </c>
      <c r="U133" s="3" t="str">
        <f>IF(AND(Tabelle1[[#This Row],[total_payments_calc]]&lt;&gt;Tabelle1[[#This Row],[total_payments]]),IF(Tabelle1[[#This Row],[total_payments]]="NaN","recalculate total","one-off/hardcoded"),"")</f>
        <v/>
      </c>
      <c r="V133" s="14"/>
      <c r="W133" t="s">
        <v>23</v>
      </c>
      <c r="X133">
        <v>145796</v>
      </c>
      <c r="Y133">
        <v>-82782</v>
      </c>
      <c r="Z133">
        <v>63014</v>
      </c>
      <c r="AA133" s="1">
        <f>IF(COUNT(Tabelle1[[#This Row],[exercised_stock_options]:[restricted_stock_deferred]])=0,"NaN",SUM(Tabelle1[[#This Row],[exercised_stock_options]:[restricted_stock_deferred]]))</f>
        <v>63014</v>
      </c>
      <c r="AB133" s="3" t="str">
        <f>IF(AND(Tabelle1[[#This Row],[total_stock_value_calc]]&lt;&gt;Tabelle1[[#This Row],[total_stock_value]]),IF(Tabelle1[[#This Row],[total_stock_value]]="NaN","recalculate total","one-off/hardcoded"),"")</f>
        <v/>
      </c>
      <c r="AC133"/>
      <c r="AD133"/>
      <c r="AE133"/>
      <c r="AF133"/>
      <c r="AI133"/>
      <c r="AJ133"/>
    </row>
    <row r="134" spans="1:36" hidden="1" x14ac:dyDescent="0.3">
      <c r="A134" t="s">
        <v>257</v>
      </c>
      <c r="B134" t="s">
        <v>24</v>
      </c>
      <c r="C134">
        <v>35</v>
      </c>
      <c r="D134">
        <v>1061</v>
      </c>
      <c r="E134">
        <v>2649</v>
      </c>
      <c r="F134">
        <v>571</v>
      </c>
      <c r="G134">
        <v>38</v>
      </c>
      <c r="H134" t="s">
        <v>258</v>
      </c>
      <c r="J134" t="s">
        <v>23</v>
      </c>
      <c r="K134" t="s">
        <v>23</v>
      </c>
      <c r="L134" t="s">
        <v>23</v>
      </c>
      <c r="M134" t="s">
        <v>23</v>
      </c>
      <c r="N134" t="s">
        <v>23</v>
      </c>
      <c r="O134" t="s">
        <v>23</v>
      </c>
      <c r="P134" t="s">
        <v>23</v>
      </c>
      <c r="Q134" t="s">
        <v>23</v>
      </c>
      <c r="R134" t="s">
        <v>23</v>
      </c>
      <c r="S134" s="12" t="s">
        <v>23</v>
      </c>
      <c r="T134" s="1" t="str">
        <f>IF(COUNT(Tabelle1[[#This Row],[salary]:[director_fees]])=0,"NaN",SUM(Tabelle1[[#This Row],[salary]:[director_fees]]))</f>
        <v>NaN</v>
      </c>
      <c r="U134" s="3" t="str">
        <f>IF(AND(Tabelle1[[#This Row],[total_payments_calc]]&lt;&gt;Tabelle1[[#This Row],[total_payments]]),IF(Tabelle1[[#This Row],[total_payments]]="NaN","recalculate total","one-off/hardcoded"),"")</f>
        <v/>
      </c>
      <c r="V134" s="14"/>
      <c r="W134" t="s">
        <v>23</v>
      </c>
      <c r="X134">
        <v>346663</v>
      </c>
      <c r="Y134" t="s">
        <v>23</v>
      </c>
      <c r="Z134" s="12">
        <v>346663</v>
      </c>
      <c r="AA134" s="1">
        <f>IF(COUNT(Tabelle1[[#This Row],[exercised_stock_options]:[restricted_stock_deferred]])=0,"NaN",SUM(Tabelle1[[#This Row],[exercised_stock_options]:[restricted_stock_deferred]]))</f>
        <v>346663</v>
      </c>
      <c r="AB134" s="3" t="str">
        <f>IF(AND(Tabelle1[[#This Row],[total_stock_value_calc]]&lt;&gt;Tabelle1[[#This Row],[total_stock_value]]),IF(Tabelle1[[#This Row],[total_stock_value]]="NaN","recalculate total","one-off/hardcoded"),"")</f>
        <v/>
      </c>
      <c r="AC134"/>
      <c r="AD134"/>
      <c r="AE134"/>
      <c r="AF134"/>
      <c r="AI134"/>
      <c r="AJ134"/>
    </row>
    <row r="135" spans="1:36" hidden="1" x14ac:dyDescent="0.3">
      <c r="A135" t="s">
        <v>259</v>
      </c>
      <c r="B135" t="s">
        <v>24</v>
      </c>
      <c r="C135" t="s">
        <v>23</v>
      </c>
      <c r="D135" t="s">
        <v>23</v>
      </c>
      <c r="E135" t="s">
        <v>23</v>
      </c>
      <c r="F135" t="s">
        <v>23</v>
      </c>
      <c r="G135" t="s">
        <v>23</v>
      </c>
      <c r="H135" t="s">
        <v>23</v>
      </c>
      <c r="J135" t="s">
        <v>23</v>
      </c>
      <c r="K135" t="s">
        <v>23</v>
      </c>
      <c r="L135" t="s">
        <v>23</v>
      </c>
      <c r="M135" t="s">
        <v>23</v>
      </c>
      <c r="N135">
        <v>50591</v>
      </c>
      <c r="O135" t="s">
        <v>23</v>
      </c>
      <c r="P135" t="s">
        <v>23</v>
      </c>
      <c r="Q135" t="s">
        <v>23</v>
      </c>
      <c r="R135" t="s">
        <v>23</v>
      </c>
      <c r="S135" s="12">
        <v>50591</v>
      </c>
      <c r="T135" s="1">
        <f>IF(COUNT(Tabelle1[[#This Row],[salary]:[director_fees]])=0,"NaN",SUM(Tabelle1[[#This Row],[salary]:[director_fees]]))</f>
        <v>50591</v>
      </c>
      <c r="U135" s="3" t="str">
        <f>IF(AND(Tabelle1[[#This Row],[total_payments_calc]]&lt;&gt;Tabelle1[[#This Row],[total_payments]]),IF(Tabelle1[[#This Row],[total_payments]]="NaN","recalculate total","one-off/hardcoded"),"")</f>
        <v/>
      </c>
      <c r="V135" s="14"/>
      <c r="W135">
        <v>176378</v>
      </c>
      <c r="X135" t="s">
        <v>23</v>
      </c>
      <c r="Y135" t="s">
        <v>23</v>
      </c>
      <c r="Z135">
        <v>176378</v>
      </c>
      <c r="AA135" s="1">
        <f>IF(COUNT(Tabelle1[[#This Row],[exercised_stock_options]:[restricted_stock_deferred]])=0,"NaN",SUM(Tabelle1[[#This Row],[exercised_stock_options]:[restricted_stock_deferred]]))</f>
        <v>176378</v>
      </c>
      <c r="AB135" s="3" t="str">
        <f>IF(AND(Tabelle1[[#This Row],[total_stock_value_calc]]&lt;&gt;Tabelle1[[#This Row],[total_stock_value]]),IF(Tabelle1[[#This Row],[total_stock_value]]="NaN","recalculate total","one-off/hardcoded"),"")</f>
        <v/>
      </c>
      <c r="AC135"/>
      <c r="AD135"/>
      <c r="AE135"/>
      <c r="AF135"/>
      <c r="AI135"/>
      <c r="AJ135"/>
    </row>
    <row r="136" spans="1:36" hidden="1" x14ac:dyDescent="0.3">
      <c r="A136" t="s">
        <v>260</v>
      </c>
      <c r="B136" t="s">
        <v>24</v>
      </c>
      <c r="C136">
        <v>42</v>
      </c>
      <c r="D136">
        <v>75</v>
      </c>
      <c r="E136">
        <v>1755</v>
      </c>
      <c r="F136">
        <v>1604</v>
      </c>
      <c r="G136">
        <v>37</v>
      </c>
      <c r="H136" t="s">
        <v>261</v>
      </c>
      <c r="J136">
        <v>304588</v>
      </c>
      <c r="K136">
        <v>2500000</v>
      </c>
      <c r="L136">
        <v>374347</v>
      </c>
      <c r="M136" t="s">
        <v>23</v>
      </c>
      <c r="N136" t="s">
        <v>23</v>
      </c>
      <c r="O136" t="s">
        <v>23</v>
      </c>
      <c r="P136">
        <v>401481</v>
      </c>
      <c r="Q136">
        <v>95924</v>
      </c>
      <c r="R136" t="s">
        <v>23</v>
      </c>
      <c r="S136" s="12">
        <v>3676340</v>
      </c>
      <c r="T136" s="1">
        <f>IF(COUNT(Tabelle1[[#This Row],[salary]:[director_fees]])=0,"NaN",SUM(Tabelle1[[#This Row],[salary]:[director_fees]]))</f>
        <v>3676340</v>
      </c>
      <c r="U136" s="3" t="str">
        <f>IF(AND(Tabelle1[[#This Row],[total_payments_calc]]&lt;&gt;Tabelle1[[#This Row],[total_payments]]),IF(Tabelle1[[#This Row],[total_payments]]="NaN","recalculate total","one-off/hardcoded"),"")</f>
        <v/>
      </c>
      <c r="V136" s="14"/>
      <c r="W136">
        <v>940257</v>
      </c>
      <c r="X136">
        <v>1392142</v>
      </c>
      <c r="Y136" t="s">
        <v>23</v>
      </c>
      <c r="Z136">
        <v>2332399</v>
      </c>
      <c r="AA136" s="1">
        <f>IF(COUNT(Tabelle1[[#This Row],[exercised_stock_options]:[restricted_stock_deferred]])=0,"NaN",SUM(Tabelle1[[#This Row],[exercised_stock_options]:[restricted_stock_deferred]]))</f>
        <v>2332399</v>
      </c>
      <c r="AB136" s="3" t="str">
        <f>IF(AND(Tabelle1[[#This Row],[total_stock_value_calc]]&lt;&gt;Tabelle1[[#This Row],[total_stock_value]]),IF(Tabelle1[[#This Row],[total_stock_value]]="NaN","recalculate total","one-off/hardcoded"),"")</f>
        <v/>
      </c>
      <c r="AC136"/>
      <c r="AD136"/>
      <c r="AE136"/>
      <c r="AF136"/>
      <c r="AI136"/>
      <c r="AJ136"/>
    </row>
    <row r="137" spans="1:36" x14ac:dyDescent="0.3">
      <c r="A137" t="s">
        <v>262</v>
      </c>
      <c r="B137" t="s">
        <v>32</v>
      </c>
      <c r="C137">
        <v>53</v>
      </c>
      <c r="D137">
        <v>61</v>
      </c>
      <c r="E137">
        <v>2374</v>
      </c>
      <c r="F137">
        <v>2271</v>
      </c>
      <c r="G137">
        <v>15</v>
      </c>
      <c r="H137" t="s">
        <v>263</v>
      </c>
      <c r="J137">
        <v>309946</v>
      </c>
      <c r="K137">
        <v>700000</v>
      </c>
      <c r="L137">
        <v>300000</v>
      </c>
      <c r="M137" t="s">
        <v>23</v>
      </c>
      <c r="N137" t="s">
        <v>23</v>
      </c>
      <c r="O137" t="s">
        <v>23</v>
      </c>
      <c r="P137">
        <v>150458</v>
      </c>
      <c r="Q137">
        <v>127017</v>
      </c>
      <c r="R137" t="s">
        <v>23</v>
      </c>
      <c r="S137" s="12">
        <v>1587421</v>
      </c>
      <c r="T137" s="1">
        <f>IF(COUNT(Tabelle1[[#This Row],[salary]:[director_fees]])=0,"NaN",SUM(Tabelle1[[#This Row],[salary]:[director_fees]]))</f>
        <v>1587421</v>
      </c>
      <c r="U137" s="3" t="str">
        <f>IF(AND(Tabelle1[[#This Row],[total_payments_calc]]&lt;&gt;Tabelle1[[#This Row],[total_payments]]),IF(Tabelle1[[#This Row],[total_payments]]="NaN","recalculate total","one-off/hardcoded"),"")</f>
        <v/>
      </c>
      <c r="V137" s="14"/>
      <c r="W137">
        <v>671737</v>
      </c>
      <c r="X137">
        <v>1248318</v>
      </c>
      <c r="Y137" t="s">
        <v>23</v>
      </c>
      <c r="Z137">
        <v>1920055</v>
      </c>
      <c r="AA137" s="1">
        <f>IF(COUNT(Tabelle1[[#This Row],[exercised_stock_options]:[restricted_stock_deferred]])=0,"NaN",SUM(Tabelle1[[#This Row],[exercised_stock_options]:[restricted_stock_deferred]]))</f>
        <v>1920055</v>
      </c>
      <c r="AB137" s="3" t="str">
        <f>IF(AND(Tabelle1[[#This Row],[total_stock_value_calc]]&lt;&gt;Tabelle1[[#This Row],[total_stock_value]]),IF(Tabelle1[[#This Row],[total_stock_value]]="NaN","recalculate total","one-off/hardcoded"),"")</f>
        <v/>
      </c>
      <c r="AC137"/>
      <c r="AD137"/>
      <c r="AE137"/>
      <c r="AF137"/>
      <c r="AI137"/>
      <c r="AJ137"/>
    </row>
    <row r="138" spans="1:36" hidden="1" x14ac:dyDescent="0.3">
      <c r="A138" t="s">
        <v>264</v>
      </c>
      <c r="B138" t="s">
        <v>24</v>
      </c>
      <c r="C138" t="s">
        <v>23</v>
      </c>
      <c r="D138" t="s">
        <v>23</v>
      </c>
      <c r="E138" t="s">
        <v>23</v>
      </c>
      <c r="F138" t="s">
        <v>23</v>
      </c>
      <c r="G138" t="s">
        <v>23</v>
      </c>
      <c r="H138" t="s">
        <v>23</v>
      </c>
      <c r="J138" t="s">
        <v>23</v>
      </c>
      <c r="K138" t="s">
        <v>23</v>
      </c>
      <c r="L138" t="s">
        <v>23</v>
      </c>
      <c r="M138">
        <v>-121284</v>
      </c>
      <c r="N138" t="s">
        <v>23</v>
      </c>
      <c r="O138" t="s">
        <v>23</v>
      </c>
      <c r="P138" t="s">
        <v>23</v>
      </c>
      <c r="Q138" t="s">
        <v>23</v>
      </c>
      <c r="R138">
        <v>125034</v>
      </c>
      <c r="S138" s="12">
        <v>3750</v>
      </c>
      <c r="T138" s="1">
        <f>IF(COUNT(Tabelle1[[#This Row],[salary]:[director_fees]])=0,"NaN",SUM(Tabelle1[[#This Row],[salary]:[director_fees]]))</f>
        <v>3750</v>
      </c>
      <c r="U138" s="3" t="str">
        <f>IF(AND(Tabelle1[[#This Row],[total_payments_calc]]&lt;&gt;Tabelle1[[#This Row],[total_payments]]),IF(Tabelle1[[#This Row],[total_payments]]="NaN","recalculate total","one-off/hardcoded"),"")</f>
        <v/>
      </c>
      <c r="V138" s="14"/>
      <c r="W138" t="s">
        <v>23</v>
      </c>
      <c r="X138" t="s">
        <v>23</v>
      </c>
      <c r="Y138" t="s">
        <v>23</v>
      </c>
      <c r="Z138" t="s">
        <v>23</v>
      </c>
      <c r="AA138" s="1" t="str">
        <f>IF(COUNT(Tabelle1[[#This Row],[exercised_stock_options]:[restricted_stock_deferred]])=0,"NaN",SUM(Tabelle1[[#This Row],[exercised_stock_options]:[restricted_stock_deferred]]))</f>
        <v>NaN</v>
      </c>
      <c r="AB138" s="3" t="str">
        <f>IF(AND(Tabelle1[[#This Row],[total_stock_value_calc]]&lt;&gt;Tabelle1[[#This Row],[total_stock_value]]),IF(Tabelle1[[#This Row],[total_stock_value]]="NaN","recalculate total","one-off/hardcoded"),"")</f>
        <v/>
      </c>
      <c r="AC138"/>
      <c r="AD138"/>
      <c r="AE138"/>
      <c r="AF138"/>
      <c r="AI138"/>
      <c r="AJ138"/>
    </row>
    <row r="139" spans="1:36" hidden="1" x14ac:dyDescent="0.3">
      <c r="A139" t="s">
        <v>265</v>
      </c>
      <c r="B139" t="s">
        <v>24</v>
      </c>
      <c r="C139">
        <v>28</v>
      </c>
      <c r="D139">
        <v>19</v>
      </c>
      <c r="E139">
        <v>496</v>
      </c>
      <c r="F139">
        <v>437</v>
      </c>
      <c r="G139">
        <v>5</v>
      </c>
      <c r="H139" t="s">
        <v>266</v>
      </c>
      <c r="J139">
        <v>85274</v>
      </c>
      <c r="K139" t="s">
        <v>23</v>
      </c>
      <c r="L139">
        <v>312500</v>
      </c>
      <c r="M139" t="s">
        <v>23</v>
      </c>
      <c r="N139" t="s">
        <v>23</v>
      </c>
      <c r="O139" t="s">
        <v>23</v>
      </c>
      <c r="P139">
        <v>1553729</v>
      </c>
      <c r="Q139">
        <v>28093</v>
      </c>
      <c r="R139" t="s">
        <v>23</v>
      </c>
      <c r="S139" s="12">
        <v>1979596</v>
      </c>
      <c r="T139" s="1">
        <f>IF(COUNT(Tabelle1[[#This Row],[salary]:[director_fees]])=0,"NaN",SUM(Tabelle1[[#This Row],[salary]:[director_fees]]))</f>
        <v>1979596</v>
      </c>
      <c r="U139" s="3" t="str">
        <f>IF(AND(Tabelle1[[#This Row],[total_payments_calc]]&lt;&gt;Tabelle1[[#This Row],[total_payments]]),IF(Tabelle1[[#This Row],[total_payments]]="NaN","recalculate total","one-off/hardcoded"),"")</f>
        <v/>
      </c>
      <c r="V139" s="14"/>
      <c r="W139">
        <v>2165172</v>
      </c>
      <c r="X139">
        <v>3654808</v>
      </c>
      <c r="Y139" t="s">
        <v>23</v>
      </c>
      <c r="Z139">
        <v>5819980</v>
      </c>
      <c r="AA139" s="1">
        <f>IF(COUNT(Tabelle1[[#This Row],[exercised_stock_options]:[restricted_stock_deferred]])=0,"NaN",SUM(Tabelle1[[#This Row],[exercised_stock_options]:[restricted_stock_deferred]]))</f>
        <v>5819980</v>
      </c>
      <c r="AB139" s="3" t="str">
        <f>IF(AND(Tabelle1[[#This Row],[total_stock_value_calc]]&lt;&gt;Tabelle1[[#This Row],[total_stock_value]]),IF(Tabelle1[[#This Row],[total_stock_value]]="NaN","recalculate total","one-off/hardcoded"),"")</f>
        <v/>
      </c>
      <c r="AC139"/>
      <c r="AD139"/>
      <c r="AE139"/>
      <c r="AF139"/>
      <c r="AI139"/>
      <c r="AJ139"/>
    </row>
    <row r="140" spans="1:36" hidden="1" x14ac:dyDescent="0.3">
      <c r="A140" t="s">
        <v>267</v>
      </c>
      <c r="B140" t="s">
        <v>24</v>
      </c>
      <c r="C140">
        <v>10</v>
      </c>
      <c r="D140">
        <v>19</v>
      </c>
      <c r="E140">
        <v>460</v>
      </c>
      <c r="F140">
        <v>379</v>
      </c>
      <c r="G140">
        <v>11</v>
      </c>
      <c r="H140" t="s">
        <v>268</v>
      </c>
      <c r="J140">
        <v>247338</v>
      </c>
      <c r="K140">
        <v>300000</v>
      </c>
      <c r="L140">
        <v>275000</v>
      </c>
      <c r="M140">
        <v>-575000</v>
      </c>
      <c r="N140" t="s">
        <v>23</v>
      </c>
      <c r="O140" t="s">
        <v>23</v>
      </c>
      <c r="P140">
        <v>152055</v>
      </c>
      <c r="Q140" t="s">
        <v>23</v>
      </c>
      <c r="R140" t="s">
        <v>23</v>
      </c>
      <c r="S140" s="12">
        <v>399393</v>
      </c>
      <c r="T140" s="1">
        <f>IF(COUNT(Tabelle1[[#This Row],[salary]:[director_fees]])=0,"NaN",SUM(Tabelle1[[#This Row],[salary]:[director_fees]]))</f>
        <v>399393</v>
      </c>
      <c r="U140" s="3" t="str">
        <f>IF(AND(Tabelle1[[#This Row],[total_payments_calc]]&lt;&gt;Tabelle1[[#This Row],[total_payments]]),IF(Tabelle1[[#This Row],[total_payments]]="NaN","recalculate total","one-off/hardcoded"),"")</f>
        <v/>
      </c>
      <c r="V140" s="14"/>
      <c r="W140">
        <v>591250</v>
      </c>
      <c r="X140">
        <v>576792</v>
      </c>
      <c r="Y140" t="s">
        <v>23</v>
      </c>
      <c r="Z140">
        <v>1168042</v>
      </c>
      <c r="AA140" s="1">
        <f>IF(COUNT(Tabelle1[[#This Row],[exercised_stock_options]:[restricted_stock_deferred]])=0,"NaN",SUM(Tabelle1[[#This Row],[exercised_stock_options]:[restricted_stock_deferred]]))</f>
        <v>1168042</v>
      </c>
      <c r="AB140" s="3" t="str">
        <f>IF(AND(Tabelle1[[#This Row],[total_stock_value_calc]]&lt;&gt;Tabelle1[[#This Row],[total_stock_value]]),IF(Tabelle1[[#This Row],[total_stock_value]]="NaN","recalculate total","one-off/hardcoded"),"")</f>
        <v/>
      </c>
      <c r="AC140"/>
      <c r="AD140"/>
      <c r="AE140"/>
      <c r="AF140"/>
      <c r="AI140"/>
      <c r="AJ140"/>
    </row>
    <row r="141" spans="1:36" hidden="1" x14ac:dyDescent="0.3">
      <c r="A141" t="s">
        <v>269</v>
      </c>
      <c r="B141" t="s">
        <v>24</v>
      </c>
      <c r="C141">
        <v>8</v>
      </c>
      <c r="D141">
        <v>230</v>
      </c>
      <c r="E141">
        <v>1522</v>
      </c>
      <c r="F141">
        <v>477</v>
      </c>
      <c r="G141">
        <v>0</v>
      </c>
      <c r="H141" t="s">
        <v>270</v>
      </c>
      <c r="J141">
        <v>349487</v>
      </c>
      <c r="K141" t="s">
        <v>23</v>
      </c>
      <c r="L141">
        <v>5145434</v>
      </c>
      <c r="M141" t="s">
        <v>23</v>
      </c>
      <c r="N141">
        <v>85430</v>
      </c>
      <c r="O141" t="s">
        <v>23</v>
      </c>
      <c r="P141">
        <v>2818454</v>
      </c>
      <c r="Q141">
        <v>8211</v>
      </c>
      <c r="R141" t="s">
        <v>23</v>
      </c>
      <c r="S141" s="12">
        <v>8407016</v>
      </c>
      <c r="T141" s="1">
        <f>IF(COUNT(Tabelle1[[#This Row],[salary]:[director_fees]])=0,"NaN",SUM(Tabelle1[[#This Row],[salary]:[director_fees]]))</f>
        <v>8407016</v>
      </c>
      <c r="U141" s="3" t="str">
        <f>IF(AND(Tabelle1[[#This Row],[total_payments_calc]]&lt;&gt;Tabelle1[[#This Row],[total_payments]]),IF(Tabelle1[[#This Row],[total_payments]]="NaN","recalculate total","one-off/hardcoded"),"")</f>
        <v/>
      </c>
      <c r="V141" s="14"/>
      <c r="W141">
        <v>2070306</v>
      </c>
      <c r="X141" t="s">
        <v>23</v>
      </c>
      <c r="Y141" t="s">
        <v>23</v>
      </c>
      <c r="Z141">
        <v>2070306</v>
      </c>
      <c r="AA141" s="1">
        <f>IF(COUNT(Tabelle1[[#This Row],[exercised_stock_options]:[restricted_stock_deferred]])=0,"NaN",SUM(Tabelle1[[#This Row],[exercised_stock_options]:[restricted_stock_deferred]]))</f>
        <v>2070306</v>
      </c>
      <c r="AB141" s="3" t="str">
        <f>IF(AND(Tabelle1[[#This Row],[total_stock_value_calc]]&lt;&gt;Tabelle1[[#This Row],[total_stock_value]]),IF(Tabelle1[[#This Row],[total_stock_value]]="NaN","recalculate total","one-off/hardcoded"),"")</f>
        <v/>
      </c>
      <c r="AC141"/>
      <c r="AD141"/>
      <c r="AE141"/>
      <c r="AF141"/>
      <c r="AI141"/>
      <c r="AJ141"/>
    </row>
    <row r="142" spans="1:36" hidden="1" x14ac:dyDescent="0.3">
      <c r="A142" t="s">
        <v>271</v>
      </c>
      <c r="B142" t="s">
        <v>24</v>
      </c>
      <c r="C142">
        <v>156</v>
      </c>
      <c r="D142">
        <v>1053</v>
      </c>
      <c r="E142">
        <v>3523</v>
      </c>
      <c r="F142">
        <v>2333</v>
      </c>
      <c r="G142">
        <v>71</v>
      </c>
      <c r="H142" t="s">
        <v>272</v>
      </c>
      <c r="J142">
        <v>330546</v>
      </c>
      <c r="K142">
        <v>900000</v>
      </c>
      <c r="L142">
        <v>769862</v>
      </c>
      <c r="M142">
        <v>-694862</v>
      </c>
      <c r="N142">
        <v>649584</v>
      </c>
      <c r="O142" t="s">
        <v>23</v>
      </c>
      <c r="P142">
        <v>400572</v>
      </c>
      <c r="Q142" t="s">
        <v>23</v>
      </c>
      <c r="R142" t="s">
        <v>23</v>
      </c>
      <c r="S142" s="12">
        <v>2355702</v>
      </c>
      <c r="T142" s="1">
        <f>IF(COUNT(Tabelle1[[#This Row],[salary]:[director_fees]])=0,"NaN",SUM(Tabelle1[[#This Row],[salary]:[director_fees]]))</f>
        <v>2355702</v>
      </c>
      <c r="U142" s="3" t="str">
        <f>IF(AND(Tabelle1[[#This Row],[total_payments_calc]]&lt;&gt;Tabelle1[[#This Row],[total_payments]]),IF(Tabelle1[[#This Row],[total_payments]]="NaN","recalculate total","one-off/hardcoded"),"")</f>
        <v/>
      </c>
      <c r="V142" s="14"/>
      <c r="W142">
        <v>2542813</v>
      </c>
      <c r="X142">
        <v>901657</v>
      </c>
      <c r="Y142" t="s">
        <v>23</v>
      </c>
      <c r="Z142">
        <v>3444470</v>
      </c>
      <c r="AA142" s="1">
        <f>IF(COUNT(Tabelle1[[#This Row],[exercised_stock_options]:[restricted_stock_deferred]])=0,"NaN",SUM(Tabelle1[[#This Row],[exercised_stock_options]:[restricted_stock_deferred]]))</f>
        <v>3444470</v>
      </c>
      <c r="AB142" s="3" t="str">
        <f>IF(AND(Tabelle1[[#This Row],[total_stock_value_calc]]&lt;&gt;Tabelle1[[#This Row],[total_stock_value]]),IF(Tabelle1[[#This Row],[total_stock_value]]="NaN","recalculate total","one-off/hardcoded"),"")</f>
        <v/>
      </c>
      <c r="AC142"/>
      <c r="AD142"/>
      <c r="AE142"/>
      <c r="AF142"/>
      <c r="AI142"/>
      <c r="AJ142"/>
    </row>
    <row r="143" spans="1:36" hidden="1" x14ac:dyDescent="0.3">
      <c r="A143" t="s">
        <v>273</v>
      </c>
      <c r="B143" t="s">
        <v>24</v>
      </c>
      <c r="C143" t="s">
        <v>23</v>
      </c>
      <c r="D143" t="s">
        <v>23</v>
      </c>
      <c r="E143" t="s">
        <v>23</v>
      </c>
      <c r="F143" t="s">
        <v>23</v>
      </c>
      <c r="G143" t="s">
        <v>23</v>
      </c>
      <c r="H143" t="s">
        <v>23</v>
      </c>
      <c r="J143" t="s">
        <v>23</v>
      </c>
      <c r="K143" t="s">
        <v>23</v>
      </c>
      <c r="L143" t="s">
        <v>23</v>
      </c>
      <c r="M143" t="s">
        <v>23</v>
      </c>
      <c r="N143" t="s">
        <v>23</v>
      </c>
      <c r="O143" t="s">
        <v>23</v>
      </c>
      <c r="P143" t="s">
        <v>23</v>
      </c>
      <c r="Q143" t="s">
        <v>23</v>
      </c>
      <c r="R143">
        <v>119292</v>
      </c>
      <c r="S143" s="12">
        <v>119292</v>
      </c>
      <c r="T143" s="1">
        <f>IF(COUNT(Tabelle1[[#This Row],[salary]:[director_fees]])=0,"NaN",SUM(Tabelle1[[#This Row],[salary]:[director_fees]]))</f>
        <v>119292</v>
      </c>
      <c r="U143" s="3" t="str">
        <f>IF(AND(Tabelle1[[#This Row],[total_payments_calc]]&lt;&gt;Tabelle1[[#This Row],[total_payments]]),IF(Tabelle1[[#This Row],[total_payments]]="NaN","recalculate total","one-off/hardcoded"),"")</f>
        <v/>
      </c>
      <c r="V143" s="14"/>
      <c r="W143" t="s">
        <v>23</v>
      </c>
      <c r="X143" t="s">
        <v>23</v>
      </c>
      <c r="Y143" t="s">
        <v>23</v>
      </c>
      <c r="Z143" t="s">
        <v>23</v>
      </c>
      <c r="AA143" s="1" t="str">
        <f>IF(COUNT(Tabelle1[[#This Row],[exercised_stock_options]:[restricted_stock_deferred]])=0,"NaN",SUM(Tabelle1[[#This Row],[exercised_stock_options]:[restricted_stock_deferred]]))</f>
        <v>NaN</v>
      </c>
      <c r="AB143" s="3" t="str">
        <f>IF(AND(Tabelle1[[#This Row],[total_stock_value_calc]]&lt;&gt;Tabelle1[[#This Row],[total_stock_value]]),IF(Tabelle1[[#This Row],[total_stock_value]]="NaN","recalculate total","one-off/hardcoded"),"")</f>
        <v/>
      </c>
      <c r="AC143"/>
      <c r="AD143"/>
      <c r="AE143"/>
      <c r="AF143"/>
      <c r="AI143"/>
      <c r="AJ143"/>
    </row>
    <row r="144" spans="1:36" x14ac:dyDescent="0.3">
      <c r="A144" t="s">
        <v>274</v>
      </c>
      <c r="B144" t="s">
        <v>32</v>
      </c>
      <c r="C144">
        <v>58</v>
      </c>
      <c r="D144">
        <v>49</v>
      </c>
      <c r="E144">
        <v>1892</v>
      </c>
      <c r="F144">
        <v>1585</v>
      </c>
      <c r="G144">
        <v>12</v>
      </c>
      <c r="H144" t="s">
        <v>275</v>
      </c>
      <c r="J144">
        <v>415189</v>
      </c>
      <c r="K144">
        <v>1000000</v>
      </c>
      <c r="L144">
        <v>350000</v>
      </c>
      <c r="M144">
        <v>-235000</v>
      </c>
      <c r="N144" t="s">
        <v>23</v>
      </c>
      <c r="O144" t="s">
        <v>23</v>
      </c>
      <c r="P144">
        <v>307895</v>
      </c>
      <c r="Q144">
        <v>30674</v>
      </c>
      <c r="R144" t="s">
        <v>23</v>
      </c>
      <c r="S144" s="12">
        <v>1868758</v>
      </c>
      <c r="T144" s="1">
        <f>IF(COUNT(Tabelle1[[#This Row],[salary]:[director_fees]])=0,"NaN",SUM(Tabelle1[[#This Row],[salary]:[director_fees]]))</f>
        <v>1868758</v>
      </c>
      <c r="U144" s="3" t="str">
        <f>IF(AND(Tabelle1[[#This Row],[total_payments_calc]]&lt;&gt;Tabelle1[[#This Row],[total_payments]]),IF(Tabelle1[[#This Row],[total_payments]]="NaN","recalculate total","one-off/hardcoded"),"")</f>
        <v/>
      </c>
      <c r="V144" s="14"/>
      <c r="W144" t="s">
        <v>23</v>
      </c>
      <c r="X144">
        <v>2502063</v>
      </c>
      <c r="Y144" t="s">
        <v>23</v>
      </c>
      <c r="Z144">
        <v>2502063</v>
      </c>
      <c r="AA144" s="1">
        <f>IF(COUNT(Tabelle1[[#This Row],[exercised_stock_options]:[restricted_stock_deferred]])=0,"NaN",SUM(Tabelle1[[#This Row],[exercised_stock_options]:[restricted_stock_deferred]]))</f>
        <v>2502063</v>
      </c>
      <c r="AB144" s="3" t="str">
        <f>IF(AND(Tabelle1[[#This Row],[total_stock_value_calc]]&lt;&gt;Tabelle1[[#This Row],[total_stock_value]]),IF(Tabelle1[[#This Row],[total_stock_value]]="NaN","recalculate total","one-off/hardcoded"),"")</f>
        <v/>
      </c>
      <c r="AC144"/>
      <c r="AD144"/>
      <c r="AE144"/>
      <c r="AF144"/>
      <c r="AI144"/>
      <c r="AJ144"/>
    </row>
    <row r="145" spans="1:36" hidden="1" x14ac:dyDescent="0.3">
      <c r="A145" t="s">
        <v>276</v>
      </c>
      <c r="B145" t="s">
        <v>24</v>
      </c>
      <c r="C145">
        <v>0</v>
      </c>
      <c r="D145">
        <v>29</v>
      </c>
      <c r="E145">
        <v>533</v>
      </c>
      <c r="F145">
        <v>300</v>
      </c>
      <c r="G145">
        <v>0</v>
      </c>
      <c r="H145" t="s">
        <v>277</v>
      </c>
      <c r="J145">
        <v>265214</v>
      </c>
      <c r="K145">
        <v>600000</v>
      </c>
      <c r="L145" t="s">
        <v>23</v>
      </c>
      <c r="M145" t="s">
        <v>23</v>
      </c>
      <c r="N145">
        <v>227449</v>
      </c>
      <c r="O145" t="s">
        <v>23</v>
      </c>
      <c r="P145" t="s">
        <v>23</v>
      </c>
      <c r="Q145" t="s">
        <v>23</v>
      </c>
      <c r="R145" t="s">
        <v>23</v>
      </c>
      <c r="S145" s="12">
        <v>1092663</v>
      </c>
      <c r="T145" s="1">
        <f>IF(COUNT(Tabelle1[[#This Row],[salary]:[director_fees]])=0,"NaN",SUM(Tabelle1[[#This Row],[salary]:[director_fees]]))</f>
        <v>1092663</v>
      </c>
      <c r="U145" s="3" t="str">
        <f>IF(AND(Tabelle1[[#This Row],[total_payments_calc]]&lt;&gt;Tabelle1[[#This Row],[total_payments]]),IF(Tabelle1[[#This Row],[total_payments]]="NaN","recalculate total","one-off/hardcoded"),"")</f>
        <v/>
      </c>
      <c r="V145" s="14"/>
      <c r="W145">
        <v>3181250</v>
      </c>
      <c r="X145">
        <v>563798</v>
      </c>
      <c r="Y145" t="s">
        <v>23</v>
      </c>
      <c r="Z145">
        <v>3745048</v>
      </c>
      <c r="AA145" s="1">
        <f>IF(COUNT(Tabelle1[[#This Row],[exercised_stock_options]:[restricted_stock_deferred]])=0,"NaN",SUM(Tabelle1[[#This Row],[exercised_stock_options]:[restricted_stock_deferred]]))</f>
        <v>3745048</v>
      </c>
      <c r="AB145" s="3" t="str">
        <f>IF(AND(Tabelle1[[#This Row],[total_stock_value_calc]]&lt;&gt;Tabelle1[[#This Row],[total_stock_value]]),IF(Tabelle1[[#This Row],[total_stock_value]]="NaN","recalculate total","one-off/hardcoded"),"")</f>
        <v/>
      </c>
      <c r="AC145"/>
      <c r="AD145"/>
      <c r="AE145"/>
      <c r="AF145"/>
      <c r="AI145"/>
      <c r="AJ145"/>
    </row>
    <row r="146" spans="1:36" hidden="1" x14ac:dyDescent="0.3">
      <c r="A146" t="s">
        <v>278</v>
      </c>
      <c r="B146" t="s">
        <v>24</v>
      </c>
      <c r="C146">
        <v>188</v>
      </c>
      <c r="D146">
        <v>22</v>
      </c>
      <c r="E146">
        <v>865</v>
      </c>
      <c r="F146">
        <v>772</v>
      </c>
      <c r="G146">
        <v>11</v>
      </c>
      <c r="H146" t="s">
        <v>279</v>
      </c>
      <c r="J146">
        <v>278601</v>
      </c>
      <c r="K146">
        <v>800000</v>
      </c>
      <c r="L146" t="s">
        <v>23</v>
      </c>
      <c r="M146">
        <v>-300000</v>
      </c>
      <c r="N146" t="s">
        <v>23</v>
      </c>
      <c r="O146" t="s">
        <v>23</v>
      </c>
      <c r="P146">
        <v>891</v>
      </c>
      <c r="Q146">
        <v>96268</v>
      </c>
      <c r="R146" t="s">
        <v>23</v>
      </c>
      <c r="S146" s="12">
        <v>875760</v>
      </c>
      <c r="T146" s="1">
        <f>IF(COUNT(Tabelle1[[#This Row],[salary]:[director_fees]])=0,"NaN",SUM(Tabelle1[[#This Row],[salary]:[director_fees]]))</f>
        <v>875760</v>
      </c>
      <c r="U146" s="3" t="str">
        <f>IF(AND(Tabelle1[[#This Row],[total_payments_calc]]&lt;&gt;Tabelle1[[#This Row],[total_payments]]),IF(Tabelle1[[#This Row],[total_payments]]="NaN","recalculate total","one-off/hardcoded"),"")</f>
        <v/>
      </c>
      <c r="V146" s="14"/>
      <c r="W146">
        <v>765920</v>
      </c>
      <c r="X146">
        <v>315068</v>
      </c>
      <c r="Y146" t="s">
        <v>23</v>
      </c>
      <c r="Z146">
        <v>1080988</v>
      </c>
      <c r="AA146" s="1">
        <f>IF(COUNT(Tabelle1[[#This Row],[exercised_stock_options]:[restricted_stock_deferred]])=0,"NaN",SUM(Tabelle1[[#This Row],[exercised_stock_options]:[restricted_stock_deferred]]))</f>
        <v>1080988</v>
      </c>
      <c r="AB146" s="3" t="str">
        <f>IF(AND(Tabelle1[[#This Row],[total_stock_value_calc]]&lt;&gt;Tabelle1[[#This Row],[total_stock_value]]),IF(Tabelle1[[#This Row],[total_stock_value]]="NaN","recalculate total","one-off/hardcoded"),"")</f>
        <v/>
      </c>
      <c r="AC146"/>
      <c r="AD146"/>
      <c r="AE146"/>
      <c r="AF146"/>
      <c r="AI146"/>
      <c r="AJ146"/>
    </row>
    <row r="147" spans="1:36" x14ac:dyDescent="0.3">
      <c r="A147" t="s">
        <v>280</v>
      </c>
      <c r="B147" t="s">
        <v>32</v>
      </c>
      <c r="C147">
        <v>52</v>
      </c>
      <c r="D147">
        <v>16</v>
      </c>
      <c r="E147">
        <v>873</v>
      </c>
      <c r="F147">
        <v>874</v>
      </c>
      <c r="G147">
        <v>6</v>
      </c>
      <c r="H147" t="s">
        <v>281</v>
      </c>
      <c r="J147">
        <v>274975</v>
      </c>
      <c r="K147">
        <v>600000</v>
      </c>
      <c r="L147">
        <v>71023</v>
      </c>
      <c r="M147" t="s">
        <v>23</v>
      </c>
      <c r="N147" t="s">
        <v>23</v>
      </c>
      <c r="O147" t="s">
        <v>23</v>
      </c>
      <c r="P147">
        <v>200308</v>
      </c>
      <c r="Q147">
        <v>125978</v>
      </c>
      <c r="R147" t="s">
        <v>23</v>
      </c>
      <c r="S147" s="12">
        <v>1272284</v>
      </c>
      <c r="T147" s="1">
        <f>IF(COUNT(Tabelle1[[#This Row],[salary]:[director_fees]])=0,"NaN",SUM(Tabelle1[[#This Row],[salary]:[director_fees]]))</f>
        <v>1272284</v>
      </c>
      <c r="U147" s="3" t="str">
        <f>IF(AND(Tabelle1[[#This Row],[total_payments_calc]]&lt;&gt;Tabelle1[[#This Row],[total_payments]]),IF(Tabelle1[[#This Row],[total_payments]]="NaN","recalculate total","one-off/hardcoded"),"")</f>
        <v/>
      </c>
      <c r="V147" s="14"/>
      <c r="W147">
        <v>384728</v>
      </c>
      <c r="X147">
        <v>393818</v>
      </c>
      <c r="Y147" t="s">
        <v>23</v>
      </c>
      <c r="Z147">
        <v>778546</v>
      </c>
      <c r="AA147" s="1">
        <f>IF(COUNT(Tabelle1[[#This Row],[exercised_stock_options]:[restricted_stock_deferred]])=0,"NaN",SUM(Tabelle1[[#This Row],[exercised_stock_options]:[restricted_stock_deferred]]))</f>
        <v>778546</v>
      </c>
      <c r="AB147" s="3" t="str">
        <f>IF(AND(Tabelle1[[#This Row],[total_stock_value_calc]]&lt;&gt;Tabelle1[[#This Row],[total_stock_value]]),IF(Tabelle1[[#This Row],[total_stock_value]]="NaN","recalculate total","one-off/hardcoded"),"")</f>
        <v/>
      </c>
      <c r="AC147"/>
      <c r="AD147"/>
      <c r="AE147"/>
      <c r="AF147"/>
      <c r="AI147"/>
      <c r="AJ147"/>
    </row>
    <row r="148" spans="1:36" ht="132.6" customHeight="1" x14ac:dyDescent="0.3"/>
    <row r="149" spans="1:36" x14ac:dyDescent="0.3">
      <c r="A149" s="3" t="s">
        <v>283</v>
      </c>
      <c r="B149" s="1" t="str">
        <f>Tabelle1[[#Headers],[poi]]</f>
        <v>poi</v>
      </c>
      <c r="C149" s="1" t="str">
        <f>Tabelle1[[#Headers],[from_poi_to_this_person]]</f>
        <v>from_poi_to_this_person</v>
      </c>
      <c r="D149" s="1" t="str">
        <f>Tabelle1[[#Headers],[from_messages]]</f>
        <v>from_messages</v>
      </c>
      <c r="E149" s="1" t="str">
        <f>Tabelle1[[#Headers],[to_messages]]</f>
        <v>to_messages</v>
      </c>
      <c r="F149" s="1" t="str">
        <f>Tabelle1[[#Headers],[shared_receipt_with_poi]]</f>
        <v>shared_receipt_with_poi</v>
      </c>
      <c r="G149" s="1" t="str">
        <f>Tabelle1[[#Headers],[from_this_person_to_poi]]</f>
        <v>from_this_person_to_poi</v>
      </c>
      <c r="H149" s="1" t="str">
        <f>Tabelle1[[#Headers],[email_address]]</f>
        <v>email_address</v>
      </c>
      <c r="I149" s="1"/>
      <c r="J149" s="1" t="str">
        <f>Tabelle1[[#Headers],[salary]]</f>
        <v>salary</v>
      </c>
      <c r="K149" s="1" t="str">
        <f>Tabelle1[[#Headers],[bonus]]</f>
        <v>bonus</v>
      </c>
      <c r="L149" s="1" t="str">
        <f>Tabelle1[[#Headers],[long_term_incentive]]</f>
        <v>long_term_incentive</v>
      </c>
      <c r="M149" s="1" t="str">
        <f>Tabelle1[[#Headers],[deferred_income]]</f>
        <v>deferred_income</v>
      </c>
      <c r="N149" s="1" t="str">
        <f>Tabelle1[[#Headers],[deferral_payments]]</f>
        <v>deferral_payments</v>
      </c>
      <c r="O149" s="1" t="str">
        <f>Tabelle1[[#Headers],[loan_advances]]</f>
        <v>loan_advances</v>
      </c>
      <c r="P149" s="1" t="str">
        <f>Tabelle1[[#Headers],[other]]</f>
        <v>other</v>
      </c>
      <c r="Q149" s="1" t="str">
        <f>Tabelle1[[#Headers],[expenses]]</f>
        <v>expenses</v>
      </c>
      <c r="R149" s="1" t="str">
        <f>Tabelle1[[#Headers],[director_fees]]</f>
        <v>director_fees</v>
      </c>
      <c r="S149" s="1" t="str">
        <f>Tabelle1[[#Headers],[total_payments]]</f>
        <v>total_payments</v>
      </c>
      <c r="T149" s="1"/>
      <c r="U149" s="1"/>
      <c r="V149" s="1"/>
      <c r="W149" s="1" t="str">
        <f>Tabelle1[[#Headers],[exercised_stock_options]]</f>
        <v>exercised_stock_options</v>
      </c>
      <c r="X149" s="1" t="str">
        <f>Tabelle1[[#Headers],[restricted_stock]]</f>
        <v>restricted_stock</v>
      </c>
      <c r="Y149" s="1" t="str">
        <f>Tabelle1[[#Headers],[restricted_stock_deferred]]</f>
        <v>restricted_stock_deferred</v>
      </c>
      <c r="Z149" s="1" t="str">
        <f>Tabelle1[[#Headers],[total_stock_value]]</f>
        <v>total_stock_value</v>
      </c>
      <c r="AA149" s="1"/>
      <c r="AB149" s="1"/>
      <c r="AC149" s="1"/>
    </row>
    <row r="150" spans="1:36" x14ac:dyDescent="0.3">
      <c r="A150" s="3" t="s">
        <v>282</v>
      </c>
      <c r="B150" s="2">
        <f>COUNTIF(Tabelle1[poi],"NaN")/ROWS(Tabelle1[poi])</f>
        <v>0</v>
      </c>
      <c r="C150" s="2">
        <f>COUNTIF(Tabelle1[from_poi_to_this_person],"NaN")/ROWS(Tabelle1[from_poi_to_this_person])</f>
        <v>0.41095890410958902</v>
      </c>
      <c r="D150" s="2">
        <f>COUNTIF(Tabelle1[from_messages],"NaN")/ROWS(Tabelle1[from_messages])</f>
        <v>0.41095890410958902</v>
      </c>
      <c r="E150" s="2">
        <f>COUNTIF(Tabelle1[to_messages],"NaN")/ROWS(Tabelle1[to_messages])</f>
        <v>0.41095890410958902</v>
      </c>
      <c r="F150" s="2">
        <f>COUNTIF(Tabelle1[shared_receipt_with_poi],"NaN")/ROWS(Tabelle1[shared_receipt_with_poi])</f>
        <v>0.41095890410958902</v>
      </c>
      <c r="G150" s="2">
        <f>COUNTIF(Tabelle1[from_this_person_to_poi],"NaN")/ROWS(Tabelle1[from_this_person_to_poi])</f>
        <v>0.41095890410958902</v>
      </c>
      <c r="H150" s="2">
        <f>COUNTIF(Tabelle1[email_address],"NaN")/ROWS(Tabelle1[email_address])</f>
        <v>0.23972602739726026</v>
      </c>
      <c r="I150" s="2"/>
      <c r="J150" s="2">
        <f>COUNTIF(Tabelle1[salary],"NaN")/ROWS(Tabelle1[salary])</f>
        <v>0.34931506849315069</v>
      </c>
      <c r="K150" s="2">
        <f>COUNTIF(Tabelle1[bonus],"NaN")/ROWS(Tabelle1[bonus])</f>
        <v>0.43835616438356162</v>
      </c>
      <c r="L150" s="2">
        <f>COUNTIF(Tabelle1[long_term_incentive],"NaN")/ROWS(Tabelle1[long_term_incentive])</f>
        <v>0.54794520547945202</v>
      </c>
      <c r="M150" s="2">
        <f>COUNTIF(Tabelle1[deferred_income],"NaN")/ROWS(Tabelle1[deferred_income])</f>
        <v>0.66438356164383561</v>
      </c>
      <c r="N150" s="2">
        <f>COUNTIF(Tabelle1[deferral_payments],"NaN")/ROWS(Tabelle1[deferral_payments])</f>
        <v>0.73287671232876717</v>
      </c>
      <c r="O150" s="2">
        <f>COUNTIF(Tabelle1[loan_advances],"NaN")/ROWS(Tabelle1[loan_advances])</f>
        <v>0.9726027397260274</v>
      </c>
      <c r="P150" s="2">
        <f>COUNTIF(Tabelle1[other],"NaN")/ROWS(Tabelle1[other])</f>
        <v>0.36301369863013699</v>
      </c>
      <c r="Q150" s="2">
        <f>COUNTIF(Tabelle1[expenses],"NaN")/ROWS(Tabelle1[expenses])</f>
        <v>0.34931506849315069</v>
      </c>
      <c r="R150" s="2">
        <f>COUNTIF(Tabelle1[director_fees],"NaN")/ROWS(Tabelle1[director_fees])</f>
        <v>0.88356164383561642</v>
      </c>
      <c r="S150" s="2">
        <f>COUNTIF(Tabelle1[total_payments],"NaN")/ROWS(Tabelle1[total_payments])</f>
        <v>0.14383561643835616</v>
      </c>
      <c r="T150" s="2"/>
      <c r="U150" s="2"/>
      <c r="V150" s="2"/>
      <c r="W150" s="2">
        <f>COUNTIF(Tabelle1[exercised_stock_options],"NaN")/ROWS(Tabelle1[exercised_stock_options])</f>
        <v>0.30136986301369861</v>
      </c>
      <c r="X150" s="2">
        <f>COUNTIF(Tabelle1[restricted_stock],"NaN")/ROWS(Tabelle1[restricted_stock])</f>
        <v>0.24657534246575341</v>
      </c>
      <c r="Y150" s="2">
        <f>COUNTIF(Tabelle1[restricted_stock_deferred],"NaN")/ROWS(Tabelle1[restricted_stock_deferred])</f>
        <v>0.87671232876712324</v>
      </c>
      <c r="Z150" s="2">
        <f>COUNTIF(Tabelle1[total_stock_value],"NaN")/ROWS(Tabelle1[total_stock_value])</f>
        <v>0.13698630136986301</v>
      </c>
      <c r="AA150" s="2"/>
      <c r="AB150" s="2"/>
      <c r="AC150" s="2"/>
      <c r="AD150" s="16"/>
      <c r="AE150" s="16"/>
      <c r="AF150" s="16"/>
    </row>
  </sheetData>
  <conditionalFormatting sqref="AJ148:AJ1048576">
    <cfRule type="cellIs" dxfId="7" priority="1" operator="equal">
      <formula>"yes"</formula>
    </cfRule>
  </conditionalFormatting>
  <conditionalFormatting sqref="B150:AF150">
    <cfRule type="colorScale" priority="12">
      <colorScale>
        <cfvo type="min"/>
        <cfvo type="max"/>
        <color rgb="FFFCFCFF"/>
        <color rgb="FFF8696B"/>
      </colorScale>
    </cfRule>
  </conditionalFormatting>
  <pageMargins left="0.7" right="0.7" top="0.78740157499999996" bottom="0.78740157499999996" header="0.3" footer="0.3"/>
  <pageSetup paperSize="9"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data_dict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Söllner</dc:creator>
  <cp:lastModifiedBy>Benjamin Söllner</cp:lastModifiedBy>
  <dcterms:created xsi:type="dcterms:W3CDTF">2016-02-21T14:01:06Z</dcterms:created>
  <dcterms:modified xsi:type="dcterms:W3CDTF">2016-02-24T15:48:22Z</dcterms:modified>
</cp:coreProperties>
</file>