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ander/Desktop/TC/"/>
    </mc:Choice>
  </mc:AlternateContent>
  <xr:revisionPtr revIDLastSave="0" documentId="13_ncr:1_{597CEF5D-9AD1-C946-9E65-71703CF1AC49}" xr6:coauthVersionLast="46" xr6:coauthVersionMax="46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u5AWFiLarPd2r8hrRa0w6FKZBaQ=="/>
    </ext>
  </extLst>
</workbook>
</file>

<file path=xl/calcChain.xml><?xml version="1.0" encoding="utf-8"?>
<calcChain xmlns="http://schemas.openxmlformats.org/spreadsheetml/2006/main">
  <c r="C137" i="1" l="1"/>
  <c r="B137" i="1"/>
  <c r="B141" i="1" s="1"/>
  <c r="B142" i="1"/>
  <c r="C134" i="1"/>
  <c r="C136" i="1"/>
  <c r="C135" i="1"/>
  <c r="C133" i="1"/>
  <c r="C132" i="1"/>
  <c r="B136" i="1"/>
  <c r="B135" i="1"/>
  <c r="B134" i="1"/>
  <c r="B133" i="1"/>
  <c r="B132" i="1"/>
  <c r="B128" i="1"/>
  <c r="B127" i="1"/>
  <c r="B126" i="1"/>
  <c r="B125" i="1"/>
  <c r="B124" i="1"/>
  <c r="D107" i="1"/>
  <c r="D108" i="1"/>
  <c r="F108" i="1" s="1"/>
  <c r="G108" i="1" s="1"/>
  <c r="H108" i="1" s="1"/>
  <c r="D109" i="1"/>
  <c r="D110" i="1"/>
  <c r="F110" i="1" s="1"/>
  <c r="G110" i="1" s="1"/>
  <c r="H110" i="1" s="1"/>
  <c r="D106" i="1"/>
  <c r="F106" i="1" s="1"/>
  <c r="G106" i="1" s="1"/>
  <c r="H106" i="1" s="1"/>
  <c r="B120" i="1"/>
  <c r="B119" i="1"/>
  <c r="B118" i="1"/>
  <c r="B117" i="1"/>
  <c r="B116" i="1"/>
  <c r="G109" i="1"/>
  <c r="H109" i="1"/>
  <c r="F107" i="1"/>
  <c r="G107" i="1" s="1"/>
  <c r="H107" i="1" s="1"/>
  <c r="F109" i="1"/>
  <c r="E107" i="1"/>
  <c r="E108" i="1"/>
  <c r="E109" i="1"/>
  <c r="E110" i="1"/>
  <c r="E106" i="1"/>
  <c r="C107" i="1"/>
  <c r="C108" i="1"/>
  <c r="C109" i="1"/>
  <c r="C110" i="1"/>
  <c r="C106" i="1"/>
  <c r="B107" i="1"/>
  <c r="B108" i="1"/>
  <c r="B109" i="1"/>
  <c r="B110" i="1"/>
  <c r="B106" i="1"/>
  <c r="E98" i="1"/>
  <c r="E99" i="1"/>
  <c r="E100" i="1"/>
  <c r="E101" i="1"/>
  <c r="E97" i="1"/>
  <c r="D98" i="1"/>
  <c r="D99" i="1"/>
  <c r="D100" i="1"/>
  <c r="D101" i="1"/>
  <c r="D97" i="1"/>
  <c r="C98" i="1"/>
  <c r="C99" i="1"/>
  <c r="C100" i="1"/>
  <c r="C101" i="1"/>
  <c r="C97" i="1"/>
  <c r="B98" i="1"/>
  <c r="B99" i="1"/>
  <c r="B100" i="1"/>
  <c r="B101" i="1"/>
  <c r="B97" i="1"/>
  <c r="D54" i="1"/>
  <c r="D53" i="1"/>
  <c r="C54" i="1"/>
  <c r="D44" i="1"/>
  <c r="F31" i="1"/>
  <c r="F30" i="1"/>
  <c r="F27" i="1"/>
  <c r="F26" i="1"/>
  <c r="F19" i="1"/>
  <c r="F16" i="1"/>
  <c r="F15" i="1"/>
  <c r="F14" i="1"/>
  <c r="B79" i="1"/>
  <c r="B78" i="1"/>
  <c r="B77" i="1"/>
  <c r="B76" i="1"/>
  <c r="B75" i="1"/>
  <c r="C66" i="1"/>
  <c r="B42" i="1"/>
  <c r="D42" i="1" s="1"/>
  <c r="E79" i="1" s="1"/>
  <c r="B41" i="1"/>
  <c r="D41" i="1" s="1"/>
  <c r="E78" i="1" s="1"/>
  <c r="D40" i="1"/>
  <c r="E77" i="1" s="1"/>
  <c r="D39" i="1"/>
  <c r="E76" i="1" s="1"/>
  <c r="B38" i="1"/>
  <c r="D38" i="1" s="1"/>
  <c r="H31" i="1"/>
  <c r="I31" i="1" s="1"/>
  <c r="D56" i="1" s="1"/>
  <c r="D31" i="1"/>
  <c r="C56" i="1" s="1"/>
  <c r="H30" i="1"/>
  <c r="I30" i="1" s="1"/>
  <c r="D57" i="1" s="1"/>
  <c r="D30" i="1"/>
  <c r="C57" i="1" s="1"/>
  <c r="H27" i="1"/>
  <c r="I27" i="1" s="1"/>
  <c r="D27" i="1"/>
  <c r="H26" i="1"/>
  <c r="I26" i="1" s="1"/>
  <c r="D26" i="1"/>
  <c r="I22" i="1"/>
  <c r="C22" i="1"/>
  <c r="D22" i="1" s="1"/>
  <c r="F22" i="1" s="1"/>
  <c r="H21" i="1"/>
  <c r="G21" i="1"/>
  <c r="D21" i="1"/>
  <c r="F21" i="1" s="1"/>
  <c r="H20" i="1"/>
  <c r="G20" i="1"/>
  <c r="D20" i="1"/>
  <c r="F20" i="1" s="1"/>
  <c r="H19" i="1"/>
  <c r="G19" i="1"/>
  <c r="D19" i="1"/>
  <c r="H16" i="1"/>
  <c r="G16" i="1"/>
  <c r="D16" i="1"/>
  <c r="H15" i="1"/>
  <c r="G15" i="1"/>
  <c r="D15" i="1"/>
  <c r="C53" i="1" s="1"/>
  <c r="H14" i="1"/>
  <c r="G14" i="1"/>
  <c r="I14" i="1" s="1"/>
  <c r="D14" i="1"/>
  <c r="I19" i="1" l="1"/>
  <c r="E53" i="1"/>
  <c r="C75" i="1"/>
  <c r="D75" i="1" s="1"/>
  <c r="I20" i="1"/>
  <c r="I15" i="1"/>
  <c r="I21" i="1"/>
  <c r="I16" i="1"/>
  <c r="F75" i="1"/>
  <c r="G53" i="1"/>
  <c r="E75" i="1"/>
  <c r="C55" i="1"/>
  <c r="C76" i="1"/>
  <c r="E54" i="1"/>
  <c r="F53" i="1"/>
  <c r="C78" i="1"/>
  <c r="E56" i="1"/>
  <c r="B89" i="1"/>
  <c r="F56" i="1"/>
  <c r="D55" i="1"/>
  <c r="B87" i="1" l="1"/>
  <c r="B86" i="1"/>
  <c r="F54" i="1"/>
  <c r="C87" i="1" s="1"/>
  <c r="E57" i="1"/>
  <c r="C79" i="1"/>
  <c r="C86" i="1"/>
  <c r="H53" i="1"/>
  <c r="F55" i="1"/>
  <c r="B88" i="1"/>
  <c r="F76" i="1"/>
  <c r="G54" i="1"/>
  <c r="D76" i="1"/>
  <c r="C89" i="1"/>
  <c r="H56" i="1"/>
  <c r="I56" i="1" s="1"/>
  <c r="B90" i="1"/>
  <c r="F57" i="1"/>
  <c r="C77" i="1"/>
  <c r="E55" i="1"/>
  <c r="F78" i="1"/>
  <c r="G56" i="1"/>
  <c r="D78" i="1"/>
  <c r="E81" i="1"/>
  <c r="F58" i="1" l="1"/>
  <c r="H54" i="1"/>
  <c r="I54" i="1" s="1"/>
  <c r="D77" i="1"/>
  <c r="G55" i="1"/>
  <c r="F77" i="1"/>
  <c r="H55" i="1"/>
  <c r="I55" i="1" s="1"/>
  <c r="C88" i="1"/>
  <c r="C90" i="1"/>
  <c r="H57" i="1"/>
  <c r="I57" i="1" s="1"/>
  <c r="I53" i="1"/>
  <c r="E58" i="1"/>
  <c r="D79" i="1"/>
  <c r="F79" i="1"/>
  <c r="G57" i="1"/>
  <c r="G58" i="1" l="1"/>
  <c r="H58" i="1"/>
  <c r="E66" i="1" s="1"/>
  <c r="F81" i="1"/>
  <c r="I58" i="1"/>
  <c r="C92" i="1"/>
  <c r="D87" i="1" l="1"/>
  <c r="D86" i="1"/>
  <c r="D89" i="1"/>
  <c r="D88" i="1"/>
  <c r="D90" i="1"/>
  <c r="D92" i="1" l="1"/>
</calcChain>
</file>

<file path=xl/sharedStrings.xml><?xml version="1.0" encoding="utf-8"?>
<sst xmlns="http://schemas.openxmlformats.org/spreadsheetml/2006/main" count="174" uniqueCount="86">
  <si>
    <t>3D Printing Materials</t>
  </si>
  <si>
    <t>3D Printing Settings</t>
  </si>
  <si>
    <t>Resin</t>
  </si>
  <si>
    <t>Name</t>
  </si>
  <si>
    <t>Price per Liter [EUR]</t>
  </si>
  <si>
    <t>Layer thickness</t>
  </si>
  <si>
    <t>Normal exposure time</t>
  </si>
  <si>
    <t>Off time</t>
  </si>
  <si>
    <t>Bottom exposure time</t>
  </si>
  <si>
    <t>Bottom layers</t>
  </si>
  <si>
    <t>Surgical Guide Resin</t>
  </si>
  <si>
    <t>Parts</t>
  </si>
  <si>
    <t>Micropipette Tips</t>
  </si>
  <si>
    <t>Volume [m^3]</t>
  </si>
  <si>
    <t>Volume [L]</t>
  </si>
  <si>
    <t>Length [mm]</t>
  </si>
  <si>
    <t>Price/Part [EUR]</t>
  </si>
  <si>
    <t xml:space="preserve">Parts/Print </t>
  </si>
  <si>
    <t>Time / Print [min]</t>
  </si>
  <si>
    <t>Time / Part [min]</t>
  </si>
  <si>
    <t>L30</t>
  </si>
  <si>
    <t>L50</t>
  </si>
  <si>
    <t>L85</t>
  </si>
  <si>
    <t>Swabs</t>
  </si>
  <si>
    <t>Honeybee Swab (Hexagonal Pattern)</t>
  </si>
  <si>
    <t>Double Helix Swab</t>
  </si>
  <si>
    <t>Circular Pattern Swab</t>
  </si>
  <si>
    <t>Packaging tube swabs</t>
  </si>
  <si>
    <t>Spin Column</t>
  </si>
  <si>
    <t>Inner Tube</t>
  </si>
  <si>
    <t>Outer Tube</t>
  </si>
  <si>
    <t>Tubes</t>
  </si>
  <si>
    <t>Part</t>
  </si>
  <si>
    <t>Costs / Part [EUR] (Biokitchen)</t>
  </si>
  <si>
    <t>Cost / Test [EUR] (Biokitchen)</t>
  </si>
  <si>
    <t>Sum</t>
  </si>
  <si>
    <t>Our Solution Details</t>
  </si>
  <si>
    <t>Testkits needed:</t>
  </si>
  <si>
    <t>Assumption</t>
  </si>
  <si>
    <t>Cost / Part [EUR]</t>
  </si>
  <si>
    <t>Cost / Test [EUR]</t>
  </si>
  <si>
    <t>Time / Test [min]</t>
  </si>
  <si>
    <t>Total Costs [EUR]</t>
  </si>
  <si>
    <t>Total Printing time [min]</t>
  </si>
  <si>
    <t>Printers needed</t>
  </si>
  <si>
    <t>SUM</t>
  </si>
  <si>
    <t>Printer</t>
  </si>
  <si>
    <t>Costs / Printer [EUR]</t>
  </si>
  <si>
    <t>Printing time per day [min]</t>
  </si>
  <si>
    <t>Total Costs</t>
  </si>
  <si>
    <t xml:space="preserve">AnyCubic Photon </t>
  </si>
  <si>
    <t>Our Solution &amp; Comparision to Market</t>
  </si>
  <si>
    <t>Costs / Part [EUR] (Our Solution)</t>
  </si>
  <si>
    <t>Difference</t>
  </si>
  <si>
    <t>Costs / Test [EUR] (Biokitchen)</t>
  </si>
  <si>
    <t>Costs / Test [EUR] (Our Solution)</t>
  </si>
  <si>
    <t>Printing Time</t>
  </si>
  <si>
    <t>Share of Printing Time</t>
  </si>
  <si>
    <t>Pipette Tips</t>
  </si>
  <si>
    <t>Cost Saving per Part</t>
  </si>
  <si>
    <t>Our Solution</t>
  </si>
  <si>
    <t>Spin Columns</t>
  </si>
  <si>
    <t>Market Prices</t>
  </si>
  <si>
    <t>1.5ml Tubes</t>
  </si>
  <si>
    <t>0.2ml Tubes</t>
  </si>
  <si>
    <t>Anycubic 3D Printer Resin Transparent</t>
  </si>
  <si>
    <t>Phrozen Beige Flex Resin</t>
  </si>
  <si>
    <t>0.2ml Tube</t>
  </si>
  <si>
    <t>1.5ml Tube</t>
  </si>
  <si>
    <t>Needed Parts per Test</t>
  </si>
  <si>
    <t>Needed Amount per Test (average)</t>
  </si>
  <si>
    <t>Market Prices (according to Biokitchen)</t>
  </si>
  <si>
    <t>L50 Pipette Tips</t>
  </si>
  <si>
    <t>Honeybee Swab</t>
  </si>
  <si>
    <t>Printer Model</t>
  </si>
  <si>
    <t>Printer for One Production Table</t>
  </si>
  <si>
    <t>Printing Capacity</t>
  </si>
  <si>
    <t>Capacity 1 Printer in 1 Day [parts]</t>
  </si>
  <si>
    <t xml:space="preserve">Capacity 1 Printer in 1 Day [testkits] </t>
  </si>
  <si>
    <t>Capacity 1 Production Table [testkits]</t>
  </si>
  <si>
    <t>Potential Cost Savings</t>
  </si>
  <si>
    <t>Cost Savings per Printing Minute [EUR]</t>
  </si>
  <si>
    <t>Cost Savings per Printing Hour [EUR]</t>
  </si>
  <si>
    <t xml:space="preserve">Cost Savings per Printing Day [EUR] </t>
  </si>
  <si>
    <t>Diagrams</t>
  </si>
  <si>
    <t>Capacity of One Production Table [Testkits]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</si>
</sst>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"/>
    <numFmt numFmtId="165" formatCode="_-* #,##0.00\ &quot;€&quot;_-;\-* #,##0.00\ &quot;€&quot;_-;_-* &quot;-&quot;??\ &quot;€&quot;_-;_-@"/>
    <numFmt numFmtId="166" formatCode="_-* #,##0.0000\ &quot;€&quot;_-;\-* #,##0.0000\ &quot;€&quot;_-;_-* &quot;-&quot;????\ &quot;€&quot;_-;_-@_-"/>
    <numFmt numFmtId="167" formatCode="0.0000"/>
    <numFmt numFmtId="168" formatCode="_-* #,##0.00\ [$€-407]_-;\-* #,##0.00\ [$€-407]_-;_-* &quot;-&quot;??\ [$€-407]_-;_-@_-"/>
  </numFmts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C5ADB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C5ADB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thin">
        <color rgb="FF000000"/>
      </top>
      <bottom/>
      <diagonal/>
    </border>
    <border>
      <left/>
      <right/>
      <top/>
      <bottom style="double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/>
      <bottom style="double">
        <color indexed="64"/>
      </bottom>
      <diagonal/>
    </border>
    <border>
      <left style="medium">
        <color theme="1"/>
      </left>
      <right/>
      <top/>
      <bottom style="double">
        <color indexed="64"/>
      </bottom>
      <diagonal/>
    </border>
    <border>
      <left/>
      <right style="medium">
        <color theme="1"/>
      </right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20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3" xfId="0" applyFont="1" applyBorder="1" applyAlignment="1"/>
    <xf numFmtId="0" fontId="4" fillId="0" borderId="0" xfId="0" applyFont="1" applyAlignment="1"/>
    <xf numFmtId="11" fontId="1" fillId="0" borderId="0" xfId="0" applyNumberFormat="1" applyFont="1"/>
    <xf numFmtId="4" fontId="1" fillId="0" borderId="0" xfId="0" applyNumberFormat="1" applyFont="1"/>
    <xf numFmtId="11" fontId="4" fillId="0" borderId="0" xfId="0" applyNumberFormat="1" applyFont="1" applyAlignment="1"/>
    <xf numFmtId="0" fontId="4" fillId="0" borderId="0" xfId="0" applyFont="1"/>
    <xf numFmtId="0" fontId="1" fillId="0" borderId="3" xfId="0" applyFont="1" applyBorder="1"/>
    <xf numFmtId="11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5" fillId="0" borderId="3" xfId="0" applyFont="1" applyBorder="1"/>
    <xf numFmtId="0" fontId="6" fillId="0" borderId="0" xfId="0" applyFont="1" applyAlignment="1"/>
    <xf numFmtId="0" fontId="5" fillId="0" borderId="0" xfId="0" applyFont="1"/>
    <xf numFmtId="0" fontId="0" fillId="0" borderId="4" xfId="0" applyFont="1" applyBorder="1"/>
    <xf numFmtId="0" fontId="5" fillId="0" borderId="5" xfId="0" applyFont="1" applyBorder="1"/>
    <xf numFmtId="0" fontId="0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164" fontId="0" fillId="0" borderId="0" xfId="0" applyNumberFormat="1" applyFont="1"/>
    <xf numFmtId="165" fontId="0" fillId="0" borderId="0" xfId="0" applyNumberFormat="1" applyFont="1"/>
    <xf numFmtId="9" fontId="0" fillId="0" borderId="6" xfId="0" applyNumberFormat="1" applyFont="1" applyBorder="1"/>
    <xf numFmtId="9" fontId="0" fillId="0" borderId="0" xfId="0" applyNumberFormat="1" applyFont="1"/>
    <xf numFmtId="164" fontId="0" fillId="0" borderId="8" xfId="0" applyNumberFormat="1" applyFont="1" applyBorder="1"/>
    <xf numFmtId="165" fontId="0" fillId="0" borderId="8" xfId="0" applyNumberFormat="1" applyFont="1" applyBorder="1"/>
    <xf numFmtId="9" fontId="0" fillId="0" borderId="11" xfId="0" applyNumberFormat="1" applyFont="1" applyBorder="1"/>
    <xf numFmtId="165" fontId="0" fillId="0" borderId="12" xfId="0" applyNumberFormat="1" applyFont="1" applyBorder="1"/>
    <xf numFmtId="165" fontId="5" fillId="0" borderId="0" xfId="0" applyNumberFormat="1" applyFont="1"/>
    <xf numFmtId="9" fontId="5" fillId="0" borderId="0" xfId="0" applyNumberFormat="1" applyFont="1"/>
    <xf numFmtId="0" fontId="5" fillId="0" borderId="13" xfId="0" applyFont="1" applyBorder="1"/>
    <xf numFmtId="0" fontId="5" fillId="0" borderId="6" xfId="0" applyFont="1" applyBorder="1"/>
    <xf numFmtId="2" fontId="0" fillId="0" borderId="14" xfId="0" applyNumberFormat="1" applyFont="1" applyBorder="1"/>
    <xf numFmtId="2" fontId="0" fillId="0" borderId="15" xfId="0" applyNumberFormat="1" applyFont="1" applyBorder="1"/>
    <xf numFmtId="10" fontId="0" fillId="0" borderId="15" xfId="0" applyNumberFormat="1" applyFont="1" applyBorder="1"/>
    <xf numFmtId="2" fontId="0" fillId="0" borderId="16" xfId="0" applyNumberFormat="1" applyFont="1" applyBorder="1"/>
    <xf numFmtId="10" fontId="0" fillId="0" borderId="16" xfId="0" applyNumberFormat="1" applyFont="1" applyBorder="1"/>
    <xf numFmtId="2" fontId="5" fillId="0" borderId="0" xfId="0" applyNumberFormat="1" applyFont="1"/>
    <xf numFmtId="0" fontId="0" fillId="0" borderId="0" xfId="0" applyFont="1" applyFill="1" applyBorder="1" applyAlignment="1"/>
    <xf numFmtId="164" fontId="0" fillId="0" borderId="0" xfId="0" applyNumberFormat="1" applyFont="1" applyAlignment="1"/>
    <xf numFmtId="0" fontId="8" fillId="0" borderId="0" xfId="0" applyFont="1" applyAlignment="1"/>
    <xf numFmtId="0" fontId="7" fillId="0" borderId="0" xfId="0" applyFont="1" applyFill="1" applyBorder="1" applyAlignment="1"/>
    <xf numFmtId="0" fontId="8" fillId="0" borderId="0" xfId="0" applyFont="1"/>
    <xf numFmtId="0" fontId="8" fillId="0" borderId="8" xfId="0" applyFont="1" applyBorder="1"/>
    <xf numFmtId="0" fontId="8" fillId="0" borderId="0" xfId="0" applyFont="1" applyFill="1" applyBorder="1" applyAlignment="1"/>
    <xf numFmtId="0" fontId="7" fillId="0" borderId="3" xfId="0" applyFont="1" applyBorder="1"/>
    <xf numFmtId="0" fontId="7" fillId="0" borderId="18" xfId="0" applyFont="1" applyBorder="1" applyAlignment="1"/>
    <xf numFmtId="9" fontId="0" fillId="0" borderId="0" xfId="1" applyFont="1" applyAlignment="1"/>
    <xf numFmtId="9" fontId="0" fillId="0" borderId="17" xfId="1" applyFont="1" applyBorder="1" applyAlignment="1"/>
    <xf numFmtId="0" fontId="7" fillId="0" borderId="0" xfId="0" applyFont="1" applyBorder="1" applyAlignment="1"/>
    <xf numFmtId="0" fontId="8" fillId="0" borderId="0" xfId="0" applyFont="1" applyBorder="1"/>
    <xf numFmtId="0" fontId="0" fillId="0" borderId="0" xfId="0" applyFont="1" applyBorder="1" applyAlignment="1"/>
    <xf numFmtId="168" fontId="1" fillId="0" borderId="0" xfId="0" applyNumberFormat="1" applyFont="1"/>
    <xf numFmtId="2" fontId="1" fillId="0" borderId="0" xfId="0" applyNumberFormat="1" applyFont="1"/>
    <xf numFmtId="0" fontId="10" fillId="0" borderId="0" xfId="0" applyFont="1"/>
    <xf numFmtId="0" fontId="10" fillId="0" borderId="0" xfId="0" applyFont="1" applyAlignment="1"/>
    <xf numFmtId="2" fontId="4" fillId="0" borderId="0" xfId="0" applyNumberFormat="1" applyFont="1" applyAlignment="1"/>
    <xf numFmtId="2" fontId="4" fillId="0" borderId="0" xfId="0" applyNumberFormat="1" applyFont="1"/>
    <xf numFmtId="168" fontId="4" fillId="0" borderId="0" xfId="0" applyNumberFormat="1" applyFont="1"/>
    <xf numFmtId="168" fontId="5" fillId="0" borderId="0" xfId="0" applyNumberFormat="1" applyFont="1"/>
    <xf numFmtId="0" fontId="7" fillId="0" borderId="0" xfId="0" applyFont="1"/>
    <xf numFmtId="0" fontId="11" fillId="0" borderId="1" xfId="0" applyFont="1" applyBorder="1"/>
    <xf numFmtId="0" fontId="8" fillId="0" borderId="6" xfId="0" applyFont="1" applyBorder="1"/>
    <xf numFmtId="2" fontId="0" fillId="0" borderId="6" xfId="0" applyNumberFormat="1" applyFont="1" applyBorder="1"/>
    <xf numFmtId="2" fontId="0" fillId="0" borderId="7" xfId="0" applyNumberFormat="1" applyFont="1" applyBorder="1"/>
    <xf numFmtId="44" fontId="5" fillId="0" borderId="0" xfId="2" applyFont="1"/>
    <xf numFmtId="0" fontId="4" fillId="0" borderId="20" xfId="0" applyFont="1" applyBorder="1"/>
    <xf numFmtId="0" fontId="5" fillId="0" borderId="21" xfId="0" applyFont="1" applyBorder="1"/>
    <xf numFmtId="0" fontId="0" fillId="0" borderId="22" xfId="0" applyFont="1" applyBorder="1" applyAlignment="1"/>
    <xf numFmtId="168" fontId="4" fillId="0" borderId="24" xfId="0" applyNumberFormat="1" applyFont="1" applyBorder="1"/>
    <xf numFmtId="2" fontId="0" fillId="0" borderId="25" xfId="0" applyNumberFormat="1" applyFont="1" applyBorder="1"/>
    <xf numFmtId="168" fontId="4" fillId="0" borderId="17" xfId="0" applyNumberFormat="1" applyFont="1" applyBorder="1"/>
    <xf numFmtId="0" fontId="4" fillId="0" borderId="23" xfId="0" applyFont="1" applyBorder="1"/>
    <xf numFmtId="0" fontId="0" fillId="0" borderId="0" xfId="0" applyFont="1" applyBorder="1"/>
    <xf numFmtId="0" fontId="0" fillId="0" borderId="26" xfId="0" applyFont="1" applyBorder="1" applyAlignment="1"/>
    <xf numFmtId="0" fontId="7" fillId="0" borderId="9" xfId="0" applyFont="1" applyBorder="1"/>
    <xf numFmtId="44" fontId="0" fillId="0" borderId="0" xfId="2" applyFont="1"/>
    <xf numFmtId="44" fontId="0" fillId="0" borderId="6" xfId="2" applyFont="1" applyBorder="1"/>
    <xf numFmtId="0" fontId="7" fillId="0" borderId="10" xfId="0" applyFont="1" applyBorder="1"/>
    <xf numFmtId="0" fontId="2" fillId="0" borderId="26" xfId="0" applyFont="1" applyBorder="1"/>
    <xf numFmtId="0" fontId="5" fillId="0" borderId="26" xfId="0" applyFont="1" applyBorder="1"/>
    <xf numFmtId="165" fontId="5" fillId="0" borderId="26" xfId="0" applyNumberFormat="1" applyFont="1" applyBorder="1"/>
    <xf numFmtId="9" fontId="5" fillId="0" borderId="26" xfId="0" applyNumberFormat="1" applyFont="1" applyBorder="1"/>
    <xf numFmtId="0" fontId="0" fillId="0" borderId="26" xfId="0" applyFont="1" applyBorder="1"/>
    <xf numFmtId="0" fontId="11" fillId="0" borderId="26" xfId="0" applyFont="1" applyBorder="1"/>
    <xf numFmtId="0" fontId="8" fillId="0" borderId="19" xfId="0" applyFont="1" applyBorder="1"/>
    <xf numFmtId="0" fontId="5" fillId="0" borderId="19" xfId="0" applyFont="1" applyBorder="1"/>
    <xf numFmtId="2" fontId="0" fillId="0" borderId="19" xfId="0" applyNumberFormat="1" applyFont="1" applyBorder="1" applyAlignment="1"/>
    <xf numFmtId="2" fontId="0" fillId="0" borderId="19" xfId="0" applyNumberFormat="1" applyFont="1" applyBorder="1"/>
    <xf numFmtId="2" fontId="0" fillId="0" borderId="27" xfId="0" applyNumberFormat="1" applyFont="1" applyBorder="1"/>
    <xf numFmtId="0" fontId="5" fillId="0" borderId="28" xfId="0" applyFont="1" applyBorder="1"/>
    <xf numFmtId="0" fontId="5" fillId="0" borderId="29" xfId="0" applyFont="1" applyBorder="1"/>
    <xf numFmtId="0" fontId="7" fillId="0" borderId="18" xfId="0" applyFont="1" applyBorder="1"/>
    <xf numFmtId="0" fontId="7" fillId="0" borderId="18" xfId="0" applyFont="1" applyFill="1" applyBorder="1" applyAlignment="1"/>
    <xf numFmtId="165" fontId="0" fillId="0" borderId="0" xfId="0" applyNumberFormat="1" applyFont="1" applyAlignment="1"/>
    <xf numFmtId="44" fontId="0" fillId="0" borderId="0" xfId="0" applyNumberFormat="1" applyFont="1" applyAlignment="1"/>
    <xf numFmtId="2" fontId="0" fillId="0" borderId="0" xfId="0" applyNumberFormat="1" applyFont="1" applyAlignment="1"/>
    <xf numFmtId="0" fontId="0" fillId="0" borderId="18" xfId="0" applyFont="1" applyBorder="1" applyAlignment="1"/>
    <xf numFmtId="2" fontId="0" fillId="0" borderId="0" xfId="0" applyNumberFormat="1" applyFont="1" applyBorder="1" applyAlignment="1"/>
    <xf numFmtId="0" fontId="5" fillId="0" borderId="18" xfId="0" applyFont="1" applyBorder="1" applyAlignment="1"/>
    <xf numFmtId="165" fontId="8" fillId="0" borderId="0" xfId="0" applyNumberFormat="1" applyFont="1" applyAlignment="1"/>
    <xf numFmtId="165" fontId="8" fillId="0" borderId="17" xfId="0" applyNumberFormat="1" applyFont="1" applyBorder="1" applyAlignment="1"/>
    <xf numFmtId="0" fontId="2" fillId="0" borderId="0" xfId="0" applyFont="1" applyBorder="1"/>
    <xf numFmtId="0" fontId="5" fillId="0" borderId="0" xfId="0" applyFont="1" applyBorder="1"/>
    <xf numFmtId="164" fontId="0" fillId="0" borderId="0" xfId="0" applyNumberFormat="1" applyFont="1" applyBorder="1"/>
    <xf numFmtId="166" fontId="0" fillId="0" borderId="0" xfId="0" applyNumberFormat="1" applyFont="1" applyBorder="1"/>
    <xf numFmtId="166" fontId="0" fillId="0" borderId="0" xfId="0" applyNumberFormat="1" applyFont="1" applyBorder="1" applyAlignment="1"/>
    <xf numFmtId="167" fontId="0" fillId="0" borderId="0" xfId="0" applyNumberFormat="1" applyFont="1" applyBorder="1" applyAlignment="1"/>
    <xf numFmtId="166" fontId="8" fillId="0" borderId="0" xfId="0" applyNumberFormat="1" applyFont="1" applyBorder="1" applyAlignment="1"/>
    <xf numFmtId="0" fontId="8" fillId="0" borderId="0" xfId="0" applyFont="1" applyBorder="1" applyAlignment="1"/>
    <xf numFmtId="0" fontId="5" fillId="0" borderId="0" xfId="0" applyFont="1" applyFill="1" applyBorder="1" applyAlignment="1"/>
    <xf numFmtId="0" fontId="5" fillId="0" borderId="0" xfId="0" applyFont="1" applyBorder="1" applyAlignment="1"/>
    <xf numFmtId="0" fontId="5" fillId="0" borderId="0" xfId="0" applyFont="1" applyAlignment="1"/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4285F4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Sheet1!$B$131</c:f>
              <c:strCache>
                <c:ptCount val="1"/>
                <c:pt idx="0">
                  <c:v>Market Prices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Sheet1!$A$132:$A$136</c:f>
              <c:strCache>
                <c:ptCount val="5"/>
                <c:pt idx="0">
                  <c:v>Swabs</c:v>
                </c:pt>
                <c:pt idx="1">
                  <c:v>Pipette Tips</c:v>
                </c:pt>
                <c:pt idx="2">
                  <c:v>1.5ml Tubes</c:v>
                </c:pt>
                <c:pt idx="3">
                  <c:v>Spin Columns</c:v>
                </c:pt>
                <c:pt idx="4">
                  <c:v>0.2ml Tubes</c:v>
                </c:pt>
              </c:strCache>
            </c:strRef>
          </c:cat>
          <c:val>
            <c:numRef>
              <c:f>Sheet1!$B$132:$B$136</c:f>
              <c:numCache>
                <c:formatCode>_-* #,##0.00\ "€"_-;\-* #,##0.00\ "€"_-;_-* "-"??\ "€"_-;_-@</c:formatCode>
                <c:ptCount val="5"/>
                <c:pt idx="0">
                  <c:v>4.5</c:v>
                </c:pt>
                <c:pt idx="1">
                  <c:v>3.33</c:v>
                </c:pt>
                <c:pt idx="2">
                  <c:v>1.33</c:v>
                </c:pt>
                <c:pt idx="3">
                  <c:v>1</c:v>
                </c:pt>
                <c:pt idx="4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D-7E45-BE5E-A1E253085C5B}"/>
            </c:ext>
          </c:extLst>
        </c:ser>
        <c:ser>
          <c:idx val="1"/>
          <c:order val="1"/>
          <c:tx>
            <c:strRef>
              <c:f>Sheet1!$C$131</c:f>
              <c:strCache>
                <c:ptCount val="1"/>
                <c:pt idx="0">
                  <c:v>Our Solution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Sheet1!$A$132:$A$136</c:f>
              <c:strCache>
                <c:ptCount val="5"/>
                <c:pt idx="0">
                  <c:v>Swabs</c:v>
                </c:pt>
                <c:pt idx="1">
                  <c:v>Pipette Tips</c:v>
                </c:pt>
                <c:pt idx="2">
                  <c:v>1.5ml Tubes</c:v>
                </c:pt>
                <c:pt idx="3">
                  <c:v>Spin Columns</c:v>
                </c:pt>
                <c:pt idx="4">
                  <c:v>0.2ml Tubes</c:v>
                </c:pt>
              </c:strCache>
            </c:strRef>
          </c:cat>
          <c:val>
            <c:numRef>
              <c:f>Sheet1!$C$132:$C$136</c:f>
              <c:numCache>
                <c:formatCode>_-* #,##0.00\ "€"_-;\-* #,##0.00\ "€"_-;_-* "-"??\ "€"_-;_-@</c:formatCode>
                <c:ptCount val="5"/>
                <c:pt idx="0">
                  <c:v>3.78</c:v>
                </c:pt>
                <c:pt idx="1">
                  <c:v>3.88</c:v>
                </c:pt>
                <c:pt idx="2">
                  <c:v>3.52</c:v>
                </c:pt>
                <c:pt idx="3">
                  <c:v>1.1000000000000001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BD-7E45-BE5E-A1E253085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8895887"/>
        <c:axId val="2002994031"/>
      </c:barChart>
      <c:catAx>
        <c:axId val="1988895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2994031"/>
        <c:crosses val="autoZero"/>
        <c:auto val="1"/>
        <c:lblAlgn val="ctr"/>
        <c:lblOffset val="100"/>
        <c:noMultiLvlLbl val="0"/>
      </c:catAx>
      <c:valAx>
        <c:axId val="200299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889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Sheet1!$B$115</c:f>
              <c:strCache>
                <c:ptCount val="1"/>
                <c:pt idx="0">
                  <c:v>Capacity of One Production Table [Testkits]</c:v>
                </c:pt>
              </c:strCache>
            </c:strRef>
          </c:tx>
          <c:spPr>
            <a:solidFill>
              <a:srgbClr val="4285F4"/>
            </a:solidFill>
            <a:ln>
              <a:noFill/>
            </a:ln>
            <a:effectLst/>
          </c:spPr>
          <c:invertIfNegative val="0"/>
          <c:cat>
            <c:strRef>
              <c:f>Sheet1!$A$116:$A$120</c:f>
              <c:strCache>
                <c:ptCount val="5"/>
                <c:pt idx="0">
                  <c:v>1.5ml Tubes</c:v>
                </c:pt>
                <c:pt idx="1">
                  <c:v>Pipette Tips</c:v>
                </c:pt>
                <c:pt idx="2">
                  <c:v>Spin Columns</c:v>
                </c:pt>
                <c:pt idx="3">
                  <c:v>0.2ml Tubes</c:v>
                </c:pt>
                <c:pt idx="4">
                  <c:v>Swabs</c:v>
                </c:pt>
              </c:strCache>
            </c:strRef>
          </c:cat>
          <c:val>
            <c:numRef>
              <c:f>Sheet1!$B$116:$B$120</c:f>
              <c:numCache>
                <c:formatCode>0.00</c:formatCode>
                <c:ptCount val="5"/>
                <c:pt idx="0">
                  <c:v>78</c:v>
                </c:pt>
                <c:pt idx="1">
                  <c:v>82</c:v>
                </c:pt>
                <c:pt idx="2">
                  <c:v>385</c:v>
                </c:pt>
                <c:pt idx="3">
                  <c:v>1393</c:v>
                </c:pt>
                <c:pt idx="4">
                  <c:v>1714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0-C645-B7C5-44B207C96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5854815"/>
        <c:axId val="1412546975"/>
      </c:barChart>
      <c:catAx>
        <c:axId val="133585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2546975"/>
        <c:crosses val="autoZero"/>
        <c:auto val="1"/>
        <c:lblAlgn val="ctr"/>
        <c:lblOffset val="100"/>
        <c:noMultiLvlLbl val="0"/>
      </c:catAx>
      <c:valAx>
        <c:axId val="14125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5854815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Sheet1!$B$123</c:f>
              <c:strCache>
                <c:ptCount val="1"/>
                <c:pt idx="0">
                  <c:v>Cost Savings per Printing Day [EUR] </c:v>
                </c:pt>
              </c:strCache>
            </c:strRef>
          </c:tx>
          <c:spPr>
            <a:solidFill>
              <a:srgbClr val="4285F4"/>
            </a:solidFill>
            <a:ln>
              <a:noFill/>
            </a:ln>
            <a:effectLst/>
          </c:spPr>
          <c:invertIfNegative val="0"/>
          <c:cat>
            <c:strRef>
              <c:f>Sheet1!$A$124:$A$128</c:f>
              <c:strCache>
                <c:ptCount val="5"/>
                <c:pt idx="0">
                  <c:v>1.5ml Tubes</c:v>
                </c:pt>
                <c:pt idx="1">
                  <c:v>Pipette Tips</c:v>
                </c:pt>
                <c:pt idx="2">
                  <c:v>Spin Columns</c:v>
                </c:pt>
                <c:pt idx="3">
                  <c:v>0.2ml Tubes</c:v>
                </c:pt>
                <c:pt idx="4">
                  <c:v>Swabs</c:v>
                </c:pt>
              </c:strCache>
            </c:strRef>
          </c:cat>
          <c:val>
            <c:numRef>
              <c:f>Sheet1!$B$124:$B$128</c:f>
              <c:numCache>
                <c:formatCode>_("€"* #,##0.00_);_("€"* \(#,##0.00\);_("€"* "-"??_);_(@_)</c:formatCode>
                <c:ptCount val="5"/>
                <c:pt idx="0">
                  <c:v>-43.160762942779293</c:v>
                </c:pt>
                <c:pt idx="1">
                  <c:v>-13.779904306220089</c:v>
                </c:pt>
                <c:pt idx="2">
                  <c:v>-9.625668449197871</c:v>
                </c:pt>
                <c:pt idx="3">
                  <c:v>81.290322580645181</c:v>
                </c:pt>
                <c:pt idx="4">
                  <c:v>308.57142857142867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E-A244-A4EC-452C7B360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9556367"/>
        <c:axId val="1429930063"/>
      </c:barChart>
      <c:catAx>
        <c:axId val="142955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9930063"/>
        <c:crosses val="autoZero"/>
        <c:auto val="1"/>
        <c:lblAlgn val="ctr"/>
        <c:lblOffset val="100"/>
        <c:noMultiLvlLbl val="0"/>
      </c:catAx>
      <c:valAx>
        <c:axId val="1429930063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9556367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Sheet1!$B$140</c:f>
              <c:strCache>
                <c:ptCount val="1"/>
                <c:pt idx="0">
                  <c:v>Total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A5-C04F-BA26-006B9A587254}"/>
              </c:ext>
            </c:extLst>
          </c:dPt>
          <c:dPt>
            <c:idx val="1"/>
            <c:invertIfNegative val="0"/>
            <c:bubble3D val="0"/>
            <c:spPr>
              <a:solidFill>
                <a:srgbClr val="4285F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A5-C04F-BA26-006B9A587254}"/>
              </c:ext>
            </c:extLst>
          </c:dPt>
          <c:cat>
            <c:strRef>
              <c:f>Sheet1!$A$141:$A$142</c:f>
              <c:strCache>
                <c:ptCount val="2"/>
                <c:pt idx="0">
                  <c:v>Market Prices</c:v>
                </c:pt>
                <c:pt idx="1">
                  <c:v>Our Solution</c:v>
                </c:pt>
              </c:strCache>
            </c:strRef>
          </c:cat>
          <c:val>
            <c:numRef>
              <c:f>Sheet1!$B$141:$B$142</c:f>
              <c:numCache>
                <c:formatCode>General</c:formatCode>
                <c:ptCount val="2"/>
                <c:pt idx="0">
                  <c:v>10.49</c:v>
                </c:pt>
                <c:pt idx="1">
                  <c:v>12.389999999999999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5-C04F-BA26-006B9A587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3707696"/>
        <c:axId val="673709344"/>
      </c:barChart>
      <c:catAx>
        <c:axId val="67370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709344"/>
        <c:crosses val="autoZero"/>
        <c:auto val="1"/>
        <c:lblAlgn val="ctr"/>
        <c:lblOffset val="100"/>
        <c:noMultiLvlLbl val="0"/>
      </c:catAx>
      <c:valAx>
        <c:axId val="67370934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7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23442</xdr:colOff>
      <xdr:row>154</xdr:row>
      <xdr:rowOff>22966</xdr:rowOff>
    </xdr:from>
    <xdr:to>
      <xdr:col>9</xdr:col>
      <xdr:colOff>61542</xdr:colOff>
      <xdr:row>170</xdr:row>
      <xdr:rowOff>175366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D32AC85-8572-734A-B188-E01F8920D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3160</xdr:colOff>
      <xdr:row>114</xdr:row>
      <xdr:rowOff>189500</xdr:rowOff>
    </xdr:from>
    <xdr:to>
      <xdr:col>9</xdr:col>
      <xdr:colOff>38100</xdr:colOff>
      <xdr:row>131</xdr:row>
      <xdr:rowOff>152400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70F6A4E-92E7-DB4E-A9D0-D214FADD0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26985</xdr:colOff>
      <xdr:row>134</xdr:row>
      <xdr:rowOff>5035</xdr:rowOff>
    </xdr:from>
    <xdr:to>
      <xdr:col>9</xdr:col>
      <xdr:colOff>63500</xdr:colOff>
      <xdr:row>150</xdr:row>
      <xdr:rowOff>157435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E83C262-75E5-234A-B128-C329E564B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2014884</xdr:colOff>
      <xdr:row>173</xdr:row>
      <xdr:rowOff>15492</xdr:rowOff>
    </xdr:from>
    <xdr:to>
      <xdr:col>9</xdr:col>
      <xdr:colOff>32603</xdr:colOff>
      <xdr:row>190</xdr:row>
      <xdr:rowOff>360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D0FFF4B-EFE5-9949-80B9-5F57BCDB7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A113" zoomScale="141" zoomScaleNormal="250" workbookViewId="0">
      <selection activeCell="K130" sqref="K130"/>
    </sheetView>
  </sheetViews>
  <sheetFormatPr baseColWidth="10" defaultColWidth="14.5" defaultRowHeight="15" customHeight="1" x14ac:dyDescent="0.15"/>
  <cols>
    <col min="1" max="1" width="21" customWidth="1"/>
    <col min="2" max="2" width="34" customWidth="1"/>
    <col min="3" max="3" width="26.6640625" customWidth="1"/>
    <col min="4" max="4" width="28.1640625" customWidth="1"/>
    <col min="5" max="5" width="26.5" customWidth="1"/>
    <col min="6" max="6" width="27.83203125" customWidth="1"/>
    <col min="7" max="7" width="23.5" customWidth="1"/>
    <col min="8" max="8" width="26.33203125" customWidth="1"/>
    <col min="9" max="9" width="23.83203125" customWidth="1"/>
    <col min="11" max="11" width="26.5" customWidth="1"/>
  </cols>
  <sheetData>
    <row r="1" spans="1:9" ht="15.75" customHeight="1" x14ac:dyDescent="0.15">
      <c r="F1" s="1"/>
      <c r="G1" s="1"/>
    </row>
    <row r="2" spans="1:9" ht="15.75" customHeight="1" x14ac:dyDescent="0.15"/>
    <row r="3" spans="1:9" ht="15.75" customHeight="1" x14ac:dyDescent="0.15">
      <c r="A3" s="2" t="s">
        <v>0</v>
      </c>
      <c r="B3" s="3"/>
      <c r="C3" s="3"/>
      <c r="E3" s="4" t="s">
        <v>1</v>
      </c>
      <c r="F3" s="3"/>
      <c r="G3" s="3"/>
      <c r="H3" s="3"/>
      <c r="I3" s="3"/>
    </row>
    <row r="4" spans="1:9" ht="15.75" customHeight="1" x14ac:dyDescent="0.15">
      <c r="E4" s="1"/>
      <c r="F4" s="1"/>
    </row>
    <row r="5" spans="1:9" ht="15.75" customHeight="1" x14ac:dyDescent="0.15">
      <c r="A5" s="5" t="s">
        <v>2</v>
      </c>
      <c r="B5" s="6" t="s">
        <v>3</v>
      </c>
      <c r="C5" s="6" t="s">
        <v>4</v>
      </c>
      <c r="D5" s="7"/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</row>
    <row r="6" spans="1:9" ht="15.75" customHeight="1" x14ac:dyDescent="0.15">
      <c r="A6" s="7"/>
      <c r="B6" s="1" t="s">
        <v>10</v>
      </c>
      <c r="C6" s="59">
        <v>267.75</v>
      </c>
      <c r="D6" s="1"/>
      <c r="E6" s="9">
        <v>0.05</v>
      </c>
      <c r="F6" s="9">
        <v>9.5</v>
      </c>
      <c r="G6" s="9">
        <v>1</v>
      </c>
      <c r="H6" s="9">
        <v>60</v>
      </c>
      <c r="I6" s="9">
        <v>5</v>
      </c>
    </row>
    <row r="7" spans="1:9" ht="15.75" customHeight="1" x14ac:dyDescent="0.15">
      <c r="A7" s="7"/>
      <c r="B7" s="61" t="s">
        <v>66</v>
      </c>
      <c r="C7" s="59">
        <v>84.5</v>
      </c>
    </row>
    <row r="8" spans="1:9" ht="15.75" customHeight="1" x14ac:dyDescent="0.15">
      <c r="B8" s="1" t="s">
        <v>65</v>
      </c>
      <c r="C8" s="59">
        <v>38.99</v>
      </c>
    </row>
    <row r="9" spans="1:9" ht="15.75" customHeight="1" x14ac:dyDescent="0.15">
      <c r="B9" s="61"/>
      <c r="C9" s="60"/>
    </row>
    <row r="10" spans="1:9" ht="15.75" customHeight="1" x14ac:dyDescent="0.15"/>
    <row r="11" spans="1:9" ht="15.75" customHeight="1" x14ac:dyDescent="0.15">
      <c r="A11" s="2" t="s">
        <v>11</v>
      </c>
      <c r="B11" s="3"/>
      <c r="C11" s="3"/>
      <c r="D11" s="3"/>
      <c r="E11" s="3"/>
      <c r="F11" s="3"/>
      <c r="G11" s="3"/>
      <c r="H11" s="3"/>
      <c r="I11" s="3"/>
    </row>
    <row r="12" spans="1:9" ht="15.75" customHeight="1" x14ac:dyDescent="0.15"/>
    <row r="13" spans="1:9" ht="15.75" customHeight="1" x14ac:dyDescent="0.15">
      <c r="A13" s="5" t="s">
        <v>12</v>
      </c>
      <c r="B13" s="6" t="s">
        <v>3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</row>
    <row r="14" spans="1:9" ht="15.75" customHeight="1" x14ac:dyDescent="0.15">
      <c r="B14" s="1" t="s">
        <v>20</v>
      </c>
      <c r="C14" s="10">
        <v>1.084E-7</v>
      </c>
      <c r="D14" s="11">
        <f t="shared" ref="D14:D16" si="0">C14*10000</f>
        <v>1.0840000000000001E-3</v>
      </c>
      <c r="E14" s="1">
        <v>30</v>
      </c>
      <c r="F14" s="59">
        <f>D14*$C8</f>
        <v>4.226516000000001E-2</v>
      </c>
      <c r="G14" s="1">
        <f>13*24</f>
        <v>312</v>
      </c>
      <c r="H14" s="60">
        <f>1.3*109</f>
        <v>141.70000000000002</v>
      </c>
      <c r="I14" s="60">
        <f t="shared" ref="I14:I16" si="1">H14/G14</f>
        <v>0.45416666666666672</v>
      </c>
    </row>
    <row r="15" spans="1:9" ht="15.75" customHeight="1" x14ac:dyDescent="0.15">
      <c r="B15" s="1" t="s">
        <v>21</v>
      </c>
      <c r="C15" s="10">
        <v>2.9849999999999998E-7</v>
      </c>
      <c r="D15" s="11">
        <f t="shared" si="0"/>
        <v>2.9849999999999998E-3</v>
      </c>
      <c r="E15" s="1">
        <v>50</v>
      </c>
      <c r="F15" s="59">
        <f>D15*$C8</f>
        <v>0.11638514999999999</v>
      </c>
      <c r="G15" s="1">
        <f>8*14</f>
        <v>112</v>
      </c>
      <c r="H15" s="60">
        <f>180*1.3</f>
        <v>234</v>
      </c>
      <c r="I15" s="60">
        <f t="shared" si="1"/>
        <v>2.0892857142857144</v>
      </c>
    </row>
    <row r="16" spans="1:9" ht="15.75" customHeight="1" x14ac:dyDescent="0.15">
      <c r="B16" s="1" t="s">
        <v>22</v>
      </c>
      <c r="C16" s="10">
        <v>6.6759999999999997E-7</v>
      </c>
      <c r="D16" s="11">
        <f t="shared" si="0"/>
        <v>6.6759999999999996E-3</v>
      </c>
      <c r="E16" s="1">
        <v>85</v>
      </c>
      <c r="F16" s="59">
        <f>D16*$C8</f>
        <v>0.26029723999999999</v>
      </c>
      <c r="G16" s="1">
        <f>6*12</f>
        <v>72</v>
      </c>
      <c r="H16" s="60">
        <f>5*60*1.3</f>
        <v>390</v>
      </c>
      <c r="I16" s="60">
        <f t="shared" si="1"/>
        <v>5.416666666666667</v>
      </c>
    </row>
    <row r="17" spans="1:9" ht="15.75" customHeight="1" x14ac:dyDescent="0.15">
      <c r="D17" s="11"/>
    </row>
    <row r="18" spans="1:9" ht="15.75" customHeight="1" x14ac:dyDescent="0.15">
      <c r="A18" s="5" t="s">
        <v>23</v>
      </c>
      <c r="B18" s="6" t="s">
        <v>3</v>
      </c>
      <c r="C18" s="6" t="s">
        <v>13</v>
      </c>
      <c r="D18" s="6" t="s">
        <v>14</v>
      </c>
      <c r="E18" s="6"/>
      <c r="F18" s="6" t="s">
        <v>16</v>
      </c>
      <c r="G18" s="6" t="s">
        <v>17</v>
      </c>
      <c r="H18" s="6" t="s">
        <v>18</v>
      </c>
      <c r="I18" s="6" t="s">
        <v>19</v>
      </c>
    </row>
    <row r="19" spans="1:9" ht="15.75" customHeight="1" x14ac:dyDescent="0.15">
      <c r="B19" s="1" t="s">
        <v>24</v>
      </c>
      <c r="C19" s="10">
        <v>1.4109999999999999E-6</v>
      </c>
      <c r="D19" s="11">
        <f t="shared" ref="D19:D21" si="2">C19*10000</f>
        <v>1.4109999999999999E-2</v>
      </c>
      <c r="F19" s="59">
        <f>D19*$C$6</f>
        <v>3.7779524999999996</v>
      </c>
      <c r="G19" s="1">
        <f t="shared" ref="G19:G21" si="3">19*11</f>
        <v>209</v>
      </c>
      <c r="H19" s="60">
        <f t="shared" ref="H19:H21" si="4">9*60*1.3</f>
        <v>702</v>
      </c>
      <c r="I19" s="60">
        <f t="shared" ref="I19:I21" si="5">H19/G19</f>
        <v>3.3588516746411483</v>
      </c>
    </row>
    <row r="20" spans="1:9" ht="15.75" customHeight="1" x14ac:dyDescent="0.15">
      <c r="B20" s="1" t="s">
        <v>25</v>
      </c>
      <c r="C20" s="10">
        <v>1.4759999999999999E-6</v>
      </c>
      <c r="D20" s="11">
        <f t="shared" si="2"/>
        <v>1.4759999999999999E-2</v>
      </c>
      <c r="F20" s="59">
        <f t="shared" ref="F20:F21" si="6">D20*$C$6</f>
        <v>3.9519899999999999</v>
      </c>
      <c r="G20" s="1">
        <f t="shared" si="3"/>
        <v>209</v>
      </c>
      <c r="H20" s="60">
        <f t="shared" si="4"/>
        <v>702</v>
      </c>
      <c r="I20" s="60">
        <f t="shared" si="5"/>
        <v>3.3588516746411483</v>
      </c>
    </row>
    <row r="21" spans="1:9" ht="15.75" customHeight="1" x14ac:dyDescent="0.15">
      <c r="B21" s="1" t="s">
        <v>26</v>
      </c>
      <c r="C21" s="10">
        <v>1.4160000000000001E-6</v>
      </c>
      <c r="D21" s="11">
        <f t="shared" si="2"/>
        <v>1.4160000000000001E-2</v>
      </c>
      <c r="F21" s="59">
        <f t="shared" si="6"/>
        <v>3.7913400000000004</v>
      </c>
      <c r="G21" s="1">
        <f t="shared" si="3"/>
        <v>209</v>
      </c>
      <c r="H21" s="60">
        <f t="shared" si="4"/>
        <v>702</v>
      </c>
      <c r="I21" s="60">
        <f t="shared" si="5"/>
        <v>3.3588516746411483</v>
      </c>
    </row>
    <row r="22" spans="1:9" ht="15.75" customHeight="1" x14ac:dyDescent="0.15">
      <c r="B22" s="1" t="s">
        <v>27</v>
      </c>
      <c r="C22" s="12">
        <f>0.00000005244+0.00001426</f>
        <v>1.4312440000000001E-5</v>
      </c>
      <c r="D22" s="11">
        <f>C22*10000</f>
        <v>0.14312440000000001</v>
      </c>
      <c r="F22" s="59">
        <f>D22*$C$8</f>
        <v>5.5804203560000012</v>
      </c>
      <c r="G22" s="9">
        <v>28</v>
      </c>
      <c r="H22" s="63">
        <v>28</v>
      </c>
      <c r="I22" s="64">
        <f>148*1.3</f>
        <v>192.4</v>
      </c>
    </row>
    <row r="23" spans="1:9" ht="15.75" customHeight="1" x14ac:dyDescent="0.15"/>
    <row r="24" spans="1:9" ht="15.75" customHeight="1" x14ac:dyDescent="0.15">
      <c r="D24" s="11"/>
    </row>
    <row r="25" spans="1:9" ht="15.75" customHeight="1" x14ac:dyDescent="0.15">
      <c r="A25" s="5" t="s">
        <v>28</v>
      </c>
      <c r="B25" s="6" t="s">
        <v>3</v>
      </c>
      <c r="C25" s="6" t="s">
        <v>13</v>
      </c>
      <c r="D25" s="6" t="s">
        <v>14</v>
      </c>
      <c r="E25" s="14"/>
      <c r="F25" s="6" t="s">
        <v>16</v>
      </c>
      <c r="G25" s="6" t="s">
        <v>17</v>
      </c>
      <c r="H25" s="6" t="s">
        <v>18</v>
      </c>
      <c r="I25" s="6" t="s">
        <v>19</v>
      </c>
    </row>
    <row r="26" spans="1:9" ht="15.75" customHeight="1" x14ac:dyDescent="0.15">
      <c r="B26" s="1" t="s">
        <v>29</v>
      </c>
      <c r="C26" s="15">
        <v>9.3200000000000003E-7</v>
      </c>
      <c r="D26" s="11">
        <f t="shared" ref="D26:D27" si="7">C26*10000</f>
        <v>9.3200000000000002E-3</v>
      </c>
      <c r="F26" s="59">
        <f>D26*$C$8</f>
        <v>0.36338680000000001</v>
      </c>
      <c r="G26" s="16">
        <v>17</v>
      </c>
      <c r="H26" s="60">
        <f>104*1.3</f>
        <v>135.20000000000002</v>
      </c>
      <c r="I26" s="60">
        <f t="shared" ref="I26:I27" si="8">H26/G26</f>
        <v>7.9529411764705893</v>
      </c>
    </row>
    <row r="27" spans="1:9" ht="15.75" customHeight="1" x14ac:dyDescent="0.15">
      <c r="B27" s="1" t="s">
        <v>30</v>
      </c>
      <c r="C27" s="10">
        <v>1.88E-6</v>
      </c>
      <c r="D27" s="11">
        <f t="shared" si="7"/>
        <v>1.8800000000000001E-2</v>
      </c>
      <c r="F27" s="59">
        <f>D27*$C$8</f>
        <v>0.73301200000000011</v>
      </c>
      <c r="G27" s="1">
        <v>28</v>
      </c>
      <c r="H27" s="60">
        <f>151*1.3</f>
        <v>196.3</v>
      </c>
      <c r="I27" s="60">
        <f t="shared" si="8"/>
        <v>7.0107142857142861</v>
      </c>
    </row>
    <row r="28" spans="1:9" ht="15.75" customHeight="1" x14ac:dyDescent="0.15">
      <c r="D28" s="11"/>
    </row>
    <row r="29" spans="1:9" ht="15.75" customHeight="1" x14ac:dyDescent="0.15">
      <c r="A29" s="5" t="s">
        <v>31</v>
      </c>
      <c r="B29" s="6" t="s">
        <v>3</v>
      </c>
      <c r="C29" s="6" t="s">
        <v>13</v>
      </c>
      <c r="D29" s="6" t="s">
        <v>14</v>
      </c>
      <c r="E29" s="6"/>
      <c r="F29" s="6" t="s">
        <v>16</v>
      </c>
      <c r="G29" s="6" t="s">
        <v>17</v>
      </c>
      <c r="H29" s="6" t="s">
        <v>18</v>
      </c>
      <c r="I29" s="6" t="s">
        <v>19</v>
      </c>
    </row>
    <row r="30" spans="1:9" ht="15.75" customHeight="1" x14ac:dyDescent="0.15">
      <c r="B30" s="62" t="s">
        <v>67</v>
      </c>
      <c r="C30" s="15">
        <v>8.3000000000000002E-8</v>
      </c>
      <c r="D30" s="11">
        <f t="shared" ref="D30:D31" si="9">C30*10000</f>
        <v>8.3000000000000001E-4</v>
      </c>
      <c r="F30" s="59">
        <f>D30*$C$8</f>
        <v>3.23617E-2</v>
      </c>
      <c r="G30" s="16">
        <v>60</v>
      </c>
      <c r="H30" s="60">
        <f>57*1.3</f>
        <v>74.100000000000009</v>
      </c>
      <c r="I30" s="60">
        <f t="shared" ref="I30:I31" si="10">H30/G30</f>
        <v>1.2350000000000001</v>
      </c>
    </row>
    <row r="31" spans="1:9" ht="15.75" customHeight="1" x14ac:dyDescent="0.15">
      <c r="B31" s="61" t="s">
        <v>68</v>
      </c>
      <c r="C31" s="10">
        <v>1.3540000000000001E-6</v>
      </c>
      <c r="D31" s="11">
        <f t="shared" si="9"/>
        <v>1.354E-2</v>
      </c>
      <c r="F31" s="59">
        <f>D31*$C$8</f>
        <v>0.52792460000000008</v>
      </c>
      <c r="G31" s="16">
        <v>17</v>
      </c>
      <c r="H31" s="60">
        <f>144*1.3</f>
        <v>187.20000000000002</v>
      </c>
      <c r="I31" s="60">
        <f t="shared" si="10"/>
        <v>11.011764705882355</v>
      </c>
    </row>
    <row r="32" spans="1:9" ht="15.75" customHeight="1" x14ac:dyDescent="0.15"/>
    <row r="33" spans="1:9" ht="15.75" customHeight="1" x14ac:dyDescent="0.15"/>
    <row r="34" spans="1:9" ht="15.75" customHeight="1" x14ac:dyDescent="0.15"/>
    <row r="35" spans="1:9" ht="15.75" customHeight="1" x14ac:dyDescent="0.15">
      <c r="A35" s="68" t="s">
        <v>69</v>
      </c>
      <c r="B35" s="3"/>
      <c r="C35" s="68" t="s">
        <v>71</v>
      </c>
      <c r="D35" s="3"/>
      <c r="F35" s="17"/>
      <c r="G35" s="18"/>
    </row>
    <row r="36" spans="1:9" ht="15.75" customHeight="1" x14ac:dyDescent="0.15"/>
    <row r="37" spans="1:9" ht="15.75" customHeight="1" x14ac:dyDescent="0.15">
      <c r="A37" s="19" t="s">
        <v>32</v>
      </c>
      <c r="B37" s="52" t="s">
        <v>70</v>
      </c>
      <c r="C37" s="52" t="s">
        <v>33</v>
      </c>
      <c r="D37" s="19" t="s">
        <v>34</v>
      </c>
      <c r="F37" s="20"/>
      <c r="G37" s="20"/>
    </row>
    <row r="38" spans="1:9" ht="15.75" customHeight="1" x14ac:dyDescent="0.15">
      <c r="A38" s="49" t="s">
        <v>58</v>
      </c>
      <c r="B38" s="64">
        <f>10000/300</f>
        <v>33.333333333333336</v>
      </c>
      <c r="C38" s="65">
        <v>0.1</v>
      </c>
      <c r="D38" s="65">
        <f t="shared" ref="D38:D42" si="11">B38*C38</f>
        <v>3.3333333333333339</v>
      </c>
    </row>
    <row r="39" spans="1:9" ht="15.75" customHeight="1" x14ac:dyDescent="0.15">
      <c r="A39" s="49" t="s">
        <v>23</v>
      </c>
      <c r="B39" s="64">
        <v>1</v>
      </c>
      <c r="C39" s="65">
        <v>4.5</v>
      </c>
      <c r="D39" s="65">
        <f t="shared" si="11"/>
        <v>4.5</v>
      </c>
    </row>
    <row r="40" spans="1:9" ht="15.75" customHeight="1" x14ac:dyDescent="0.15">
      <c r="A40" s="49" t="s">
        <v>61</v>
      </c>
      <c r="B40" s="64">
        <v>1</v>
      </c>
      <c r="C40" s="65">
        <v>1</v>
      </c>
      <c r="D40" s="65">
        <f t="shared" si="11"/>
        <v>1</v>
      </c>
    </row>
    <row r="41" spans="1:9" ht="15.75" customHeight="1" x14ac:dyDescent="0.15">
      <c r="A41" s="49" t="s">
        <v>63</v>
      </c>
      <c r="B41" s="64">
        <f>2000/300</f>
        <v>6.666666666666667</v>
      </c>
      <c r="C41" s="65">
        <v>0.2</v>
      </c>
      <c r="D41" s="65">
        <f t="shared" si="11"/>
        <v>1.3333333333333335</v>
      </c>
    </row>
    <row r="42" spans="1:9" ht="15.75" customHeight="1" x14ac:dyDescent="0.15">
      <c r="A42" s="49" t="s">
        <v>64</v>
      </c>
      <c r="B42" s="64">
        <f>1000/300</f>
        <v>3.3333333333333335</v>
      </c>
      <c r="C42" s="65">
        <v>0.1</v>
      </c>
      <c r="D42" s="65">
        <f t="shared" si="11"/>
        <v>0.33333333333333337</v>
      </c>
    </row>
    <row r="43" spans="1:9" ht="15.75" customHeight="1" x14ac:dyDescent="0.15"/>
    <row r="44" spans="1:9" ht="15.75" customHeight="1" x14ac:dyDescent="0.15">
      <c r="C44" s="67" t="s">
        <v>35</v>
      </c>
      <c r="D44" s="66">
        <f>SUM(D38:D42)</f>
        <v>10.500000000000002</v>
      </c>
    </row>
    <row r="45" spans="1:9" ht="15.75" customHeight="1" x14ac:dyDescent="0.15">
      <c r="C45" s="18"/>
    </row>
    <row r="46" spans="1:9" ht="15.75" customHeight="1" x14ac:dyDescent="0.15"/>
    <row r="47" spans="1:9" ht="15.75" customHeight="1" x14ac:dyDescent="0.15"/>
    <row r="48" spans="1:9" ht="15.75" customHeight="1" thickBot="1" x14ac:dyDescent="0.2">
      <c r="A48" s="2" t="s">
        <v>36</v>
      </c>
      <c r="B48" s="3"/>
      <c r="C48" s="2"/>
      <c r="D48" s="3"/>
      <c r="E48" s="3"/>
      <c r="F48" s="2"/>
      <c r="G48" s="3"/>
      <c r="H48" s="3"/>
      <c r="I48" s="3"/>
    </row>
    <row r="49" spans="1:10" ht="15.75" customHeight="1" thickTop="1" thickBot="1" x14ac:dyDescent="0.2"/>
    <row r="50" spans="1:10" ht="15.75" customHeight="1" x14ac:dyDescent="0.15">
      <c r="A50" s="21" t="s">
        <v>37</v>
      </c>
      <c r="B50" s="22">
        <v>300</v>
      </c>
    </row>
    <row r="51" spans="1:10" ht="15.75" customHeight="1" x14ac:dyDescent="0.15"/>
    <row r="52" spans="1:10" ht="15.75" customHeight="1" x14ac:dyDescent="0.15">
      <c r="A52" s="19" t="s">
        <v>32</v>
      </c>
      <c r="B52" s="23" t="s">
        <v>38</v>
      </c>
      <c r="C52" s="19" t="s">
        <v>39</v>
      </c>
      <c r="D52" s="23" t="s">
        <v>19</v>
      </c>
      <c r="E52" s="19" t="s">
        <v>40</v>
      </c>
      <c r="F52" s="23" t="s">
        <v>41</v>
      </c>
      <c r="G52" s="19" t="s">
        <v>42</v>
      </c>
      <c r="H52" s="23" t="s">
        <v>43</v>
      </c>
      <c r="I52" s="74" t="s">
        <v>44</v>
      </c>
    </row>
    <row r="53" spans="1:10" ht="15.75" customHeight="1" x14ac:dyDescent="0.15">
      <c r="A53" s="49" t="s">
        <v>58</v>
      </c>
      <c r="B53" s="69" t="s">
        <v>72</v>
      </c>
      <c r="C53" s="65">
        <f>F15</f>
        <v>0.11638514999999999</v>
      </c>
      <c r="D53" s="70">
        <f>I15</f>
        <v>2.0892857142857144</v>
      </c>
      <c r="E53" s="65">
        <f t="shared" ref="E53:F53" si="12">C53*$B38</f>
        <v>3.879505</v>
      </c>
      <c r="F53" s="71">
        <f t="shared" si="12"/>
        <v>69.642857142857153</v>
      </c>
      <c r="G53" s="65">
        <f t="shared" ref="G53:H53" si="13">ROUND(E53*$B$50,2)</f>
        <v>1163.8499999999999</v>
      </c>
      <c r="H53" s="71">
        <f t="shared" si="13"/>
        <v>20892.86</v>
      </c>
      <c r="I53" s="73">
        <f t="shared" ref="I53:I57" si="14">ROUND(H53/$C$66,2)</f>
        <v>14.51</v>
      </c>
    </row>
    <row r="54" spans="1:10" ht="15.75" customHeight="1" x14ac:dyDescent="0.15">
      <c r="A54" s="49" t="s">
        <v>23</v>
      </c>
      <c r="B54" s="69" t="s">
        <v>73</v>
      </c>
      <c r="C54" s="65">
        <f>F19</f>
        <v>3.7779524999999996</v>
      </c>
      <c r="D54" s="70">
        <f>I19</f>
        <v>3.3588516746411483</v>
      </c>
      <c r="E54" s="65">
        <f t="shared" ref="E54:F54" si="15">C54*$B39</f>
        <v>3.7779524999999996</v>
      </c>
      <c r="F54" s="70">
        <f t="shared" si="15"/>
        <v>3.3588516746411483</v>
      </c>
      <c r="G54" s="65">
        <f t="shared" ref="G54:H54" si="16">ROUND(E54*$B$50,2)</f>
        <v>1133.3900000000001</v>
      </c>
      <c r="H54" s="70">
        <f t="shared" si="16"/>
        <v>1007.66</v>
      </c>
      <c r="I54" s="73">
        <f t="shared" si="14"/>
        <v>0.7</v>
      </c>
    </row>
    <row r="55" spans="1:10" ht="15.75" customHeight="1" x14ac:dyDescent="0.15">
      <c r="A55" s="49" t="s">
        <v>61</v>
      </c>
      <c r="B55" s="24"/>
      <c r="C55" s="65">
        <f>F26+F27</f>
        <v>1.0963988000000002</v>
      </c>
      <c r="D55" s="70">
        <f>I26+I27</f>
        <v>14.963655462184875</v>
      </c>
      <c r="E55" s="65">
        <f t="shared" ref="E55:F55" si="17">C55*$B40</f>
        <v>1.0963988000000002</v>
      </c>
      <c r="F55" s="70">
        <f t="shared" si="17"/>
        <v>14.963655462184875</v>
      </c>
      <c r="G55" s="65">
        <f t="shared" ref="G55:H55" si="18">ROUND(E55*$B$50,2)</f>
        <v>328.92</v>
      </c>
      <c r="H55" s="70">
        <f t="shared" si="18"/>
        <v>4489.1000000000004</v>
      </c>
      <c r="I55" s="73">
        <f t="shared" si="14"/>
        <v>3.12</v>
      </c>
    </row>
    <row r="56" spans="1:10" ht="15.75" customHeight="1" x14ac:dyDescent="0.15">
      <c r="A56" s="49" t="s">
        <v>63</v>
      </c>
      <c r="B56" s="24"/>
      <c r="C56" s="65">
        <f>F31</f>
        <v>0.52792460000000008</v>
      </c>
      <c r="D56" s="70">
        <f>I31</f>
        <v>11.011764705882355</v>
      </c>
      <c r="E56" s="65">
        <f t="shared" ref="E56:F56" si="19">C56*$B41</f>
        <v>3.5194973333333341</v>
      </c>
      <c r="F56" s="70">
        <f t="shared" si="19"/>
        <v>73.411764705882362</v>
      </c>
      <c r="G56" s="65">
        <f t="shared" ref="G56:H56" si="20">ROUND(E56*$B$50,2)</f>
        <v>1055.8499999999999</v>
      </c>
      <c r="H56" s="70">
        <f t="shared" si="20"/>
        <v>22023.53</v>
      </c>
      <c r="I56" s="73">
        <f t="shared" si="14"/>
        <v>15.29</v>
      </c>
    </row>
    <row r="57" spans="1:10" ht="15.75" customHeight="1" thickBot="1" x14ac:dyDescent="0.2">
      <c r="A57" s="49" t="s">
        <v>64</v>
      </c>
      <c r="B57" s="24"/>
      <c r="C57" s="65">
        <f>F30</f>
        <v>3.23617E-2</v>
      </c>
      <c r="D57" s="70">
        <f>I30</f>
        <v>1.2350000000000001</v>
      </c>
      <c r="E57" s="76">
        <f t="shared" ref="E57:F57" si="21">C57*$B42</f>
        <v>0.10787233333333333</v>
      </c>
      <c r="F57" s="77">
        <f t="shared" si="21"/>
        <v>4.1166666666666671</v>
      </c>
      <c r="G57" s="78">
        <f t="shared" ref="G57:H57" si="22">ROUND(E57*$B$50,2)</f>
        <v>32.36</v>
      </c>
      <c r="H57" s="77">
        <f t="shared" si="22"/>
        <v>1235</v>
      </c>
      <c r="I57" s="79">
        <f t="shared" si="14"/>
        <v>0.86</v>
      </c>
      <c r="J57" s="75"/>
    </row>
    <row r="58" spans="1:10" ht="15.75" customHeight="1" thickTop="1" x14ac:dyDescent="0.15">
      <c r="B58" s="18"/>
      <c r="C58" s="18"/>
      <c r="D58" s="21" t="s">
        <v>45</v>
      </c>
      <c r="E58" s="72">
        <f>ROUND(SUM(E53:E57),2)</f>
        <v>12.38</v>
      </c>
      <c r="F58" s="21">
        <f>ROUND(SUM(F53:F57),2)</f>
        <v>165.49</v>
      </c>
      <c r="G58" s="72">
        <f>ROUND(SUM(G53:G57),2)</f>
        <v>3714.37</v>
      </c>
      <c r="H58" s="21">
        <f>ROUND(SUM(H53:H57),2)</f>
        <v>49648.15</v>
      </c>
      <c r="I58" s="21">
        <f>SUM(I53:I57)</f>
        <v>34.479999999999997</v>
      </c>
    </row>
    <row r="59" spans="1:10" ht="15.75" customHeight="1" x14ac:dyDescent="0.15">
      <c r="A59" s="21"/>
      <c r="B59" s="21"/>
      <c r="C59" s="21"/>
    </row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thickBot="1" x14ac:dyDescent="0.2">
      <c r="A63" s="2" t="s">
        <v>46</v>
      </c>
      <c r="B63" s="3"/>
      <c r="C63" s="2"/>
      <c r="D63" s="3"/>
      <c r="E63" s="3"/>
      <c r="F63" s="2"/>
      <c r="G63" s="3"/>
      <c r="H63" s="3"/>
      <c r="I63" s="81"/>
    </row>
    <row r="64" spans="1:10" ht="15.75" customHeight="1" thickTop="1" x14ac:dyDescent="0.15"/>
    <row r="65" spans="1:9" ht="15.75" customHeight="1" x14ac:dyDescent="0.15">
      <c r="A65" s="82" t="s">
        <v>74</v>
      </c>
      <c r="B65" s="26" t="s">
        <v>47</v>
      </c>
      <c r="C65" s="25" t="s">
        <v>48</v>
      </c>
      <c r="D65" s="85" t="s">
        <v>75</v>
      </c>
      <c r="E65" s="25" t="s">
        <v>49</v>
      </c>
    </row>
    <row r="66" spans="1:9" ht="15.75" customHeight="1" x14ac:dyDescent="0.15">
      <c r="A66" s="24" t="s">
        <v>50</v>
      </c>
      <c r="B66" s="83">
        <v>150</v>
      </c>
      <c r="C66" s="24">
        <f>24*60</f>
        <v>1440</v>
      </c>
      <c r="D66" s="13">
        <v>4</v>
      </c>
      <c r="E66" s="84">
        <f>B66*D66</f>
        <v>600</v>
      </c>
    </row>
    <row r="67" spans="1:9" ht="15.75" customHeight="1" x14ac:dyDescent="0.15">
      <c r="A67" s="80"/>
      <c r="B67" s="58"/>
      <c r="C67" s="80"/>
      <c r="D67" s="58"/>
      <c r="E67" s="80"/>
      <c r="F67" s="58"/>
    </row>
    <row r="68" spans="1:9" ht="15.75" customHeight="1" x14ac:dyDescent="0.15">
      <c r="A68" s="18"/>
      <c r="B68" s="18"/>
    </row>
    <row r="69" spans="1:9" ht="15.75" customHeight="1" x14ac:dyDescent="0.15">
      <c r="A69" s="18"/>
      <c r="B69" s="18"/>
    </row>
    <row r="70" spans="1:9" ht="15.75" customHeight="1" x14ac:dyDescent="0.15"/>
    <row r="71" spans="1:9" ht="15.75" customHeight="1" x14ac:dyDescent="0.15"/>
    <row r="72" spans="1:9" ht="15.75" customHeight="1" thickBot="1" x14ac:dyDescent="0.2">
      <c r="A72" s="2" t="s">
        <v>51</v>
      </c>
      <c r="B72" s="3"/>
      <c r="C72" s="2"/>
      <c r="D72" s="3"/>
      <c r="E72" s="3"/>
      <c r="F72" s="81"/>
      <c r="G72" s="81"/>
      <c r="H72" s="81"/>
      <c r="I72" s="81"/>
    </row>
    <row r="73" spans="1:9" ht="15.75" customHeight="1" thickTop="1" x14ac:dyDescent="0.15">
      <c r="G73" s="18"/>
      <c r="H73" s="18"/>
    </row>
    <row r="74" spans="1:9" ht="15.75" customHeight="1" x14ac:dyDescent="0.15">
      <c r="A74" s="19" t="s">
        <v>32</v>
      </c>
      <c r="B74" s="19" t="s">
        <v>33</v>
      </c>
      <c r="C74" s="19" t="s">
        <v>52</v>
      </c>
      <c r="D74" s="23" t="s">
        <v>53</v>
      </c>
      <c r="E74" s="19" t="s">
        <v>54</v>
      </c>
      <c r="F74" s="19" t="s">
        <v>55</v>
      </c>
      <c r="G74" s="21"/>
      <c r="H74" s="18"/>
    </row>
    <row r="75" spans="1:9" ht="15.75" customHeight="1" x14ac:dyDescent="0.15">
      <c r="A75" s="49" t="s">
        <v>58</v>
      </c>
      <c r="B75" s="27">
        <f t="shared" ref="B75:B79" si="23">C38</f>
        <v>0.1</v>
      </c>
      <c r="C75" s="28">
        <f t="shared" ref="C75:C79" si="24">ROUND(C53,2)</f>
        <v>0.12</v>
      </c>
      <c r="D75" s="29">
        <f t="shared" ref="D75:D79" si="25">(C75/B75)-1</f>
        <v>0.19999999999999996</v>
      </c>
      <c r="E75" s="28">
        <f t="shared" ref="E75:E79" si="26">ROUND(D38,2)</f>
        <v>3.33</v>
      </c>
      <c r="F75" s="28">
        <f t="shared" ref="F75:F79" si="27">ROUND(E53,2)</f>
        <v>3.88</v>
      </c>
      <c r="G75" s="30"/>
      <c r="H75" s="18"/>
    </row>
    <row r="76" spans="1:9" ht="15.75" customHeight="1" x14ac:dyDescent="0.15">
      <c r="A76" s="49" t="s">
        <v>23</v>
      </c>
      <c r="B76" s="27">
        <f t="shared" si="23"/>
        <v>4.5</v>
      </c>
      <c r="C76" s="28">
        <f t="shared" si="24"/>
        <v>3.78</v>
      </c>
      <c r="D76" s="29">
        <f t="shared" si="25"/>
        <v>-0.16000000000000003</v>
      </c>
      <c r="E76" s="28">
        <f t="shared" si="26"/>
        <v>4.5</v>
      </c>
      <c r="F76" s="28">
        <f t="shared" si="27"/>
        <v>3.78</v>
      </c>
      <c r="G76" s="30"/>
      <c r="H76" s="18"/>
    </row>
    <row r="77" spans="1:9" ht="15.75" customHeight="1" x14ac:dyDescent="0.15">
      <c r="A77" s="49" t="s">
        <v>61</v>
      </c>
      <c r="B77" s="27">
        <f t="shared" si="23"/>
        <v>1</v>
      </c>
      <c r="C77" s="28">
        <f t="shared" si="24"/>
        <v>1.1000000000000001</v>
      </c>
      <c r="D77" s="29">
        <f t="shared" si="25"/>
        <v>0.10000000000000009</v>
      </c>
      <c r="E77" s="28">
        <f t="shared" si="26"/>
        <v>1</v>
      </c>
      <c r="F77" s="28">
        <f t="shared" si="27"/>
        <v>1.1000000000000001</v>
      </c>
      <c r="G77" s="30"/>
      <c r="H77" s="18"/>
    </row>
    <row r="78" spans="1:9" ht="15.75" customHeight="1" x14ac:dyDescent="0.15">
      <c r="A78" s="49" t="s">
        <v>63</v>
      </c>
      <c r="B78" s="27">
        <f t="shared" si="23"/>
        <v>0.2</v>
      </c>
      <c r="C78" s="28">
        <f t="shared" si="24"/>
        <v>0.53</v>
      </c>
      <c r="D78" s="29">
        <f t="shared" si="25"/>
        <v>1.65</v>
      </c>
      <c r="E78" s="28">
        <f t="shared" si="26"/>
        <v>1.33</v>
      </c>
      <c r="F78" s="28">
        <f t="shared" si="27"/>
        <v>3.52</v>
      </c>
      <c r="G78" s="30"/>
      <c r="H78" s="18"/>
    </row>
    <row r="79" spans="1:9" ht="15.75" customHeight="1" thickBot="1" x14ac:dyDescent="0.2">
      <c r="A79" s="49" t="s">
        <v>64</v>
      </c>
      <c r="B79" s="31">
        <f t="shared" si="23"/>
        <v>0.1</v>
      </c>
      <c r="C79" s="32">
        <f t="shared" si="24"/>
        <v>0.03</v>
      </c>
      <c r="D79" s="33">
        <f t="shared" si="25"/>
        <v>-0.7</v>
      </c>
      <c r="E79" s="34">
        <f t="shared" si="26"/>
        <v>0.33</v>
      </c>
      <c r="F79" s="32">
        <f t="shared" si="27"/>
        <v>0.11</v>
      </c>
      <c r="G79" s="30"/>
      <c r="H79" s="18"/>
    </row>
    <row r="80" spans="1:9" ht="15.75" customHeight="1" thickTop="1" x14ac:dyDescent="0.15">
      <c r="A80" s="45" t="s">
        <v>45</v>
      </c>
      <c r="B80" s="46"/>
      <c r="G80" s="18"/>
      <c r="H80" s="18"/>
    </row>
    <row r="81" spans="1:9" ht="15.75" customHeight="1" x14ac:dyDescent="0.15">
      <c r="A81" s="21"/>
      <c r="B81" s="21"/>
      <c r="D81" s="21" t="s">
        <v>45</v>
      </c>
      <c r="E81" s="35">
        <f t="shared" ref="E81:F81" si="28">SUM(E75:E79)</f>
        <v>10.49</v>
      </c>
      <c r="F81" s="35">
        <f t="shared" si="28"/>
        <v>12.389999999999999</v>
      </c>
      <c r="G81" s="36"/>
      <c r="H81" s="18"/>
    </row>
    <row r="82" spans="1:9" ht="15.75" customHeight="1" x14ac:dyDescent="0.15">
      <c r="A82" s="21"/>
      <c r="B82" s="21"/>
      <c r="D82" s="21"/>
      <c r="E82" s="35"/>
      <c r="F82" s="35"/>
      <c r="G82" s="36"/>
      <c r="H82" s="18"/>
    </row>
    <row r="83" spans="1:9" ht="15.75" customHeight="1" thickBot="1" x14ac:dyDescent="0.2">
      <c r="A83" s="86" t="s">
        <v>56</v>
      </c>
      <c r="B83" s="87"/>
      <c r="C83" s="81"/>
      <c r="D83" s="87"/>
      <c r="E83" s="88"/>
      <c r="F83" s="88"/>
      <c r="G83" s="89"/>
      <c r="H83" s="90"/>
      <c r="I83" s="81"/>
    </row>
    <row r="84" spans="1:9" ht="15.75" customHeight="1" thickTop="1" x14ac:dyDescent="0.15"/>
    <row r="85" spans="1:9" ht="15.75" customHeight="1" x14ac:dyDescent="0.15">
      <c r="A85" s="23" t="s">
        <v>32</v>
      </c>
      <c r="B85" s="23" t="s">
        <v>19</v>
      </c>
      <c r="C85" s="37" t="s">
        <v>41</v>
      </c>
      <c r="D85" s="38" t="s">
        <v>57</v>
      </c>
    </row>
    <row r="86" spans="1:9" ht="15.75" customHeight="1" x14ac:dyDescent="0.15">
      <c r="A86" s="49" t="s">
        <v>58</v>
      </c>
      <c r="B86" s="39">
        <f t="shared" ref="B86:B90" si="29">ROUND(D53,2)</f>
        <v>2.09</v>
      </c>
      <c r="C86" s="40">
        <f t="shared" ref="C86:C90" si="30">ROUND(F53,2)</f>
        <v>69.64</v>
      </c>
      <c r="D86" s="41">
        <f t="shared" ref="D86:D90" si="31">C86/$C$92</f>
        <v>0.42081092513142787</v>
      </c>
    </row>
    <row r="87" spans="1:9" ht="15.75" customHeight="1" x14ac:dyDescent="0.15">
      <c r="A87" s="49" t="s">
        <v>23</v>
      </c>
      <c r="B87" s="40">
        <f t="shared" si="29"/>
        <v>3.36</v>
      </c>
      <c r="C87" s="40">
        <f t="shared" si="30"/>
        <v>3.36</v>
      </c>
      <c r="D87" s="41">
        <f t="shared" si="31"/>
        <v>2.0303341591636954E-2</v>
      </c>
    </row>
    <row r="88" spans="1:9" ht="15.75" customHeight="1" x14ac:dyDescent="0.15">
      <c r="A88" s="49" t="s">
        <v>61</v>
      </c>
      <c r="B88" s="40">
        <f t="shared" si="29"/>
        <v>14.96</v>
      </c>
      <c r="C88" s="40">
        <f t="shared" si="30"/>
        <v>14.96</v>
      </c>
      <c r="D88" s="41">
        <f t="shared" si="31"/>
        <v>9.0398211372288359E-2</v>
      </c>
    </row>
    <row r="89" spans="1:9" ht="15.75" customHeight="1" x14ac:dyDescent="0.15">
      <c r="A89" s="49" t="s">
        <v>63</v>
      </c>
      <c r="B89" s="40">
        <f t="shared" si="29"/>
        <v>11.01</v>
      </c>
      <c r="C89" s="40">
        <f t="shared" si="30"/>
        <v>73.41</v>
      </c>
      <c r="D89" s="41">
        <f t="shared" si="31"/>
        <v>0.44359175781013954</v>
      </c>
    </row>
    <row r="90" spans="1:9" ht="15.75" customHeight="1" thickBot="1" x14ac:dyDescent="0.2">
      <c r="A90" s="49" t="s">
        <v>64</v>
      </c>
      <c r="B90" s="42">
        <f t="shared" si="29"/>
        <v>1.24</v>
      </c>
      <c r="C90" s="42">
        <f t="shared" si="30"/>
        <v>4.12</v>
      </c>
      <c r="D90" s="43">
        <f t="shared" si="31"/>
        <v>2.4895764094507219E-2</v>
      </c>
    </row>
    <row r="91" spans="1:9" ht="15.75" customHeight="1" thickTop="1" x14ac:dyDescent="0.15">
      <c r="A91" s="18"/>
    </row>
    <row r="92" spans="1:9" ht="15.75" customHeight="1" x14ac:dyDescent="0.15">
      <c r="B92" s="21" t="s">
        <v>45</v>
      </c>
      <c r="C92" s="44">
        <f t="shared" ref="C92:D92" si="32">SUM(C86:C90)</f>
        <v>165.49</v>
      </c>
      <c r="D92" s="36">
        <f t="shared" si="32"/>
        <v>0.99999999999999989</v>
      </c>
    </row>
    <row r="93" spans="1:9" ht="15.75" customHeight="1" x14ac:dyDescent="0.15"/>
    <row r="94" spans="1:9" ht="15.75" customHeight="1" thickBot="1" x14ac:dyDescent="0.2">
      <c r="A94" s="91" t="s">
        <v>76</v>
      </c>
      <c r="B94" s="87"/>
      <c r="C94" s="81"/>
      <c r="D94" s="87"/>
      <c r="E94" s="88"/>
      <c r="F94" s="88"/>
      <c r="G94" s="89"/>
      <c r="H94" s="90"/>
      <c r="I94" s="81"/>
    </row>
    <row r="95" spans="1:9" ht="15.75" customHeight="1" thickTop="1" x14ac:dyDescent="0.15"/>
    <row r="96" spans="1:9" ht="15.75" customHeight="1" x14ac:dyDescent="0.15">
      <c r="A96" s="97" t="s">
        <v>32</v>
      </c>
      <c r="B96" s="98" t="s">
        <v>19</v>
      </c>
      <c r="C96" s="99" t="s">
        <v>77</v>
      </c>
      <c r="D96" s="99" t="s">
        <v>78</v>
      </c>
      <c r="E96" s="100" t="s">
        <v>79</v>
      </c>
    </row>
    <row r="97" spans="1:9" ht="15.75" customHeight="1" x14ac:dyDescent="0.15">
      <c r="A97" s="92" t="s">
        <v>58</v>
      </c>
      <c r="B97" s="96">
        <f>B86</f>
        <v>2.09</v>
      </c>
      <c r="C97" s="95">
        <f>$C$66/B97</f>
        <v>688.99521531100481</v>
      </c>
      <c r="D97" s="95">
        <f>C97/B38</f>
        <v>20.669856459330141</v>
      </c>
      <c r="E97" s="94">
        <f>D97*$D$66</f>
        <v>82.679425837320565</v>
      </c>
    </row>
    <row r="98" spans="1:9" ht="15.75" customHeight="1" x14ac:dyDescent="0.15">
      <c r="A98" s="92" t="s">
        <v>23</v>
      </c>
      <c r="B98" s="96">
        <f t="shared" ref="B98:B101" si="33">B87</f>
        <v>3.36</v>
      </c>
      <c r="C98" s="95">
        <f t="shared" ref="C98:C101" si="34">$C$66/B98</f>
        <v>428.57142857142861</v>
      </c>
      <c r="D98" s="95">
        <f t="shared" ref="D98:D101" si="35">C98/B39</f>
        <v>428.57142857142861</v>
      </c>
      <c r="E98" s="94">
        <f t="shared" ref="E98:E101" si="36">D98*$D$66</f>
        <v>1714.2857142857144</v>
      </c>
    </row>
    <row r="99" spans="1:9" ht="15.75" customHeight="1" x14ac:dyDescent="0.15">
      <c r="A99" s="92" t="s">
        <v>61</v>
      </c>
      <c r="B99" s="96">
        <f t="shared" si="33"/>
        <v>14.96</v>
      </c>
      <c r="C99" s="95">
        <f t="shared" si="34"/>
        <v>96.256684491978604</v>
      </c>
      <c r="D99" s="95">
        <f t="shared" si="35"/>
        <v>96.256684491978604</v>
      </c>
      <c r="E99" s="94">
        <f t="shared" si="36"/>
        <v>385.02673796791441</v>
      </c>
    </row>
    <row r="100" spans="1:9" ht="15.75" customHeight="1" x14ac:dyDescent="0.15">
      <c r="A100" s="92" t="s">
        <v>63</v>
      </c>
      <c r="B100" s="96">
        <f t="shared" si="33"/>
        <v>11.01</v>
      </c>
      <c r="C100" s="95">
        <f t="shared" si="34"/>
        <v>130.79019073569484</v>
      </c>
      <c r="D100" s="95">
        <f t="shared" si="35"/>
        <v>19.618528610354225</v>
      </c>
      <c r="E100" s="94">
        <f t="shared" si="36"/>
        <v>78.474114441416901</v>
      </c>
    </row>
    <row r="101" spans="1:9" ht="15.75" customHeight="1" x14ac:dyDescent="0.15">
      <c r="A101" s="92" t="s">
        <v>64</v>
      </c>
      <c r="B101" s="96">
        <f t="shared" si="33"/>
        <v>1.24</v>
      </c>
      <c r="C101" s="95">
        <f t="shared" si="34"/>
        <v>1161.2903225806451</v>
      </c>
      <c r="D101" s="95">
        <f t="shared" si="35"/>
        <v>348.38709677419354</v>
      </c>
      <c r="E101" s="94">
        <f t="shared" si="36"/>
        <v>1393.5483870967741</v>
      </c>
    </row>
    <row r="102" spans="1:9" ht="15.75" customHeight="1" x14ac:dyDescent="0.15">
      <c r="A102" s="80"/>
      <c r="B102" s="58"/>
      <c r="C102" s="58"/>
      <c r="D102" s="58"/>
      <c r="E102" s="58"/>
    </row>
    <row r="103" spans="1:9" ht="15.75" customHeight="1" thickBot="1" x14ac:dyDescent="0.2">
      <c r="A103" s="91" t="s">
        <v>80</v>
      </c>
      <c r="B103" s="87"/>
      <c r="C103" s="81"/>
      <c r="D103" s="87"/>
      <c r="E103" s="88"/>
      <c r="F103" s="88"/>
      <c r="G103" s="89"/>
      <c r="H103" s="90"/>
      <c r="I103" s="81"/>
    </row>
    <row r="104" spans="1:9" ht="15.75" customHeight="1" thickTop="1" x14ac:dyDescent="0.15"/>
    <row r="105" spans="1:9" ht="15.75" customHeight="1" x14ac:dyDescent="0.15">
      <c r="A105" s="93" t="s">
        <v>32</v>
      </c>
      <c r="B105" s="19" t="s">
        <v>33</v>
      </c>
      <c r="C105" s="19" t="s">
        <v>52</v>
      </c>
      <c r="D105" s="100" t="s">
        <v>59</v>
      </c>
      <c r="E105" s="53" t="s">
        <v>19</v>
      </c>
      <c r="F105" s="53" t="s">
        <v>81</v>
      </c>
      <c r="G105" s="53" t="s">
        <v>82</v>
      </c>
      <c r="H105" s="53" t="s">
        <v>83</v>
      </c>
      <c r="I105" s="104"/>
    </row>
    <row r="106" spans="1:9" ht="15.75" customHeight="1" x14ac:dyDescent="0.15">
      <c r="A106" s="92" t="s">
        <v>58</v>
      </c>
      <c r="B106" s="46">
        <f>B75</f>
        <v>0.1</v>
      </c>
      <c r="C106" s="101">
        <f>C75</f>
        <v>0.12</v>
      </c>
      <c r="D106" s="102">
        <f>B106-C106</f>
        <v>-1.999999999999999E-2</v>
      </c>
      <c r="E106" s="103">
        <f>B97</f>
        <v>2.09</v>
      </c>
      <c r="F106" s="102">
        <f>D106/E106</f>
        <v>-9.5693779904306182E-3</v>
      </c>
      <c r="G106" s="102">
        <f>F106*60</f>
        <v>-0.5741626794258371</v>
      </c>
      <c r="H106" s="102">
        <f>G106*24</f>
        <v>-13.779904306220089</v>
      </c>
    </row>
    <row r="107" spans="1:9" ht="15.75" customHeight="1" x14ac:dyDescent="0.15">
      <c r="A107" s="92" t="s">
        <v>23</v>
      </c>
      <c r="B107" s="46">
        <f t="shared" ref="B107:C110" si="37">B76</f>
        <v>4.5</v>
      </c>
      <c r="C107" s="101">
        <f t="shared" si="37"/>
        <v>3.78</v>
      </c>
      <c r="D107" s="102">
        <f t="shared" ref="D107:D110" si="38">B107-C107</f>
        <v>0.7200000000000002</v>
      </c>
      <c r="E107" s="103">
        <f t="shared" ref="E107:E110" si="39">B98</f>
        <v>3.36</v>
      </c>
      <c r="F107" s="102">
        <f t="shared" ref="F107:F110" si="40">D107/E107</f>
        <v>0.21428571428571436</v>
      </c>
      <c r="G107" s="102">
        <f t="shared" ref="G107:G110" si="41">F107*60</f>
        <v>12.857142857142861</v>
      </c>
      <c r="H107" s="102">
        <f t="shared" ref="H107:H110" si="42">G107*24</f>
        <v>308.57142857142867</v>
      </c>
    </row>
    <row r="108" spans="1:9" ht="15.75" customHeight="1" x14ac:dyDescent="0.15">
      <c r="A108" s="92" t="s">
        <v>61</v>
      </c>
      <c r="B108" s="46">
        <f t="shared" si="37"/>
        <v>1</v>
      </c>
      <c r="C108" s="101">
        <f t="shared" si="37"/>
        <v>1.1000000000000001</v>
      </c>
      <c r="D108" s="102">
        <f t="shared" si="38"/>
        <v>-0.10000000000000009</v>
      </c>
      <c r="E108" s="103">
        <f t="shared" si="39"/>
        <v>14.96</v>
      </c>
      <c r="F108" s="102">
        <f t="shared" si="40"/>
        <v>-6.6844919786096316E-3</v>
      </c>
      <c r="G108" s="102">
        <f t="shared" si="41"/>
        <v>-0.40106951871657792</v>
      </c>
      <c r="H108" s="102">
        <f t="shared" si="42"/>
        <v>-9.625668449197871</v>
      </c>
    </row>
    <row r="109" spans="1:9" ht="15.75" customHeight="1" x14ac:dyDescent="0.15">
      <c r="A109" s="92" t="s">
        <v>63</v>
      </c>
      <c r="B109" s="46">
        <f t="shared" si="37"/>
        <v>0.2</v>
      </c>
      <c r="C109" s="101">
        <f t="shared" si="37"/>
        <v>0.53</v>
      </c>
      <c r="D109" s="102">
        <f t="shared" si="38"/>
        <v>-0.33</v>
      </c>
      <c r="E109" s="103">
        <f t="shared" si="39"/>
        <v>11.01</v>
      </c>
      <c r="F109" s="102">
        <f t="shared" si="40"/>
        <v>-2.9972752043596732E-2</v>
      </c>
      <c r="G109" s="102">
        <f t="shared" si="41"/>
        <v>-1.7983651226158039</v>
      </c>
      <c r="H109" s="102">
        <f t="shared" si="42"/>
        <v>-43.160762942779293</v>
      </c>
    </row>
    <row r="110" spans="1:9" ht="15.75" customHeight="1" x14ac:dyDescent="0.15">
      <c r="A110" s="92" t="s">
        <v>64</v>
      </c>
      <c r="B110" s="46">
        <f t="shared" si="37"/>
        <v>0.1</v>
      </c>
      <c r="C110" s="101">
        <f t="shared" si="37"/>
        <v>0.03</v>
      </c>
      <c r="D110" s="102">
        <f t="shared" si="38"/>
        <v>7.0000000000000007E-2</v>
      </c>
      <c r="E110" s="103">
        <f t="shared" si="39"/>
        <v>1.24</v>
      </c>
      <c r="F110" s="102">
        <f t="shared" si="40"/>
        <v>5.6451612903225812E-2</v>
      </c>
      <c r="G110" s="102">
        <f t="shared" si="41"/>
        <v>3.3870967741935489</v>
      </c>
      <c r="H110" s="102">
        <f t="shared" si="42"/>
        <v>81.290322580645181</v>
      </c>
    </row>
    <row r="111" spans="1:9" ht="15.75" customHeight="1" x14ac:dyDescent="0.15"/>
    <row r="112" spans="1:9" ht="15.75" customHeight="1" x14ac:dyDescent="0.15"/>
    <row r="113" spans="1:9" ht="15.75" customHeight="1" thickBot="1" x14ac:dyDescent="0.2">
      <c r="A113" s="86" t="s">
        <v>84</v>
      </c>
      <c r="B113" s="87"/>
      <c r="C113" s="81"/>
      <c r="D113" s="87"/>
      <c r="E113" s="88"/>
      <c r="F113" s="88"/>
      <c r="G113" s="89"/>
      <c r="H113" s="90"/>
      <c r="I113" s="81"/>
    </row>
    <row r="114" spans="1:9" ht="15.75" customHeight="1" thickTop="1" x14ac:dyDescent="0.15"/>
    <row r="115" spans="1:9" ht="15.75" customHeight="1" x14ac:dyDescent="0.15">
      <c r="A115" s="53" t="s">
        <v>11</v>
      </c>
      <c r="B115" s="106" t="s">
        <v>85</v>
      </c>
    </row>
    <row r="116" spans="1:9" ht="15.75" customHeight="1" x14ac:dyDescent="0.15">
      <c r="A116" s="57" t="s">
        <v>63</v>
      </c>
      <c r="B116" s="105">
        <f>ROUNDDOWN(E100,0)</f>
        <v>78</v>
      </c>
    </row>
    <row r="117" spans="1:9" ht="15.75" customHeight="1" x14ac:dyDescent="0.15">
      <c r="A117" s="57" t="s">
        <v>58</v>
      </c>
      <c r="B117" s="105">
        <f>ROUNDDOWN(E97,0)</f>
        <v>82</v>
      </c>
    </row>
    <row r="118" spans="1:9" ht="15.75" customHeight="1" x14ac:dyDescent="0.15">
      <c r="A118" s="57" t="s">
        <v>61</v>
      </c>
      <c r="B118" s="105">
        <f>ROUNDDOWN(E99,0)</f>
        <v>385</v>
      </c>
    </row>
    <row r="119" spans="1:9" ht="15.75" customHeight="1" x14ac:dyDescent="0.15">
      <c r="A119" s="57" t="s">
        <v>64</v>
      </c>
      <c r="B119" s="105">
        <f>ROUNDDOWN(E101,0)</f>
        <v>1393</v>
      </c>
    </row>
    <row r="120" spans="1:9" ht="15.75" customHeight="1" x14ac:dyDescent="0.15">
      <c r="A120" s="57" t="s">
        <v>23</v>
      </c>
      <c r="B120" s="105">
        <f>ROUNDDOWN(E98,0)</f>
        <v>1714</v>
      </c>
    </row>
    <row r="121" spans="1:9" ht="15.75" customHeight="1" x14ac:dyDescent="0.15"/>
    <row r="122" spans="1:9" ht="15.75" customHeight="1" x14ac:dyDescent="0.15"/>
    <row r="123" spans="1:9" ht="15.75" customHeight="1" x14ac:dyDescent="0.15">
      <c r="A123" s="106" t="s">
        <v>11</v>
      </c>
      <c r="B123" s="53" t="s">
        <v>83</v>
      </c>
    </row>
    <row r="124" spans="1:9" ht="15.75" customHeight="1" x14ac:dyDescent="0.15">
      <c r="A124" s="57" t="s">
        <v>63</v>
      </c>
      <c r="B124" s="102">
        <f>H109</f>
        <v>-43.160762942779293</v>
      </c>
    </row>
    <row r="125" spans="1:9" ht="15.75" customHeight="1" x14ac:dyDescent="0.15">
      <c r="A125" s="57" t="s">
        <v>58</v>
      </c>
      <c r="B125" s="102">
        <f>H106</f>
        <v>-13.779904306220089</v>
      </c>
    </row>
    <row r="126" spans="1:9" ht="15.75" customHeight="1" x14ac:dyDescent="0.15">
      <c r="A126" s="57" t="s">
        <v>61</v>
      </c>
      <c r="B126" s="102">
        <f>H108</f>
        <v>-9.625668449197871</v>
      </c>
    </row>
    <row r="127" spans="1:9" ht="15.75" customHeight="1" x14ac:dyDescent="0.15">
      <c r="A127" s="57" t="s">
        <v>64</v>
      </c>
      <c r="B127" s="102">
        <f>H110</f>
        <v>81.290322580645181</v>
      </c>
    </row>
    <row r="128" spans="1:9" ht="15.75" customHeight="1" x14ac:dyDescent="0.15">
      <c r="A128" s="57" t="s">
        <v>23</v>
      </c>
      <c r="B128" s="102">
        <f>H107</f>
        <v>308.57142857142867</v>
      </c>
    </row>
    <row r="129" spans="1:14" ht="15.75" customHeight="1" x14ac:dyDescent="0.15"/>
    <row r="130" spans="1:14" ht="15.75" customHeight="1" x14ac:dyDescent="0.15"/>
    <row r="131" spans="1:14" ht="15.75" customHeight="1" x14ac:dyDescent="0.15">
      <c r="A131" s="52" t="s">
        <v>32</v>
      </c>
      <c r="B131" s="53" t="s">
        <v>62</v>
      </c>
      <c r="C131" s="53" t="s">
        <v>60</v>
      </c>
      <c r="D131" s="48"/>
    </row>
    <row r="132" spans="1:14" ht="15.75" customHeight="1" x14ac:dyDescent="0.15">
      <c r="A132" s="49" t="s">
        <v>23</v>
      </c>
      <c r="B132" s="107">
        <f>E76</f>
        <v>4.5</v>
      </c>
      <c r="C132" s="107">
        <f>F76</f>
        <v>3.78</v>
      </c>
      <c r="D132" s="54"/>
    </row>
    <row r="133" spans="1:14" ht="15.75" customHeight="1" x14ac:dyDescent="0.15">
      <c r="A133" s="49" t="s">
        <v>58</v>
      </c>
      <c r="B133" s="107">
        <f>E75</f>
        <v>3.33</v>
      </c>
      <c r="C133" s="107">
        <f>F75</f>
        <v>3.88</v>
      </c>
    </row>
    <row r="134" spans="1:14" ht="15.75" customHeight="1" x14ac:dyDescent="0.15">
      <c r="A134" s="49" t="s">
        <v>63</v>
      </c>
      <c r="B134" s="107">
        <f>E78</f>
        <v>1.33</v>
      </c>
      <c r="C134" s="107">
        <f>F78</f>
        <v>3.52</v>
      </c>
      <c r="D134" s="54"/>
    </row>
    <row r="135" spans="1:14" ht="15.75" customHeight="1" x14ac:dyDescent="0.15">
      <c r="A135" s="49" t="s">
        <v>61</v>
      </c>
      <c r="B135" s="107">
        <f>E77</f>
        <v>1</v>
      </c>
      <c r="C135" s="107">
        <f>F77</f>
        <v>1.1000000000000001</v>
      </c>
      <c r="D135" s="54"/>
    </row>
    <row r="136" spans="1:14" ht="15.75" customHeight="1" thickBot="1" x14ac:dyDescent="0.2">
      <c r="A136" s="50" t="s">
        <v>64</v>
      </c>
      <c r="B136" s="108">
        <f>E79</f>
        <v>0.33</v>
      </c>
      <c r="C136" s="108">
        <f>F79</f>
        <v>0.11</v>
      </c>
      <c r="D136" s="55"/>
    </row>
    <row r="137" spans="1:14" ht="15.75" customHeight="1" thickTop="1" x14ac:dyDescent="0.15">
      <c r="A137" s="51" t="s">
        <v>45</v>
      </c>
      <c r="B137" s="107">
        <f>SUM(B132:B136)</f>
        <v>10.49</v>
      </c>
      <c r="C137" s="107">
        <f>SUM(C132:C136)</f>
        <v>12.389999999999999</v>
      </c>
    </row>
    <row r="138" spans="1:14" ht="15.75" customHeight="1" x14ac:dyDescent="0.15"/>
    <row r="139" spans="1:14" ht="15.75" customHeight="1" x14ac:dyDescent="0.15"/>
    <row r="140" spans="1:14" ht="15.75" customHeight="1" x14ac:dyDescent="0.15">
      <c r="A140" s="109"/>
      <c r="B140" s="118" t="s">
        <v>49</v>
      </c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</row>
    <row r="141" spans="1:14" ht="15.75" customHeight="1" x14ac:dyDescent="0.15">
      <c r="A141" s="110" t="s">
        <v>62</v>
      </c>
      <c r="B141" s="110">
        <f>B137</f>
        <v>10.49</v>
      </c>
      <c r="C141" s="110"/>
      <c r="D141" s="48"/>
      <c r="E141" s="56"/>
      <c r="F141" s="56"/>
      <c r="G141" s="56"/>
      <c r="H141" s="56"/>
      <c r="I141" s="56"/>
      <c r="J141" s="56"/>
      <c r="K141" s="56"/>
      <c r="L141" s="56"/>
      <c r="M141" s="58"/>
      <c r="N141" s="58"/>
    </row>
    <row r="142" spans="1:14" ht="15.75" customHeight="1" x14ac:dyDescent="0.15">
      <c r="A142" s="117" t="s">
        <v>60</v>
      </c>
      <c r="B142" s="119">
        <f>C137</f>
        <v>12.389999999999999</v>
      </c>
      <c r="C142" s="47"/>
      <c r="D142" s="113"/>
      <c r="E142" s="114"/>
      <c r="F142" s="113"/>
      <c r="G142" s="113"/>
      <c r="H142" s="115"/>
      <c r="I142" s="58"/>
      <c r="J142" s="58"/>
      <c r="K142" s="58"/>
      <c r="L142" s="58"/>
      <c r="M142" s="58"/>
      <c r="N142" s="58"/>
    </row>
    <row r="143" spans="1:14" ht="15.75" customHeight="1" x14ac:dyDescent="0.15">
      <c r="A143" s="80"/>
      <c r="B143" s="111"/>
      <c r="C143" s="112"/>
      <c r="D143" s="113"/>
      <c r="E143" s="114"/>
      <c r="F143" s="113"/>
      <c r="G143" s="113"/>
      <c r="H143" s="115"/>
      <c r="I143" s="58"/>
      <c r="J143" s="58"/>
      <c r="K143" s="58"/>
      <c r="L143" s="58"/>
      <c r="M143" s="58"/>
      <c r="N143" s="58"/>
    </row>
    <row r="144" spans="1:14" ht="15.75" customHeight="1" x14ac:dyDescent="0.15">
      <c r="A144" s="80"/>
      <c r="B144" s="111"/>
      <c r="C144" s="112"/>
      <c r="D144" s="113"/>
      <c r="E144" s="114"/>
      <c r="F144" s="113"/>
      <c r="G144" s="113"/>
      <c r="H144" s="115"/>
      <c r="I144" s="58"/>
      <c r="J144" s="58"/>
      <c r="K144" s="58"/>
      <c r="L144" s="58"/>
      <c r="M144" s="58"/>
      <c r="N144" s="58"/>
    </row>
    <row r="145" spans="1:14" ht="15.75" customHeight="1" x14ac:dyDescent="0.15">
      <c r="A145" s="80"/>
      <c r="B145" s="111"/>
      <c r="C145" s="112"/>
      <c r="D145" s="113"/>
      <c r="E145" s="114"/>
      <c r="F145" s="113"/>
      <c r="G145" s="113"/>
      <c r="H145" s="115"/>
      <c r="I145" s="58"/>
      <c r="J145" s="58"/>
      <c r="K145" s="58"/>
      <c r="L145" s="58"/>
      <c r="M145" s="58"/>
      <c r="N145" s="58"/>
    </row>
    <row r="146" spans="1:14" ht="15.75" customHeight="1" x14ac:dyDescent="0.15">
      <c r="A146" s="80"/>
      <c r="B146" s="111"/>
      <c r="C146" s="112"/>
      <c r="D146" s="113"/>
      <c r="E146" s="114"/>
      <c r="F146" s="113"/>
      <c r="G146" s="113"/>
      <c r="H146" s="115"/>
      <c r="I146" s="58"/>
      <c r="J146" s="58"/>
      <c r="K146" s="58"/>
      <c r="L146" s="58"/>
      <c r="M146" s="58"/>
      <c r="N146" s="58"/>
    </row>
    <row r="147" spans="1:14" ht="15.75" customHeight="1" x14ac:dyDescent="0.1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</row>
    <row r="148" spans="1:14" ht="15.75" customHeight="1" x14ac:dyDescent="0.1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</row>
    <row r="149" spans="1:14" ht="15.75" customHeight="1" x14ac:dyDescent="0.15">
      <c r="A149" s="58"/>
      <c r="B149" s="58"/>
      <c r="C149" s="58"/>
      <c r="D149" s="56"/>
      <c r="E149" s="58"/>
      <c r="F149" s="58"/>
      <c r="G149" s="58"/>
      <c r="H149" s="58"/>
      <c r="I149" s="58"/>
      <c r="J149" s="58"/>
      <c r="K149" s="58"/>
      <c r="L149" s="58"/>
      <c r="M149" s="58"/>
      <c r="N149" s="58"/>
    </row>
    <row r="150" spans="1:14" ht="15.75" customHeight="1" x14ac:dyDescent="0.15">
      <c r="A150" s="58"/>
      <c r="B150" s="58"/>
      <c r="C150" s="58"/>
      <c r="D150" s="58"/>
      <c r="E150" s="116"/>
      <c r="F150" s="113"/>
      <c r="G150" s="58"/>
      <c r="H150" s="58"/>
      <c r="I150" s="58"/>
      <c r="J150" s="58"/>
      <c r="K150" s="58"/>
      <c r="L150" s="58"/>
      <c r="M150" s="58"/>
      <c r="N150" s="58"/>
    </row>
    <row r="151" spans="1:14" ht="15.75" customHeight="1" x14ac:dyDescent="0.15">
      <c r="A151" s="58"/>
      <c r="B151" s="58"/>
      <c r="C151" s="58"/>
      <c r="D151" s="58"/>
      <c r="E151" s="116"/>
      <c r="F151" s="113"/>
      <c r="G151" s="58"/>
      <c r="H151" s="58"/>
      <c r="I151" s="58"/>
      <c r="J151" s="58"/>
      <c r="K151" s="58"/>
      <c r="L151" s="58"/>
      <c r="M151" s="58"/>
      <c r="N151" s="58"/>
    </row>
    <row r="152" spans="1:14" ht="15.75" customHeight="1" x14ac:dyDescent="0.15">
      <c r="A152" s="58"/>
      <c r="B152" s="58"/>
      <c r="C152" s="58"/>
      <c r="D152" s="58"/>
      <c r="E152" s="116"/>
      <c r="F152" s="58"/>
      <c r="G152" s="58"/>
      <c r="H152" s="58"/>
      <c r="I152" s="58"/>
      <c r="J152" s="58"/>
      <c r="K152" s="58"/>
      <c r="L152" s="58"/>
      <c r="M152" s="58"/>
      <c r="N152" s="58"/>
    </row>
    <row r="153" spans="1:14" ht="15.75" customHeight="1" x14ac:dyDescent="0.15">
      <c r="A153" s="58"/>
      <c r="B153" s="58"/>
      <c r="C153" s="58"/>
      <c r="D153" s="58"/>
      <c r="E153" s="116"/>
      <c r="F153" s="113"/>
      <c r="G153" s="58"/>
      <c r="H153" s="58"/>
      <c r="I153" s="58"/>
      <c r="J153" s="58"/>
      <c r="K153" s="58"/>
      <c r="L153" s="58"/>
      <c r="M153" s="58"/>
      <c r="N153" s="58"/>
    </row>
    <row r="154" spans="1:14" ht="15.75" customHeight="1" x14ac:dyDescent="0.15">
      <c r="A154" s="58"/>
      <c r="B154" s="58"/>
      <c r="C154" s="58"/>
      <c r="D154" s="58"/>
      <c r="E154" s="116"/>
      <c r="F154" s="113"/>
      <c r="G154" s="58"/>
      <c r="H154" s="58"/>
      <c r="I154" s="58"/>
      <c r="J154" s="58"/>
      <c r="K154" s="58"/>
      <c r="L154" s="58"/>
      <c r="M154" s="58"/>
      <c r="N154" s="58"/>
    </row>
    <row r="155" spans="1:14" ht="15.75" customHeight="1" x14ac:dyDescent="0.1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</row>
    <row r="156" spans="1:14" ht="15.75" customHeight="1" x14ac:dyDescent="0.1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</row>
    <row r="157" spans="1:14" ht="15.75" customHeight="1" x14ac:dyDescent="0.1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</row>
    <row r="158" spans="1:14" ht="15.75" customHeight="1" x14ac:dyDescent="0.1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</row>
    <row r="159" spans="1:14" ht="15.75" customHeight="1" x14ac:dyDescent="0.1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</row>
    <row r="160" spans="1:14" ht="15.75" customHeight="1" x14ac:dyDescent="0.15"/>
    <row r="161" spans="1:4" ht="15.75" customHeight="1" x14ac:dyDescent="0.15"/>
    <row r="162" spans="1:4" ht="15.75" customHeight="1" x14ac:dyDescent="0.15"/>
    <row r="163" spans="1:4" ht="15.75" customHeight="1" x14ac:dyDescent="0.15"/>
    <row r="164" spans="1:4" ht="15.75" customHeight="1" x14ac:dyDescent="0.15">
      <c r="A164" s="47"/>
    </row>
    <row r="165" spans="1:4" ht="15.75" customHeight="1" x14ac:dyDescent="0.15"/>
    <row r="166" spans="1:4" ht="15.75" customHeight="1" x14ac:dyDescent="0.15"/>
    <row r="167" spans="1:4" ht="15.75" customHeight="1" x14ac:dyDescent="0.15"/>
    <row r="168" spans="1:4" ht="15.75" customHeight="1" x14ac:dyDescent="0.15"/>
    <row r="169" spans="1:4" ht="15.75" customHeight="1" x14ac:dyDescent="0.15"/>
    <row r="170" spans="1:4" ht="15.75" customHeight="1" x14ac:dyDescent="0.15"/>
    <row r="171" spans="1:4" ht="15.75" customHeight="1" x14ac:dyDescent="0.15"/>
    <row r="172" spans="1:4" ht="15.75" customHeight="1" x14ac:dyDescent="0.15">
      <c r="C172" s="47"/>
      <c r="D172" s="54"/>
    </row>
    <row r="173" spans="1:4" ht="15.75" customHeight="1" x14ac:dyDescent="0.15"/>
    <row r="174" spans="1:4" ht="15.75" customHeight="1" x14ac:dyDescent="0.15"/>
    <row r="175" spans="1:4" ht="15.75" customHeight="1" x14ac:dyDescent="0.15">
      <c r="C175" s="47"/>
      <c r="D175" s="54"/>
    </row>
    <row r="176" spans="1:4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spans="1:1" ht="15.75" customHeight="1" x14ac:dyDescent="0.15"/>
    <row r="194" spans="1:1" ht="15.75" customHeight="1" x14ac:dyDescent="0.15"/>
    <row r="195" spans="1:1" ht="15.75" customHeight="1" x14ac:dyDescent="0.15"/>
    <row r="196" spans="1:1" ht="15.75" customHeight="1" x14ac:dyDescent="0.15"/>
    <row r="197" spans="1:1" ht="15.75" customHeight="1" x14ac:dyDescent="0.15"/>
    <row r="198" spans="1:1" ht="15.75" customHeight="1" x14ac:dyDescent="0.15">
      <c r="A198" t="s">
        <v>45</v>
      </c>
    </row>
    <row r="199" spans="1:1" ht="15.75" customHeight="1" x14ac:dyDescent="0.15"/>
    <row r="200" spans="1:1" ht="15.75" customHeight="1" x14ac:dyDescent="0.15"/>
    <row r="201" spans="1:1" ht="15.75" customHeight="1" x14ac:dyDescent="0.15"/>
    <row r="202" spans="1:1" ht="15.75" customHeight="1" x14ac:dyDescent="0.15"/>
    <row r="203" spans="1:1" ht="15.75" customHeight="1" x14ac:dyDescent="0.15"/>
    <row r="204" spans="1:1" ht="15.75" customHeight="1" x14ac:dyDescent="0.15"/>
    <row r="205" spans="1:1" ht="15.75" customHeight="1" x14ac:dyDescent="0.15"/>
    <row r="206" spans="1:1" ht="15.75" customHeight="1" x14ac:dyDescent="0.15"/>
    <row r="207" spans="1:1" ht="15.75" customHeight="1" x14ac:dyDescent="0.15"/>
    <row r="208" spans="1:1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75:D7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5:G7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1:G8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6:D9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2:F14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2:G1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2021-01-21T09:41:44Z</dcterms:modified>
</cp:coreProperties>
</file>